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6.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grift.krehnbrink\Box Sync\Salesforce M&amp;A Integration team\Master Sim, PPT, Docs\Simulation\Salesforce M&amp;A Isomer\"/>
    </mc:Choice>
  </mc:AlternateContent>
  <bookViews>
    <workbookView xWindow="0" yWindow="0" windowWidth="23040" windowHeight="9060" firstSheet="25" activeTab="34"/>
  </bookViews>
  <sheets>
    <sheet name="Instructions" sheetId="17" r:id="rId1"/>
    <sheet name="DeveloperNotes" sheetId="27" r:id="rId2"/>
    <sheet name="Controls" sheetId="1" r:id="rId3"/>
    <sheet name="PopUp" sheetId="25" r:id="rId4"/>
    <sheet name="Wobbler" sheetId="36" r:id="rId5"/>
    <sheet name="frmNavControls" sheetId="39" r:id="rId6"/>
    <sheet name="ClearAdj" sheetId="26" r:id="rId7"/>
    <sheet name="DecErrorMessage" sheetId="6" r:id="rId8"/>
    <sheet name="League" sheetId="10" r:id="rId9"/>
    <sheet name="Dashboard" sheetId="11" r:id="rId10"/>
    <sheet name="InfoButton" sheetId="47" r:id="rId11"/>
    <sheet name="ExportData" sheetId="48" r:id="rId12"/>
    <sheet name="tlIntro" sheetId="2" r:id="rId13"/>
    <sheet name="tlV2MOM" sheetId="32" r:id="rId14"/>
    <sheet name="tlPeople" sheetId="28" r:id="rId15"/>
    <sheet name="tlIT" sheetId="29" r:id="rId16"/>
    <sheet name="tlGTM" sheetId="31" r:id="rId17"/>
    <sheet name="tlProduct" sheetId="41" r:id="rId18"/>
    <sheet name="tlTimeline" sheetId="20" r:id="rId19"/>
    <sheet name="tlScenarios" sheetId="42" r:id="rId20"/>
    <sheet name="Graphs" sheetId="34" r:id="rId21"/>
    <sheet name="ModuleLockCells" sheetId="44" r:id="rId22"/>
    <sheet name="ModuleUnLockCells" sheetId="45" r:id="rId23"/>
    <sheet name="SimpleCSV_Config" sheetId="49" r:id="rId24"/>
    <sheet name="SimpleCSV_Import" sheetId="50" r:id="rId25"/>
    <sheet name="SimpleCSV_Data" sheetId="51" r:id="rId26"/>
    <sheet name="Dec" sheetId="4" r:id="rId27"/>
    <sheet name="Fin" sheetId="22" r:id="rId28"/>
    <sheet name="Obal" sheetId="7" r:id="rId29"/>
    <sheet name="Cbal" sheetId="8" r:id="rId30"/>
    <sheet name="param" sheetId="23" r:id="rId31"/>
    <sheet name="adj" sheetId="24" r:id="rId32"/>
    <sheet name="Calc" sheetId="14" r:id="rId33"/>
    <sheet name="Analysis" sheetId="46" r:id="rId34"/>
    <sheet name="Data" sheetId="21" r:id="rId35"/>
    <sheet name="Glossary" sheetId="15" r:id="rId36"/>
    <sheet name="CaseGraphs" sheetId="43" r:id="rId37"/>
    <sheet name="Feedback" sheetId="37" r:id="rId38"/>
    <sheet name="FeedbackTS" sheetId="38" r:id="rId39"/>
  </sheets>
  <functionGroups builtInGroupCount="18"/>
  <externalReferences>
    <externalReference r:id="rId40"/>
  </externalReferences>
  <definedNames>
    <definedName name="adj_IndexTeam">adj!$E$2:$N$2</definedName>
    <definedName name="adjDisruptionThresh">adj!$E$102:$N$102</definedName>
    <definedName name="button1_visible">frmNavControls!$C$64</definedName>
    <definedName name="button10_visible">frmNavControls!$C$104</definedName>
    <definedName name="button11_visible">frmNavControls!$E$104</definedName>
    <definedName name="button12_visible">frmNavControls!$G$104</definedName>
    <definedName name="button13_visible">frmNavControls!$C$116</definedName>
    <definedName name="button14_visible">frmNavControls!$E$116</definedName>
    <definedName name="button15_visible">frmNavControls!$G$116</definedName>
    <definedName name="button16_visible">frmNavControls!$C$128</definedName>
    <definedName name="button17_visible">frmNavControls!$E$128</definedName>
    <definedName name="button18_visible">frmNavControls!$G$128</definedName>
    <definedName name="button19_visible">frmNavControls!$C$144</definedName>
    <definedName name="button2_visible">frmNavControls!$E$64</definedName>
    <definedName name="button20_visible">frmNavControls!$E$144</definedName>
    <definedName name="button21_visible">frmNavControls!$G$144</definedName>
    <definedName name="button22_visible">frmNavControls!$C$156</definedName>
    <definedName name="button23_visible">frmNavControls!$E$156</definedName>
    <definedName name="button24_visible">frmNavControls!$G$156</definedName>
    <definedName name="button25_visible">frmNavControls!$C$168</definedName>
    <definedName name="button26_visible">frmNavControls!$E$168</definedName>
    <definedName name="button27_visible">frmNavControls!$G$168</definedName>
    <definedName name="button28_visible">frmNavControls!$C$184</definedName>
    <definedName name="button29_visible">frmNavControls!$E$184</definedName>
    <definedName name="button3_visible">frmNavControls!$G$64</definedName>
    <definedName name="button30_visible">frmNavControls!$G$184</definedName>
    <definedName name="button31_visible">frmNavControls!$C$196</definedName>
    <definedName name="button32_visible">frmNavControls!$E$196</definedName>
    <definedName name="button33_visible">frmNavControls!$G$196</definedName>
    <definedName name="button34_visible">frmNavControls!$C$208</definedName>
    <definedName name="button35_visible">frmNavControls!$E$208</definedName>
    <definedName name="button36_visible">frmNavControls!$G$208</definedName>
    <definedName name="button37_visible">frmNavControls!$C$224</definedName>
    <definedName name="button38_visible">frmNavControls!$E$224</definedName>
    <definedName name="button39_visible">frmNavControls!$G$224</definedName>
    <definedName name="button4_visible">frmNavControls!$C$76</definedName>
    <definedName name="button40_visible">frmNavControls!$C$236</definedName>
    <definedName name="button41_visible">frmNavControls!$E$236</definedName>
    <definedName name="button42_visible">frmNavControls!$G$236</definedName>
    <definedName name="button43_visible">frmNavControls!$C$248</definedName>
    <definedName name="button44_visible">frmNavControls!$E$248</definedName>
    <definedName name="button45_visible">frmNavControls!$G$248</definedName>
    <definedName name="button46_visible">frmNavControls!$C$264</definedName>
    <definedName name="button47_visible">frmNavControls!$E$264</definedName>
    <definedName name="button48_visible">frmNavControls!$G$264</definedName>
    <definedName name="button49_visible">frmNavControls!$C$276</definedName>
    <definedName name="button5_visible">frmNavControls!$E$76</definedName>
    <definedName name="button50_visible">frmNavControls!$E$276</definedName>
    <definedName name="button51_visible">frmNavControls!$G$276</definedName>
    <definedName name="button52_visible">frmNavControls!$C$288</definedName>
    <definedName name="button53_visible">frmNavControls!$E$288</definedName>
    <definedName name="button54_visible">frmNavControls!$G$288</definedName>
    <definedName name="button55_visible">frmNavControls!$C$304</definedName>
    <definedName name="button56_visible">frmNavControls!$E$304</definedName>
    <definedName name="button57_visible">frmNavControls!$G$304</definedName>
    <definedName name="button58_visible">frmNavControls!$C$316</definedName>
    <definedName name="button59_visible">frmNavControls!$E$316</definedName>
    <definedName name="button6_visible">frmNavControls!$G$76</definedName>
    <definedName name="button60_visible">frmNavControls!$G$316</definedName>
    <definedName name="button61_visible">frmNavControls!$C$328</definedName>
    <definedName name="button62_visible">frmNavControls!$E$328</definedName>
    <definedName name="button63_visible">frmNavControls!$G$328</definedName>
    <definedName name="button64_visible">frmNavControls!$C$344</definedName>
    <definedName name="button65_visible">frmNavControls!$E$344</definedName>
    <definedName name="button66_visible">frmNavControls!$G$344</definedName>
    <definedName name="button67_visible">frmNavControls!$C$356</definedName>
    <definedName name="button68_visible">frmNavControls!$E$356</definedName>
    <definedName name="button69_visible">frmNavControls!$G$356</definedName>
    <definedName name="button7_visible">frmNavControls!$C$88</definedName>
    <definedName name="button70_visible">frmNavControls!$C$368</definedName>
    <definedName name="button71_visible">frmNavControls!$E$368</definedName>
    <definedName name="button72_visible">frmNavControls!$G$368</definedName>
    <definedName name="button8_visible">frmNavControls!$E$88</definedName>
    <definedName name="button9_visible">frmNavControls!$G$88</definedName>
    <definedName name="calcACVTotalY0">Calc!$E$1880:$N$1880</definedName>
    <definedName name="calcACVTotalY1">Calc!$E$1886:$N$1886</definedName>
    <definedName name="calcACVTotalY2">Calc!$E$1892:$N$1892</definedName>
    <definedName name="calcACVTotalY3">Calc!$E$1899:$N$1899</definedName>
    <definedName name="calcACVTotalY4">Calc!$E$1905:$N$1905</definedName>
    <definedName name="calcACVTotalY5">Calc!$E$1911:$N$1911</definedName>
    <definedName name="calcACVY1Q1">Calc!$E$1882:$N$1882</definedName>
    <definedName name="calcACVY1Q2">Calc!$E$1883:$N$1883</definedName>
    <definedName name="calcACVY1Q3">Calc!$E$1884:$N$1884</definedName>
    <definedName name="calcACVY1Q4">Calc!$E$1885:$N$1885</definedName>
    <definedName name="calcACVY2Q1">Calc!$E$1888:$N$1888</definedName>
    <definedName name="calcACVY2Q2">Calc!$E$1889:$N$1889</definedName>
    <definedName name="calcACVY2Q3">Calc!$E$1890:$N$1890</definedName>
    <definedName name="calcACVY2Q4">Calc!$E$1891:$N$1891</definedName>
    <definedName name="calcACVY3Q1">Calc!$E$1895:$N$1895</definedName>
    <definedName name="calcACVY3Q2">Calc!$E$1896:$N$1896</definedName>
    <definedName name="calcACVY3Q3">Calc!$E$1897:$N$1897</definedName>
    <definedName name="calcACVY3Q4">Calc!$E$1898:$N$1898</definedName>
    <definedName name="calcACVY4Q1">Calc!$E$1901:$N$1901</definedName>
    <definedName name="calcACVY4Q2">Calc!$E$1902:$N$1902</definedName>
    <definedName name="calcACVY4Q3">Calc!$E$1903:$N$1903</definedName>
    <definedName name="calcACVY4Q4">Calc!$E$1904:$N$1904</definedName>
    <definedName name="calcACVY5Q1">Calc!$E$1907:$N$1907</definedName>
    <definedName name="calcACVY5Q2">Calc!$E$1908:$N$1908</definedName>
    <definedName name="calcACVY5Q3">Calc!$E$1909:$N$1909</definedName>
    <definedName name="calcACVY5Q4">Calc!$E$1910:$N$1910</definedName>
    <definedName name="calcBackOfficeIntegrationTimelineImpact">Calc!$E$110:$N$110</definedName>
    <definedName name="calcBaseRevWriteDownCost">Calc!$E$660:$N$660</definedName>
    <definedName name="calcBrandIntegrationTimeline">Calc!$E$853:$N$853</definedName>
    <definedName name="calcBrandIntExpLeftPostQ1">Calc!$E$593:$N$593</definedName>
    <definedName name="calcBrandIntExpLeftPostQ2">Calc!$E$596:$N$596</definedName>
    <definedName name="calcBrandIntExpLeftPostQ3">Calc!$E$599:$N$599</definedName>
    <definedName name="calcBrandIntExpLeftPostQ4">Calc!$E$602:$N$602</definedName>
    <definedName name="calcBrandIntExpLeftPostY2Q1">Calc!$E$609:$N$609</definedName>
    <definedName name="calcBrandIntExpLeftPostY2Q2">Calc!$E$612:$N$612</definedName>
    <definedName name="calcBrandIntExpLeftPostY2Q3">Calc!$E$615:$N$615</definedName>
    <definedName name="calcBrandIntExpLeftPostY2Q4">Calc!$E$618:$N$618</definedName>
    <definedName name="calcCSGExpLeftPostQ1">Calc!$E$557:$N$557</definedName>
    <definedName name="calcCSGExpLeftPostQ2">Calc!$E$560:$N$560</definedName>
    <definedName name="calcCSGExpLeftPostQ3">Calc!$E$563:$N$563</definedName>
    <definedName name="calcCSGExpLeftPostQ4">Calc!$E$566:$N$566</definedName>
    <definedName name="calcCSGExpLeftPostY2Q1">Calc!$E$573:$N$573</definedName>
    <definedName name="calcCSGExpLeftPostY2Q2">Calc!$E$576:$N$576</definedName>
    <definedName name="calcCSGExpLeftPostY2Q3">Calc!$E$579:$N$579</definedName>
    <definedName name="calcCSGExpLeftPostY2Q4">Calc!$E$582:$N$582</definedName>
    <definedName name="calcCSGTimeline">Calc!$E$852:$N$852</definedName>
    <definedName name="calcDelayImpact">Calc!$E$115:$N$115</definedName>
    <definedName name="calcDelayImpactBackOffice">Calc!$E$117:$N$117</definedName>
    <definedName name="calcDelayImpactHarm">Calc!$E$119:$N$119</definedName>
    <definedName name="calcDelayImpactOrg62">Calc!$E$120:$N$120</definedName>
    <definedName name="calcDelayImpactProduct">Calc!$E$118:$N$118</definedName>
    <definedName name="calcDelayImpactTrust">Calc!$E$116:$N$116</definedName>
    <definedName name="calcDisruptionTimelineImpact">Calc!$E$90:$N$90</definedName>
    <definedName name="calcEEBackOfficeTimeline">Calc!$E$13:$N$13</definedName>
    <definedName name="calcEEEmpIT">Calc!$E$12:$N$12</definedName>
    <definedName name="calcEEEvents">Calc!$E$22:$N$22</definedName>
    <definedName name="calcEEEvents_1">Calc!$E$25:$N$25</definedName>
    <definedName name="calcEEExternalSales">Calc!$E$14:$N$14</definedName>
    <definedName name="calcEEHarmTime">Calc!$E$10:$I$10</definedName>
    <definedName name="calcEEKeyHarm">Calc!$E$8:$N$8</definedName>
    <definedName name="calcEEKeyHarmTime">Calc!$E$10:$N$10</definedName>
    <definedName name="calcEENonKeyHarm">Calc!$E$9:$N$9</definedName>
    <definedName name="calcEENonKeyHarmTime">Calc!$E$11:$N$11</definedName>
    <definedName name="calcEEOrg62">Calc!$E$18:$N$18</definedName>
    <definedName name="calcEERealEstate">Calc!$E$15:$N$15</definedName>
    <definedName name="calcEERiskMitP0">Calc!$E$19:$N$19</definedName>
    <definedName name="calcEERiskMitP1">Calc!$E$20:$N$20</definedName>
    <definedName name="calcEERiskMitP2">Calc!$E$21:$N$21</definedName>
    <definedName name="calcEESiteInfra">Calc!$E$16:$N$16</definedName>
    <definedName name="calcEEStack">Calc!$E$17:$N$17</definedName>
    <definedName name="calcEndingGAPerc">Calc!$E$734:$N$734</definedName>
    <definedName name="calcEndingMSPerc">Calc!$E$726:$N$726</definedName>
    <definedName name="calcEndingRDPerc">Calc!$E$730:$N$730</definedName>
    <definedName name="calcESAT">Calc!$E$26:$N$26</definedName>
    <definedName name="calcESATBeforeTheoretical">Calc!$E$24:$N$24</definedName>
    <definedName name="calcExecutionVelocity">Calc!$E$63:$N$63</definedName>
    <definedName name="calcExecVelocBrandIntegration">Calc!$E$58:$N$58</definedName>
    <definedName name="calcExecVelocCSG">Calc!$E$57:$N$57</definedName>
    <definedName name="calcExecVelocEmpIntegration">Calc!$E$49:$N$49</definedName>
    <definedName name="calcExecVelocEvents">Calc!$E$61:$N$61</definedName>
    <definedName name="calcExecVelocHarmTimeline">Calc!$E$48:$N$48</definedName>
    <definedName name="calcExecVelocITTimeline">Calc!$E$50:$N$50</definedName>
    <definedName name="calcExecVelocLeadPass">Calc!$E$59:$N$59</definedName>
    <definedName name="calcExecVelocOrg62">Calc!$E$47:$N$47</definedName>
    <definedName name="calcExecVelocProductTimeline">Calc!$E$52:$N$52</definedName>
    <definedName name="calcExecVelocRE">Calc!$E$56:$N$56</definedName>
    <definedName name="calcExecVelocRiskMitP0">Calc!$E$53:$N$53</definedName>
    <definedName name="calcExecVelocRiskMitP1">Calc!$E$54:$N$54</definedName>
    <definedName name="calcExecVelocRiskMitP2">Calc!$E$55:$N$55</definedName>
    <definedName name="calcExecVelocTimeline">Calc!$E$60:$N$60</definedName>
    <definedName name="calcExecVelocTrustTimeline">Calc!$E$51:$N$51</definedName>
    <definedName name="calcExternalSalesExpLeftPostQ1">Calc!$E$632:$N$632</definedName>
    <definedName name="calcExternalSalesExpLeftPostQ2">Calc!$E$635:$N$635</definedName>
    <definedName name="calcExternalSalesExpLeftPostQ3">Calc!$E$638:$N$638</definedName>
    <definedName name="calcExternalSalesExpLeftPostQ4">Calc!$E$641:$N$641</definedName>
    <definedName name="calcExternalSalesExpLeftPostY2Q1">Calc!$E$648:$N$648</definedName>
    <definedName name="calcExternalSalesExpLeftPostY2Q2">Calc!$E$651:$N$651</definedName>
    <definedName name="calcExternalSalesExpLeftPostY2Q3">Calc!$E$654:$N$654</definedName>
    <definedName name="calcExternalSalesExpLeftPostY2Q4">Calc!$E$657:$N$657</definedName>
    <definedName name="calcExternalSalesTimeline">Calc!$E$628:$N$628</definedName>
    <definedName name="calcFullBrandIntExp">Calc!$E$587:$N$587</definedName>
    <definedName name="calcFullBrandIntExpY2">Calc!$E$605:$N$605</definedName>
    <definedName name="calcFullCSGExp">Calc!$E$551:$N$551</definedName>
    <definedName name="calcFullCSGExpY2">Calc!$E$569:$N$569</definedName>
    <definedName name="calcFullExternalSalesExp">Calc!$E$624:$N$624</definedName>
    <definedName name="calcFullExternalSalesExpY2">Calc!$E$644:$N$644</definedName>
    <definedName name="calcFullHarmExp">Calc!$E$274:$N$274</definedName>
    <definedName name="calcFullHarmExpY2">Calc!$E$300:$N$300</definedName>
    <definedName name="calcFullIntegrationCosts">Calc!$E$146:$N$146</definedName>
    <definedName name="calcFullIntegrationCostsY2">Calc!$E$164:$N$164</definedName>
    <definedName name="calcFullITExp">Calc!$E$319:$N$319</definedName>
    <definedName name="calcFullITExpY2">Calc!$E$336:$N$336</definedName>
    <definedName name="calcFullLeadPassExp">Calc!$E$516:$N$516</definedName>
    <definedName name="calcFullLeadPassExpY2">Calc!$E$534:$N$534</definedName>
    <definedName name="calcFullOrg62Exp">Calc!$E$445:$N$445</definedName>
    <definedName name="calcFullOrg62ExpY2">Calc!$E$462:$N$462</definedName>
    <definedName name="calcFullRealEstateCost">Calc!$E$355:$I$355</definedName>
    <definedName name="calcFullRECost">Calc!$E$355:$I$355</definedName>
    <definedName name="calcFullREExp">Calc!$E$355:$N$355</definedName>
    <definedName name="calcFullREExpLeftPostQ1">Calc!$E$360:$N$360</definedName>
    <definedName name="calcFullREExpLeftPostQ2">Calc!$E$363:$N$363</definedName>
    <definedName name="calcFullREExpLeftPostQ3">Calc!$E$366:$N$366</definedName>
    <definedName name="calcFullREExpLeftPostQ4">Calc!$E$369:$N$369</definedName>
    <definedName name="calcFullREExpLeftPostY2Q1">Calc!$E$380:$N$380</definedName>
    <definedName name="calcFullREExpLeftPostY2Q2">Calc!$E$383:$N$383</definedName>
    <definedName name="calcFullREExpLeftPostY2Q3">Calc!$E$386:$N$386</definedName>
    <definedName name="calcFullREExpLeftPostY2Q4">Calc!$E$389:$N$389</definedName>
    <definedName name="calcFullREExpY2">Calc!$E$375:$N$375</definedName>
    <definedName name="calcFullStackExp">Calc!$E$480:$N$480</definedName>
    <definedName name="calcFullStackExpY2">Calc!$E$498:$N$498</definedName>
    <definedName name="calcFullTrustExp">Calc!$E$401:$N$401</definedName>
    <definedName name="calcFullTrustExpY2">Calc!$E$419:$N$419</definedName>
    <definedName name="calcHarmExpEventImpacts">Calc!$E$273:$N$273</definedName>
    <definedName name="calcHarmExpEventImpactsY2">Calc!$E$299:$N$299</definedName>
    <definedName name="calcHarmExpLeftPostQ1">Calc!$E$280:$N$280</definedName>
    <definedName name="calcHarmExpLeftPostQ2">Calc!$E$283:$N$283</definedName>
    <definedName name="calcHarmExpLeftPostQ3">Calc!$E$286:$N$286</definedName>
    <definedName name="calcHarmExpLeftPostQ4">Calc!$E$289:$N$289</definedName>
    <definedName name="calcHarmExpLeftPostY2Q1">Calc!$E$304:$N$304</definedName>
    <definedName name="calcHarmExpLeftPostY2Q2">Calc!$E$307:$N$307</definedName>
    <definedName name="calcHarmExpLeftPostY2Q3">Calc!$E$310:$N$310</definedName>
    <definedName name="calcHarmExpLeftPostY2Q4">Calc!$E$313:$N$313</definedName>
    <definedName name="calcHarmTimeline">Calc!$E$276:$N$276</definedName>
    <definedName name="calcImmediateP0Cost">Calc!$E$397:$N$397</definedName>
    <definedName name="calcImmediateP1Cost">Calc!$E$398:$N$398</definedName>
    <definedName name="calcImmediateP2Cost">Calc!$E$399:$N$399</definedName>
    <definedName name="calcIntCostBrandInt">Calc!$E$142:$N$142</definedName>
    <definedName name="calcIntCostBrandIntY2">Calc!$E$160:$N$160</definedName>
    <definedName name="calcIntCostBudgetDelayY2">Calc!$E$163:$N$163</definedName>
    <definedName name="calcIntCostCSG">Calc!$E$141:$N$141</definedName>
    <definedName name="calcIntCostCSGY2">Calc!$E$159:$N$159</definedName>
    <definedName name="calcIntCostEmpIntegration">Calc!$E$135:$N$135</definedName>
    <definedName name="calcIntCostEmpIntegrationY2">Calc!$E$152:$N$152</definedName>
    <definedName name="calcIntCostEmpIntegrationY2Delay">Calc!$E$169:$N$169</definedName>
    <definedName name="calcIntCostEvents">Calc!$E$145:$N$145</definedName>
    <definedName name="calcIntCostEventsY2">Calc!$E$162:$N$162</definedName>
    <definedName name="calcIntCostExternalSales">Calc!$E$144:$N$144</definedName>
    <definedName name="calcIntCostExternalSalesY2">Calc!$E$158:$N$158</definedName>
    <definedName name="calcIntCostHarm">Calc!$E$134:$N$134</definedName>
    <definedName name="calcIntCostHarmY2">Calc!$E$151:$N$151</definedName>
    <definedName name="calcIntCostHarmY2Delay">Calc!$E$168:$N$168</definedName>
    <definedName name="calcIntCostLeadPass">Calc!$E$143:$N$143</definedName>
    <definedName name="calcIntCostLeadPassY2">Calc!$E$161:$N$161</definedName>
    <definedName name="calcIntCostOrg62">Calc!$E$139:$N$139</definedName>
    <definedName name="calcIntCostOrg62Y2">Calc!$E$156:$N$156</definedName>
    <definedName name="calcIntCostOrg62Y2Delay">Calc!$E$173:$N$173</definedName>
    <definedName name="calcIntCostRealEstate">Calc!$E$136:$N$136</definedName>
    <definedName name="calcIntCostRealEstateY2">Calc!$E$153:$N$153</definedName>
    <definedName name="calcIntCostRealEstateY2Delay">Calc!$E$170:$N$170</definedName>
    <definedName name="calcIntCostRiskMit">Calc!$E$138:$N$138</definedName>
    <definedName name="calcIntCostRiskMitY2">Calc!$E$155:$N$155</definedName>
    <definedName name="calcIntCostRiskMitY2Delay">Calc!$E$172:$N$172</definedName>
    <definedName name="calcIntCostSiteInfra">Calc!$E$137:$N$137</definedName>
    <definedName name="calcIntCostSiteInfraY2">Calc!$E$154:$N$154</definedName>
    <definedName name="calcIntCostSiteInfraY2Delay">Calc!$E$171:$N$171</definedName>
    <definedName name="calcIntCostStack">Calc!$E$140:$N$140</definedName>
    <definedName name="calcIntCostStackY2">Calc!$E$157:$N$157</definedName>
    <definedName name="calcIntCostStackY2Delay">Calc!$E$174:$N$174</definedName>
    <definedName name="calcIntegrationBudget">Calc!$E$131:$N$131</definedName>
    <definedName name="calcIntegrationBudgetLeftY1">Calc!$E$147:$N$147</definedName>
    <definedName name="calcIntegrationBudgetLeftY2">Calc!$E$166:$N$166</definedName>
    <definedName name="calcIntegrationBudgetY2">Calc!$E$149:$N$149</definedName>
    <definedName name="calcITExpLeftPostQ1">Calc!$E$325:$N$325</definedName>
    <definedName name="calcITExpLeftPostQ2">Calc!$E$328:$N$328</definedName>
    <definedName name="calcITExpLeftPostQ3">Calc!$E$331:$N$331</definedName>
    <definedName name="calcITExpLeftPostQ4">Calc!$E$334:$N$334</definedName>
    <definedName name="calcITExpLeftPostY2Q1">Calc!$E$340:$N$340</definedName>
    <definedName name="calcITExpLeftPostY2Q2">Calc!$E$343:$N$343</definedName>
    <definedName name="calcITExpLeftPostY2Q3">Calc!$E$346:$N$346</definedName>
    <definedName name="calcITExpLeftPostY2Q4">Calc!$E$349:$N$349</definedName>
    <definedName name="calcITTimeline">Calc!$E$850:$N$850</definedName>
    <definedName name="calcKeyHarmExp">Calc!$E$270:$N$270</definedName>
    <definedName name="calcKeyHarmExpY2">Calc!$E$294:$N$294</definedName>
    <definedName name="calcLeadPassActivate">Calc!$E$65:$N$65</definedName>
    <definedName name="calcLeadPassExpLeftPostQ1">Calc!$E$522:$N$522</definedName>
    <definedName name="calcLeadPassExpLeftPostQ2">Calc!$E$525:$N$525</definedName>
    <definedName name="calcLeadPassExpLeftPostQ3">Calc!$E$528:$N$528</definedName>
    <definedName name="calcLeadPassExpLeftPostQ4">Calc!$E$531:$N$531</definedName>
    <definedName name="calcLeadPassExpLeftPostY2Q1">Calc!$E$538:$N$538</definedName>
    <definedName name="calcLeadPassExpLeftPostY2Q2">Calc!$E$541:$N$541</definedName>
    <definedName name="calcLeadPassExpLeftPostY2Q3">Calc!$E$544:$N$544</definedName>
    <definedName name="calcLeadPassExpLeftPostY2Q4">Calc!$E$547:$N$547</definedName>
    <definedName name="calcLeadPassTimeline">Calc!$E$518:$N$518</definedName>
    <definedName name="calcNonKeyHarmExp">Calc!$E$272:$N$272</definedName>
    <definedName name="calcNonKeyHarmExpY2">Calc!$E$298:$N$298</definedName>
    <definedName name="calcNPS">Calc!$E$42:$N$42</definedName>
    <definedName name="calcNPSBrandIntegration">Calc!$E$38:$N$38</definedName>
    <definedName name="calcNPSCSGPostSales">Calc!$E$37:$N$37</definedName>
    <definedName name="calcNPSEvents">Calc!$E$40:$N$40</definedName>
    <definedName name="calcNPSExternalSales">Calc!$E$36:$N$36</definedName>
    <definedName name="calcNPSOrg62">Calc!$E$39:$N$39</definedName>
    <definedName name="calcNPSStackFocus">Calc!$E$35:$N$35</definedName>
    <definedName name="calcOrg62ExpLeftPostQ1">Calc!$E$451:$N$451</definedName>
    <definedName name="calcOrg62ExpLeftPostQ2">Calc!$E$454:$N$454</definedName>
    <definedName name="calcOrg62ExpLeftPostQ3">Calc!$E$457:$N$457</definedName>
    <definedName name="calcOrg62ExpLeftPostQ4">Calc!$E$460:$N$460</definedName>
    <definedName name="calcOrg62ExpLeftPostY2Q1">Calc!$E$466:$N$466</definedName>
    <definedName name="calcOrg62ExpLeftPostY2Q2">Calc!$E$469:$N$469</definedName>
    <definedName name="calcOrg62ExpLeftPostY2Q3">Calc!$E$472:$N$472</definedName>
    <definedName name="calcOrg62ExpLeftPostY2Q4">Calc!$E$475:$N$475</definedName>
    <definedName name="calcOrg62Timeline">Calc!$E$447:$N$447</definedName>
    <definedName name="calcPeopleTimeline">Calc!$E$848:$N$848</definedName>
    <definedName name="calcProductIntegrationTimelineImpact">Calc!$E$111:$N$111</definedName>
    <definedName name="calcProductTimeline">Calc!$E$849:$N$849</definedName>
    <definedName name="calcQ1AttritionDifference">Calc!$E$864:$N$864</definedName>
    <definedName name="calcQ1BrandIntExp">Calc!$E$592:$N$592</definedName>
    <definedName name="calcQ1COSPerc">Calc!$E$187:$N$187</definedName>
    <definedName name="calcQ1CSGExp">Calc!$E$556:$N$556</definedName>
    <definedName name="calcQ1ExternalSalesExp">Calc!$E$631:$N$631</definedName>
    <definedName name="calcQ1FullREExp">Calc!$E$359:$N$359</definedName>
    <definedName name="calcQ1GAExp">Calc!$E$253:$N$253</definedName>
    <definedName name="calcQ1HarmExp">Calc!$E$279:$N$279</definedName>
    <definedName name="calcQ1ITExp">Calc!$E$324:$N$324</definedName>
    <definedName name="calcQ1LeadPassExp">Calc!$E$521:$N$521</definedName>
    <definedName name="calcQ1MSExp">Calc!$E$219:$N$219</definedName>
    <definedName name="calcQ1Org62Exp">Calc!$E$450:$N$450</definedName>
    <definedName name="calcQ1RDExp">Calc!$E$236:$N$236</definedName>
    <definedName name="calcQ1REExp">Calc!$E$359:$I$359</definedName>
    <definedName name="calcQ1Rev">Calc!$E$907:$N$907</definedName>
    <definedName name="calcQ1RevenueAdjustment">Calc!$E$873:$N$873</definedName>
    <definedName name="calcQ1RevenueY_1Q1">Calc!$E$879:$N$879</definedName>
    <definedName name="calcQ1RevenueY_1Q2">Calc!$E$880:$N$880</definedName>
    <definedName name="calcQ1RevenueY_1Q3">Calc!$E$881:$N$881</definedName>
    <definedName name="calcQ1RevenueY_1Q4">Calc!$E$882:$N$882</definedName>
    <definedName name="calcQ1RevenueY_2Q1">Calc!$E$875:$N$875</definedName>
    <definedName name="calcQ1RevenueY_2Q2">Calc!$E$876:$N$876</definedName>
    <definedName name="calcQ1RevenueY_2Q3">Calc!$E$877:$N$877</definedName>
    <definedName name="calcQ1RevenueY_2Q4">Calc!$E$878:$N$878</definedName>
    <definedName name="calcQ1RevenueY0Q1">Calc!$E$883:$N$883</definedName>
    <definedName name="calcQ1RevenueY0Q2">Calc!$E$884:$N$884</definedName>
    <definedName name="calcQ1RevenueY0Q3">Calc!$E$885:$N$885</definedName>
    <definedName name="calcQ1RevenueY0Q4">Calc!$E$886:$N$886</definedName>
    <definedName name="calcQ1RevenueY1Q1">Calc!$E$887:$N$887</definedName>
    <definedName name="calcQ1RevenueY1Q2">Calc!$E$888:$N$888</definedName>
    <definedName name="calcQ1RevenueY1Q3">Calc!$E$889:$N$889</definedName>
    <definedName name="calcQ1RevenueY1Q4">Calc!$E$890:$N$890</definedName>
    <definedName name="calcQ1RevenueY2Q1">Calc!$E$891:$N$891</definedName>
    <definedName name="calcQ1RevenueY2Q2">Calc!$E$892:$N$892</definedName>
    <definedName name="calcQ1RevenueY2Q3">Calc!$E$893:$N$893</definedName>
    <definedName name="calcQ1RevenueY2Q4">Calc!$E$894:$N$894</definedName>
    <definedName name="calcQ1RevenueY3Q1">Calc!$E$895:$N$895</definedName>
    <definedName name="calcQ1RevenueY3Q2">Calc!$E$896:$N$896</definedName>
    <definedName name="calcQ1RevenueY3Q3">Calc!$E$897:$N$897</definedName>
    <definedName name="calcQ1RevenueY3Q4">Calc!$E$898:$N$898</definedName>
    <definedName name="calcQ1RevenueY4Q1">Calc!$E$899:$N$899</definedName>
    <definedName name="calcQ1RevenueY4Q2">Calc!$E$900:$N$900</definedName>
    <definedName name="calcQ1RevenueY4Q3">Calc!$E$901:$N$901</definedName>
    <definedName name="calcQ1RevenueY4Q4">Calc!$E$902:$N$902</definedName>
    <definedName name="calcQ1RevenueY5Q1">Calc!$E$903:$N$903</definedName>
    <definedName name="calcQ1RevenueY5Q2">Calc!$E$904:$N$904</definedName>
    <definedName name="calcQ1RevenueY5Q3">Calc!$E$905:$N$905</definedName>
    <definedName name="calcQ1RevenueY5Q4">Calc!$E$906:$N$906</definedName>
    <definedName name="calcQ1RevWriteDownExp">Calc!$E$662:$N$662</definedName>
    <definedName name="calcQ1StackExp">Calc!$E$485:$N$485</definedName>
    <definedName name="calcQ1TrustExp">Calc!$E$406:$N$406</definedName>
    <definedName name="calcQ2AttritionDifference">Calc!$E$913:$N$913</definedName>
    <definedName name="calcQ2BrandIntExp">Calc!$E$595:$N$595</definedName>
    <definedName name="calcQ2COSPerc">Calc!$E$191:$N$191</definedName>
    <definedName name="calcQ2CSGExp">Calc!$E$559:$N$559</definedName>
    <definedName name="calcQ2ExternalSalesExp">Calc!$E$634:$N$634</definedName>
    <definedName name="calcQ2FullREExp">Calc!$E$362:$N$362</definedName>
    <definedName name="calcQ2GAExp">Calc!$E$257:$N$257</definedName>
    <definedName name="calcQ2HarmExp">Calc!$E$282:$N$282</definedName>
    <definedName name="calcQ2ITExp">Calc!$E$327:$N$327</definedName>
    <definedName name="calcQ2LeadPassExp">Calc!$E$524:$N$524</definedName>
    <definedName name="calcQ2MSExp">Calc!$E$223:$N$223</definedName>
    <definedName name="calcQ2Org62Exp">Calc!$E$453:$N$453</definedName>
    <definedName name="calcQ2RDExp">Calc!$E$240:$N$240</definedName>
    <definedName name="calcQ2REExp">Calc!$E$362:$I$362</definedName>
    <definedName name="calcQ2Rev">Calc!$E$956:$N$956</definedName>
    <definedName name="calcQ2RevenueAdjustment">Calc!$E$922:$N$922</definedName>
    <definedName name="calcQ2RevenueY_1Q1">Calc!$E$928:$N$928</definedName>
    <definedName name="calcQ2RevenueY_1Q2">Calc!$E$929:$N$929</definedName>
    <definedName name="calcQ2RevenueY_1Q3">Calc!$E$930:$N$930</definedName>
    <definedName name="calcQ2RevenueY_1Q4">Calc!$E$931:$N$931</definedName>
    <definedName name="calcQ2RevenueY_2Q1">Calc!$E$924:$N$924</definedName>
    <definedName name="calcQ2RevenueY_2Q2">Calc!$E$925:$N$925</definedName>
    <definedName name="calcQ2RevenueY_2Q3">Calc!$E$926:$N$926</definedName>
    <definedName name="calcQ2RevenueY_2Q4">Calc!$E$927:$N$927</definedName>
    <definedName name="calcQ2RevenueY0Q1">Calc!$E$932:$N$932</definedName>
    <definedName name="calcQ2RevenueY0Q2">Calc!$E$933:$N$933</definedName>
    <definedName name="calcQ2RevenueY0Q3">Calc!$E$934:$N$934</definedName>
    <definedName name="calcQ2RevenueY0Q4">Calc!$E$935:$N$935</definedName>
    <definedName name="calcQ2RevenueY1Q1">Calc!$E$936:$N$936</definedName>
    <definedName name="calcQ2RevenueY1Q2">Calc!$E$937:$N$937</definedName>
    <definedName name="calcQ2RevenueY1Q3">Calc!$E$938:$N$938</definedName>
    <definedName name="calcQ2RevenueY1Q4">Calc!$E$939:$N$939</definedName>
    <definedName name="calcQ2RevenueY2Q1">Calc!$E$940:$N$940</definedName>
    <definedName name="calcQ2RevenueY2Q2">Calc!$E$941:$N$941</definedName>
    <definedName name="calcQ2RevenueY2Q3">Calc!$E$942:$N$942</definedName>
    <definedName name="calcQ2RevenueY2Q4">Calc!$E$943:$N$943</definedName>
    <definedName name="calcQ2RevenueY3Q1">Calc!$E$944:$N$944</definedName>
    <definedName name="calcQ2RevenueY3Q2">Calc!$E$945:$N$945</definedName>
    <definedName name="calcQ2RevenueY3Q3">Calc!$E$946:$N$946</definedName>
    <definedName name="calcQ2RevenueY3Q4">Calc!$E$947:$N$947</definedName>
    <definedName name="calcQ2RevenueY4Q1">Calc!$E$948:$N$948</definedName>
    <definedName name="calcQ2RevenueY4Q2">Calc!$E$949:$N$949</definedName>
    <definedName name="calcQ2RevenueY4Q3">Calc!$E$950:$N$950</definedName>
    <definedName name="calcQ2RevenueY4Q4">Calc!$E$951:$N$951</definedName>
    <definedName name="calcQ2RevenueY5Q1">Calc!$E$952:$N$952</definedName>
    <definedName name="calcQ2RevenueY5Q2">Calc!$E$953:$N$953</definedName>
    <definedName name="calcQ2RevenueY5Q3">Calc!$E$954:$N$954</definedName>
    <definedName name="calcQ2RevenueY5Q4">Calc!$E$955:$N$955</definedName>
    <definedName name="calcQ2RevWriteDownExp">Calc!$E$665:$N$665</definedName>
    <definedName name="calcQ2StackExp">Calc!$E$488:$N$488</definedName>
    <definedName name="calcQ2TrustExp">Calc!$E$409:$N$409</definedName>
    <definedName name="calcQ3AttritionDifference">Calc!$E$962:$N$962</definedName>
    <definedName name="calcQ3BrandIntExp">Calc!$E$598:$N$598</definedName>
    <definedName name="calcQ3COSPerc">Calc!$E$195:$N$195</definedName>
    <definedName name="calcQ3CSGExp">Calc!$E$562:$N$562</definedName>
    <definedName name="calcQ3ExternalSalesExp">Calc!$E$637:$N$637</definedName>
    <definedName name="calcQ3FullREExp">Calc!$E$365:$N$365</definedName>
    <definedName name="calcQ3GAExp">Calc!$E$261:$N$261</definedName>
    <definedName name="calcQ3HarmExp">Calc!$E$285:$N$285</definedName>
    <definedName name="calcQ3ITExp">Calc!$E$330:$N$330</definedName>
    <definedName name="calcQ3LeadPassExp">Calc!$E$527:$N$527</definedName>
    <definedName name="calcQ3MSExp">Calc!$E$227:$N$227</definedName>
    <definedName name="calcQ3Org62Exp">Calc!$E$456:$N$456</definedName>
    <definedName name="calcQ3RDExp">Calc!$E$244:$N$244</definedName>
    <definedName name="calcQ3REExp">Calc!$E$365:$I$365</definedName>
    <definedName name="calcQ3Rev">Calc!$E$1005:$N$1005</definedName>
    <definedName name="calcQ3RevenueAdjustment">Calc!$E$971:$N$971</definedName>
    <definedName name="calcQ3RevenueY_1Q1">Calc!$E$977:$N$977</definedName>
    <definedName name="calcQ3RevenueY_1Q2">Calc!$E$978:$N$978</definedName>
    <definedName name="calcQ3RevenueY_1Q3">Calc!$E$979:$N$979</definedName>
    <definedName name="calcQ3RevenueY_1Q4">Calc!$E$980:$N$980</definedName>
    <definedName name="calcQ3RevenueY_2Q1">Calc!$E$973:$N$973</definedName>
    <definedName name="calcQ3RevenueY_2Q2">Calc!$E$974:$N$974</definedName>
    <definedName name="calcQ3RevenueY_2Q3">Calc!$E$975:$N$975</definedName>
    <definedName name="calcQ3RevenueY_2Q4">Calc!$E$976:$N$976</definedName>
    <definedName name="calcQ3RevenueY0Q1">Calc!$E$981:$N$981</definedName>
    <definedName name="calcQ3RevenueY0Q2">Calc!$E$982:$N$982</definedName>
    <definedName name="calcQ3RevenueY0Q3">Calc!$E$983:$N$983</definedName>
    <definedName name="calcQ3RevenueY0Q4">Calc!$E$984:$N$984</definedName>
    <definedName name="calcQ3RevenueY1Q1">Calc!$E$985:$N$985</definedName>
    <definedName name="calcQ3RevenueY1Q2">Calc!$E$986:$N$986</definedName>
    <definedName name="calcQ3RevenueY1Q3">Calc!$E$987:$N$987</definedName>
    <definedName name="calcQ3RevenueY1Q4">Calc!$E$988:$N$988</definedName>
    <definedName name="calcQ3RevenueY2Q1">Calc!$E$989:$N$989</definedName>
    <definedName name="calcQ3RevenueY2Q2">Calc!$E$990:$N$990</definedName>
    <definedName name="calcQ3RevenueY2Q3">Calc!$E$991:$N$991</definedName>
    <definedName name="calcQ3RevenueY2Q4">Calc!$E$992:$N$992</definedName>
    <definedName name="calcQ3RevenueY3Q1">Calc!$E$993:$N$993</definedName>
    <definedName name="calcQ3RevenueY3Q2">Calc!$E$994:$N$994</definedName>
    <definedName name="calcQ3RevenueY3Q3">Calc!$E$995:$N$995</definedName>
    <definedName name="calcQ3RevenueY3Q4">Calc!$E$996:$N$996</definedName>
    <definedName name="calcQ3RevenueY4Q1">Calc!$E$997:$N$997</definedName>
    <definedName name="calcQ3RevenueY4Q2">Calc!$E$998:$N$998</definedName>
    <definedName name="calcQ3RevenueY4Q3">Calc!$E$999:$N$999</definedName>
    <definedName name="calcQ3RevenueY4Q4">Calc!$E$1000:$N$1000</definedName>
    <definedName name="calcQ3RevenueY5Q1">Calc!$E$1001:$N$1001</definedName>
    <definedName name="calcQ3RevenueY5Q2">Calc!$E$1002:$N$1002</definedName>
    <definedName name="calcQ3RevenueY5Q3">Calc!$E$1003:$N$1003</definedName>
    <definedName name="calcQ3RevenueY5Q4">Calc!$E$1004:$N$1004</definedName>
    <definedName name="calcQ3RevWriteDownExp">Calc!$E$668:$N$668</definedName>
    <definedName name="calcQ3StackExp">Calc!$E$491:$N$491</definedName>
    <definedName name="calcQ3TrustExp">Calc!$E$412:$N$412</definedName>
    <definedName name="calcQ4AttritionDifference">Calc!$E$1011:$N$1011</definedName>
    <definedName name="calcQ4BrandIntExp">Calc!$E$601:$N$601</definedName>
    <definedName name="calcQ4COSPerc">Calc!$E$199:$N$199</definedName>
    <definedName name="calcQ4CSGExp">Calc!$E$565:$N$565</definedName>
    <definedName name="calcQ4ExternalSalesExp">Calc!$E$640:$N$640</definedName>
    <definedName name="calcQ4FullREExp">Calc!$E$368:$N$368</definedName>
    <definedName name="calcQ4GAExp">Calc!$E$265:$N$265</definedName>
    <definedName name="calcQ4HarmExp">Calc!$E$288:$N$288</definedName>
    <definedName name="calcQ4ITExp">Calc!$E$333:$N$333</definedName>
    <definedName name="calcQ4LeadPassExp">Calc!$E$530:$N$530</definedName>
    <definedName name="calcQ4MSExp">Calc!$E$231:$N$231</definedName>
    <definedName name="calcQ4Org62Exp">Calc!$E$459:$N$459</definedName>
    <definedName name="calcQ4RDExp">Calc!$E$248:$N$248</definedName>
    <definedName name="calcQ4REExp">Calc!$E$368:$I$368</definedName>
    <definedName name="calcQ4Rev">Calc!$E$1054:$N$1054</definedName>
    <definedName name="calcQ4RevenueAdjustment">Calc!$E$1020:$N$1020</definedName>
    <definedName name="calcQ4RevenueY_1Q1">Calc!$E$1026:$N$1026</definedName>
    <definedName name="calcQ4RevenueY_1Q2">Calc!$E$1027:$N$1027</definedName>
    <definedName name="calcQ4RevenueY_1Q3">Calc!$E$1028:$N$1028</definedName>
    <definedName name="calcQ4RevenueY_1Q4">Calc!$E$1029:$N$1029</definedName>
    <definedName name="calcQ4RevenueY_2Q1">Calc!$E$1022:$N$1022</definedName>
    <definedName name="calcQ4RevenueY_2Q2">Calc!$E$1023:$N$1023</definedName>
    <definedName name="calcQ4RevenueY_2Q3">Calc!$E$1024:$N$1024</definedName>
    <definedName name="calcQ4RevenueY_2Q4">Calc!$E$1025:$N$1025</definedName>
    <definedName name="calcQ4RevenueY0Q1">Calc!$E$1030:$N$1030</definedName>
    <definedName name="calcQ4RevenueY0Q2">Calc!$E$1031:$N$1031</definedName>
    <definedName name="calcQ4RevenueY0Q3">Calc!$E$1032:$N$1032</definedName>
    <definedName name="calcQ4RevenueY0Q4">Calc!$E$1033:$N$1033</definedName>
    <definedName name="calcQ4RevenueY1Q1">Calc!$E$1034:$N$1034</definedName>
    <definedName name="calcQ4RevenueY1Q2">Calc!$E$1035:$N$1035</definedName>
    <definedName name="calcQ4RevenueY1Q3">Calc!$E$1036:$N$1036</definedName>
    <definedName name="calcQ4RevenueY1Q4">Calc!$E$1037:$N$1037</definedName>
    <definedName name="calcQ4RevenueY2Q1">Calc!$E$1038:$N$1038</definedName>
    <definedName name="calcQ4RevenueY2Q2">Calc!$E$1039:$N$1039</definedName>
    <definedName name="calcQ4RevenueY2Q3">Calc!$E$1040:$N$1040</definedName>
    <definedName name="calcQ4RevenueY2Q4">Calc!$E$1041:$N$1041</definedName>
    <definedName name="calcQ4RevenueY3Q1">Calc!$E$1042:$N$1042</definedName>
    <definedName name="calcQ4RevenueY3Q2">Calc!$E$1043:$N$1043</definedName>
    <definedName name="calcQ4RevenueY3Q3">Calc!$E$1044:$N$1044</definedName>
    <definedName name="calcQ4RevenueY3Q4">Calc!$E$1045:$N$1045</definedName>
    <definedName name="calcQ4RevenueY4Q1">Calc!$E$1046:$N$1046</definedName>
    <definedName name="calcQ4RevenueY4Q2">Calc!$E$1047:$N$1047</definedName>
    <definedName name="calcQ4RevenueY4Q3">Calc!$E$1048:$N$1048</definedName>
    <definedName name="calcQ4RevenueY4Q4">Calc!$E$1049:$N$1049</definedName>
    <definedName name="calcQ4RevenueY5Q1">Calc!$E$1050:$N$1050</definedName>
    <definedName name="calcQ4RevenueY5Q2">Calc!$E$1051:$N$1051</definedName>
    <definedName name="calcQ4RevenueY5Q3">Calc!$E$1052:$N$1052</definedName>
    <definedName name="calcQ4RevenueY5Q4">Calc!$E$1053:$N$1053</definedName>
    <definedName name="calcQ4RevWriteDownExp">Calc!$E$671:$N$671</definedName>
    <definedName name="calcQ4StackExp">Calc!$E$494:$N$494</definedName>
    <definedName name="calcQ4TrustExp">Calc!$E$415:$N$415</definedName>
    <definedName name="calcRealEsateCost">Calc!$E$353:$N$353</definedName>
    <definedName name="calcRealEsateCostY2">Calc!$E$373:$N$373</definedName>
    <definedName name="calcREExpLeftPostQ1">Calc!$E$360:$I$360</definedName>
    <definedName name="calcREExpLeftPostQ2">Calc!$E$363:$I$363</definedName>
    <definedName name="calcREExpLeftPostQ3">Calc!$E$366:$I$366</definedName>
    <definedName name="calcREExpLeftPostQ4">Calc!$E$369:$I$369</definedName>
    <definedName name="calcRETimeline">Calc!$E$377:$N$377</definedName>
    <definedName name="calcRevWriteExpPostQ1">Calc!$E$663:$N$663</definedName>
    <definedName name="calcRevWriteExpPostQ2">Calc!$E$666:$N$666</definedName>
    <definedName name="calcRevWriteExpPostQ3">Calc!$E$669:$N$669</definedName>
    <definedName name="calcRevWriteExpPostQ4">Calc!$E$672:$N$672</definedName>
    <definedName name="calcRevWriteExpPostY2Q1">Calc!$E$676:$N$676</definedName>
    <definedName name="calcRevWriteExpPostY2Q2">Calc!$E$679:$N$679</definedName>
    <definedName name="calcRevWriteExpPostY2Q3">Calc!$E$682:$N$682</definedName>
    <definedName name="calcRevWriteExpPostY2Q4">Calc!$E$685:$N$685</definedName>
    <definedName name="calcRiskIndex">Calc!$E$106:$N$106</definedName>
    <definedName name="calcRiskIndexBackOfficeTimeline">Calc!$E$98:$N$98</definedName>
    <definedName name="calcRiskIndexEmpIntegration">Calc!$E$101:$N$101</definedName>
    <definedName name="calcRiskIndexEvents">Calc!$E$104:$N$104</definedName>
    <definedName name="calcRiskIndexProdRestrictions">Calc!$E$99:$N$99</definedName>
    <definedName name="calcRiskIndexRE">Calc!$E$102:$N$102</definedName>
    <definedName name="calcRiskIndexRiskMitP0">Calc!$E$94:$N$94</definedName>
    <definedName name="calcRiskIndexRiskMitP1">Calc!$E$95:$N$95</definedName>
    <definedName name="calcRiskIndexRiskMitP2">Calc!$E$96:$N$96</definedName>
    <definedName name="calcRiskIndexSiteInfrastructure">Calc!$E$103:$N$103</definedName>
    <definedName name="calcRiskIndexStackFocus">Calc!$E$100:$N$100</definedName>
    <definedName name="calcRiskIndexTrustTimeline">Calc!$E$97:$N$97</definedName>
    <definedName name="calcSecurityTimeline">Calc!$E$851:$N$851</definedName>
    <definedName name="calcSiteInfrastructureBuildOutCost">Calc!$E$354:$N$354</definedName>
    <definedName name="calcSiteInfrastructureBuildOutCostY2">Calc!$E$374:$N$374</definedName>
    <definedName name="calcStackExp">Calc!$E$482:$I$482</definedName>
    <definedName name="calcStackExpLeftPostQ1">Calc!$E$486:$N$486</definedName>
    <definedName name="calcStackExpLeftPostQ2">Calc!$E$489:$N$489</definedName>
    <definedName name="calcStackExpLeftPostQ3">Calc!$E$492:$N$492</definedName>
    <definedName name="calcStackExpLeftPostQ4">Calc!$E$495:$N$495</definedName>
    <definedName name="calcStackExpLeftPostY2Q1">Calc!$E$502:$N$502</definedName>
    <definedName name="calcStackExpLeftPostY2Q2">Calc!$E$505:$N$505</definedName>
    <definedName name="calcStackExpLeftPostY2Q3">Calc!$E$508:$N$508</definedName>
    <definedName name="calcStackExpLeftPostY2Q4">Calc!$E$511:$N$511</definedName>
    <definedName name="calcStackTimeline">Calc!$E$482:$N$482</definedName>
    <definedName name="calcTeamNum">Calc!$E$859:$N$859</definedName>
    <definedName name="calcTrustExpLeftPostQ1">Calc!$E$407:$N$407</definedName>
    <definedName name="calcTrustExpLeftPostQ2">Calc!$E$410:$N$410</definedName>
    <definedName name="calcTrustExpLeftPostQ3">Calc!$E$413:$N$413</definedName>
    <definedName name="calcTrustExpLeftPostQ4">Calc!$E$416:$N$416</definedName>
    <definedName name="calcTrustExpLeftPostY2Q1">Calc!$E$423:$N$423</definedName>
    <definedName name="calcTrustExpLeftPostY2Q2">Calc!$E$426:$N$426</definedName>
    <definedName name="calcTrustExpLeftPostY2Q3">Calc!$E$429:$N$429</definedName>
    <definedName name="calcTrustExpLeftPostY2Q4">Calc!$E$432:$N$432</definedName>
    <definedName name="calcTrustIntegrationTimelineImpact">Calc!$E$109:$N$109</definedName>
    <definedName name="calcTrustTimeline">Calc!$E$403:$N$403</definedName>
    <definedName name="calcY1BudgetErrorCheck">Calc!$E$178:$J$178</definedName>
    <definedName name="calcY1Q1RevFlow">Calc!$E$875:$N$906</definedName>
    <definedName name="calcY1Q2RevFlow">Calc!$E$924:$N$955</definedName>
    <definedName name="calcY1Q3RevFlow">Calc!$E$973:$N$1004</definedName>
    <definedName name="calcY1Q4RevFlow">Calc!$E$1022:$N$1053</definedName>
    <definedName name="calcY2BudgetErrorCheck">Calc!$E$182:$J$182</definedName>
    <definedName name="calcY2Q1AttritionDifference">Calc!$E$1063:$N$1063</definedName>
    <definedName name="calcY2Q1BrandIntExp">Calc!$E$608:$N$608</definedName>
    <definedName name="calcY2Q1COSPerc">Calc!$E$691:$N$691</definedName>
    <definedName name="calcY2Q1CSGExp">Calc!$E$572:$N$572</definedName>
    <definedName name="calcY2Q1ExternalSalesExp">Calc!$E$647:$N$647</definedName>
    <definedName name="calcY2Q1FullREExp">Calc!$E$379:$N$379</definedName>
    <definedName name="calcY2Q1GAExp">Calc!$E$773:$N$773</definedName>
    <definedName name="calcY2Q1HarmExp">Calc!$E$303:$N$303</definedName>
    <definedName name="calcY2Q1ITExp">Calc!$E$339:$N$339</definedName>
    <definedName name="calcY2Q1LeadPassExp">Calc!$E$537:$N$537</definedName>
    <definedName name="calcY2Q1MSExp">Calc!$E$739:$N$739</definedName>
    <definedName name="calcY2Q1Org62Exp">Calc!$E$465:$N$465</definedName>
    <definedName name="calcY2Q1RDExp">Calc!$E$756:$N$756</definedName>
    <definedName name="calcY2Q1Rev">Calc!$E$1106:$N$1106</definedName>
    <definedName name="calcY2Q1RevenueAdjustment">Calc!$E$1072:$N$1072</definedName>
    <definedName name="calcY2Q1RevenueY_1Q1">Calc!$E$1078:$N$1078</definedName>
    <definedName name="calcY2Q1RevenueY_1Q2">Calc!$E$1079:$N$1079</definedName>
    <definedName name="calcY2Q1RevenueY_1Q3">Calc!$E$1080:$N$1080</definedName>
    <definedName name="calcY2Q1RevenueY_1Q4">Calc!$E$1081:$N$1081</definedName>
    <definedName name="calcY2Q1RevenueY_2Q1">Calc!$E$1074:$N$1074</definedName>
    <definedName name="calcY2Q1RevenueY_2Q2">Calc!$E$1075:$N$1075</definedName>
    <definedName name="calcY2Q1RevenueY_2Q3">Calc!$E$1076:$N$1076</definedName>
    <definedName name="calcY2Q1RevenueY_2Q4">Calc!$E$1077:$N$1077</definedName>
    <definedName name="calcY2Q1RevenueY0Q1">Calc!$E$1082:$N$1082</definedName>
    <definedName name="calcY2Q1RevenueY0Q2">Calc!$E$1083:$N$1083</definedName>
    <definedName name="calcY2Q1RevenueY0Q3">Calc!$E$1084:$N$1084</definedName>
    <definedName name="calcY2Q1RevenueY0Q4">Calc!$E$1085:$N$1085</definedName>
    <definedName name="calcY2Q1RevenueY1Q1">Calc!$E$1086:$N$1086</definedName>
    <definedName name="calcY2Q1RevenueY1Q2">Calc!$E$1087:$N$1087</definedName>
    <definedName name="calcY2Q1RevenueY1Q3">Calc!$E$1088:$N$1088</definedName>
    <definedName name="calcY2Q1RevenueY1Q4">Calc!$E$1089:$N$1089</definedName>
    <definedName name="calcY2Q1RevenueY2Q1">Calc!$E$1090:$N$1090</definedName>
    <definedName name="calcY2Q1RevenueY2Q2">Calc!$E$1091:$N$1091</definedName>
    <definedName name="calcY2Q1RevenueY2Q3">Calc!$E$1092:$N$1092</definedName>
    <definedName name="calcY2Q1RevenueY2Q4">Calc!$E$1093:$N$1093</definedName>
    <definedName name="calcY2Q1RevenueY3Q1">Calc!$E$1094:$N$1094</definedName>
    <definedName name="calcY2Q1RevenueY3Q2">Calc!$E$1095:$N$1095</definedName>
    <definedName name="calcY2Q1RevenueY3Q3">Calc!$E$1096:$N$1096</definedName>
    <definedName name="calcY2Q1RevenueY3Q4">Calc!$E$1097:$N$1097</definedName>
    <definedName name="calcY2Q1RevenueY4Q1">Calc!$E$1098:$N$1098</definedName>
    <definedName name="calcY2Q1RevenueY4Q2">Calc!$E$1099:$N$1099</definedName>
    <definedName name="calcY2Q1RevenueY4Q3">Calc!$E$1100:$N$1100</definedName>
    <definedName name="calcY2Q1RevenueY4Q4">Calc!$E$1101:$N$1101</definedName>
    <definedName name="calcY2Q1RevenueY5Q1">Calc!$E$1102:$N$1102</definedName>
    <definedName name="calcY2Q1RevenueY5Q2">Calc!$E$1103:$N$1103</definedName>
    <definedName name="calcY2Q1RevenueY5Q3">Calc!$E$1104:$N$1104</definedName>
    <definedName name="calcY2Q1RevenueY5Q4">Calc!$E$1105:$N$1105</definedName>
    <definedName name="calcY2Q1RevFlow">Calc!$E$1074:$N$1105</definedName>
    <definedName name="calcY2Q1RevWriteDownExp">Calc!$E$675:$N$675</definedName>
    <definedName name="calcY2Q1StackExp">Calc!$E$501:$N$501</definedName>
    <definedName name="calcY2Q1TrustExp">Calc!$E$422:$N$422</definedName>
    <definedName name="calcY2Q2AttritionDifference">Calc!$E$1112:$N$1112</definedName>
    <definedName name="calcY2Q2BrandIntExp">Calc!$E$611:$N$611</definedName>
    <definedName name="calcY2Q2COSPerc">Calc!$E$695:$N$695</definedName>
    <definedName name="calcY2Q2CSGExp">Calc!$E$575:$N$575</definedName>
    <definedName name="calcY2Q2ExternalSalesExp">Calc!$E$650:$N$650</definedName>
    <definedName name="calcY2Q2FullREExp">Calc!$E$382:$N$382</definedName>
    <definedName name="calcY2Q2GAExp">Calc!$E$777:$N$777</definedName>
    <definedName name="calcY2Q2HarmExp">Calc!$E$306:$N$306</definedName>
    <definedName name="calcY2Q2ITExp">Calc!$E$342:$N$342</definedName>
    <definedName name="calcY2Q2LeadPassExp">Calc!$E$540:$N$540</definedName>
    <definedName name="calcY2Q2MSExp">Calc!$E$743:$N$743</definedName>
    <definedName name="calcY2Q2Org62Exp">Calc!$E$468:$N$468</definedName>
    <definedName name="calcY2Q2RDExp">Calc!$E$760:$N$760</definedName>
    <definedName name="calcY2Q2Rev">Calc!$E$1155:$N$1155</definedName>
    <definedName name="calcY2Q2RevenueAdjustment">Calc!$E$1121:$N$1121</definedName>
    <definedName name="calcY2Q2RevenueY_1Q1">Calc!$E$1127:$N$1127</definedName>
    <definedName name="calcY2Q2RevenueY_1Q2">Calc!$E$1128:$N$1128</definedName>
    <definedName name="calcY2Q2RevenueY_1Q3">Calc!$E$1129:$N$1129</definedName>
    <definedName name="calcY2Q2RevenueY_1Q4">Calc!$E$1130:$N$1130</definedName>
    <definedName name="calcY2Q2RevenueY_2Q1">Calc!$E$1123:$N$1123</definedName>
    <definedName name="calcY2Q2RevenueY_2Q2">Calc!$E$1124:$N$1124</definedName>
    <definedName name="calcY2Q2RevenueY_2Q3">Calc!$E$1125:$N$1125</definedName>
    <definedName name="calcY2Q2RevenueY_2Q4">Calc!$E$1126:$N$1126</definedName>
    <definedName name="calcY2Q2RevenueY0Q1">Calc!$E$1131:$N$1131</definedName>
    <definedName name="calcY2Q2RevenueY0Q2">Calc!$E$1132:$N$1132</definedName>
    <definedName name="calcY2Q2RevenueY0Q3">Calc!$E$1133:$N$1133</definedName>
    <definedName name="calcY2Q2RevenueY0Q4">Calc!$E$1134:$N$1134</definedName>
    <definedName name="calcY2Q2RevenueY1Q1">Calc!$E$1135:$N$1135</definedName>
    <definedName name="calcY2Q2RevenueY1Q2">Calc!$E$1136:$N$1136</definedName>
    <definedName name="calcY2Q2RevenueY1Q3">Calc!$E$1137:$N$1137</definedName>
    <definedName name="calcY2Q2RevenueY1Q4">Calc!$E$1138:$N$1138</definedName>
    <definedName name="calcY2Q2RevenueY2Q1">Calc!$E$1139:$N$1139</definedName>
    <definedName name="calcY2Q2RevenueY2Q2">Calc!$E$1140:$N$1140</definedName>
    <definedName name="calcY2Q2RevenueY2Q3">Calc!$E$1141:$N$1141</definedName>
    <definedName name="calcY2Q2RevenueY2Q4">Calc!$E$1142:$N$1142</definedName>
    <definedName name="calcY2Q2RevenueY3Q1">Calc!$E$1143:$N$1143</definedName>
    <definedName name="calcY2Q2RevenueY3Q2">Calc!$E$1144:$N$1144</definedName>
    <definedName name="calcY2Q2RevenueY3Q3">Calc!$E$1145:$N$1145</definedName>
    <definedName name="calcY2Q2RevenueY3Q4">Calc!$E$1146:$N$1146</definedName>
    <definedName name="calcY2Q2RevenueY4Q1">Calc!$E$1147:$N$1147</definedName>
    <definedName name="calcY2Q2RevenueY4Q2">Calc!$E$1148:$N$1148</definedName>
    <definedName name="calcY2Q2RevenueY4Q3">Calc!$E$1149:$N$1149</definedName>
    <definedName name="calcY2Q2RevenueY4Q4">Calc!$E$1150:$N$1150</definedName>
    <definedName name="calcY2Q2RevenueY5Q1">Calc!$E$1151:$N$1151</definedName>
    <definedName name="calcY2Q2RevenueY5Q2">Calc!$E$1152:$N$1152</definedName>
    <definedName name="calcY2Q2RevenueY5Q3">Calc!$E$1153:$N$1153</definedName>
    <definedName name="calcY2Q2RevenueY5Q4">Calc!$E$1154:$N$1154</definedName>
    <definedName name="calcY2Q2RevFlow">Calc!$E$1123:$N$1154</definedName>
    <definedName name="calcY2Q2RevWriteDownExp">Calc!$E$678:$N$678</definedName>
    <definedName name="calcY2Q2StackExp">Calc!$E$504:$N$504</definedName>
    <definedName name="calcY2Q2TrustExp">Calc!$E$425:$N$425</definedName>
    <definedName name="calcY2Q3AttritionDifference">Calc!$E$1161:$N$1161</definedName>
    <definedName name="calcY2Q3BrandIntExp">Calc!$E$614:$N$614</definedName>
    <definedName name="calcY2Q3COSPerc">Calc!$E$699:$N$699</definedName>
    <definedName name="calcY2Q3CSGExp">Calc!$E$578:$N$578</definedName>
    <definedName name="calcY2Q3ExternalSalesExp">Calc!$E$653:$N$653</definedName>
    <definedName name="calcY2Q3FullREExp">Calc!$E$385:$N$385</definedName>
    <definedName name="calcY2Q3GAExp">Calc!$E$781:$N$781</definedName>
    <definedName name="calcY2Q3HarmExp">Calc!$E$309:$N$309</definedName>
    <definedName name="calcY2Q3ITExp">Calc!$E$345:$N$345</definedName>
    <definedName name="calcY2Q3LeadPassExp">Calc!$E$543:$N$543</definedName>
    <definedName name="calcY2Q3MSExp">Calc!$E$747:$N$747</definedName>
    <definedName name="calcY2Q3Org62Exp">Calc!$E$471:$N$471</definedName>
    <definedName name="calcY2Q3RDExp">Calc!$E$764:$N$764</definedName>
    <definedName name="calcY2Q3Rev">Calc!$E$1204:$N$1204</definedName>
    <definedName name="calcY2Q3RevenueAdjustment">Calc!$E$1170:$N$1170</definedName>
    <definedName name="calcY2Q3RevenueY_1Q1">Calc!$E$1176:$N$1176</definedName>
    <definedName name="calcY2Q3RevenueY_1Q2">Calc!$E$1177:$N$1177</definedName>
    <definedName name="calcY2Q3RevenueY_1Q3">Calc!$E$1178:$N$1178</definedName>
    <definedName name="calcY2Q3RevenueY_1Q4">Calc!$E$1179:$N$1179</definedName>
    <definedName name="calcY2Q3RevenueY_2Q1">Calc!$E$1172:$N$1172</definedName>
    <definedName name="calcY2Q3RevenueY_2Q2">Calc!$E$1173:$N$1173</definedName>
    <definedName name="calcY2Q3RevenueY_2Q3">Calc!$E$1174:$N$1174</definedName>
    <definedName name="calcY2Q3RevenueY_2Q4">Calc!$E$1175:$N$1175</definedName>
    <definedName name="calcY2Q3RevenueY0Q1">Calc!$E$1180:$N$1180</definedName>
    <definedName name="calcY2Q3RevenueY0Q2">Calc!$E$1181:$N$1181</definedName>
    <definedName name="calcY2Q3RevenueY0Q3">Calc!$E$1182:$N$1182</definedName>
    <definedName name="calcY2Q3RevenueY0Q4">Calc!$E$1183:$N$1183</definedName>
    <definedName name="calcY2Q3RevenueY1Q1">Calc!$E$1184:$N$1184</definedName>
    <definedName name="calcY2Q3RevenueY1Q2">Calc!$E$1185:$N$1185</definedName>
    <definedName name="calcY2Q3RevenueY1Q3">Calc!$E$1186:$N$1186</definedName>
    <definedName name="calcY2Q3RevenueY1Q4">Calc!$E$1187:$N$1187</definedName>
    <definedName name="calcY2Q3RevenueY2Q1">Calc!$E$1188:$N$1188</definedName>
    <definedName name="calcY2Q3RevenueY2Q2">Calc!$E$1189:$N$1189</definedName>
    <definedName name="calcY2Q3RevenueY2Q3">Calc!$E$1190:$N$1190</definedName>
    <definedName name="calcY2Q3RevenueY2Q4">Calc!$E$1191:$N$1191</definedName>
    <definedName name="calcY2Q3RevenueY3Q1">Calc!$E$1192:$N$1192</definedName>
    <definedName name="calcY2Q3RevenueY3Q2">Calc!$E$1193:$N$1193</definedName>
    <definedName name="calcY2Q3RevenueY3Q3">Calc!$E$1194:$N$1194</definedName>
    <definedName name="calcY2Q3RevenueY3Q4">Calc!$E$1195:$N$1195</definedName>
    <definedName name="calcY2Q3RevenueY4Q1">Calc!$E$1196:$N$1196</definedName>
    <definedName name="calcY2Q3RevenueY4Q2">Calc!$E$1197:$N$1197</definedName>
    <definedName name="calcY2Q3RevenueY4Q3">Calc!$E$1198:$N$1198</definedName>
    <definedName name="calcY2Q3RevenueY4Q4">Calc!$E$1199:$N$1199</definedName>
    <definedName name="calcY2Q3RevenueY5Q1">Calc!$E$1200:$N$1200</definedName>
    <definedName name="calcY2Q3RevenueY5Q2">Calc!$E$1201:$N$1201</definedName>
    <definedName name="calcY2Q3RevenueY5Q3">Calc!$E$1202:$N$1202</definedName>
    <definedName name="calcY2Q3RevenueY5Q4">Calc!$E$1203:$N$1203</definedName>
    <definedName name="calcY2Q3RevFlow">Calc!$E$1172:$N$1203</definedName>
    <definedName name="calcY2Q3RevWriteDownExp">Calc!$E$681:$N$681</definedName>
    <definedName name="calcY2Q3StackExp">Calc!$E$507:$N$507</definedName>
    <definedName name="calcY2Q3TrustExp">Calc!$E$428:$N$428</definedName>
    <definedName name="calcY2Q4AttritionDifference">Calc!$E$1210:$N$1210</definedName>
    <definedName name="calcY2Q4BrandIntExp">Calc!$E$617:$N$617</definedName>
    <definedName name="calcY2Q4COSPerc">Calc!$E$703:$N$703</definedName>
    <definedName name="calcY2Q4CSGExp">Calc!$E$581:$N$581</definedName>
    <definedName name="calcY2Q4ExternalSalesExp">Calc!$E$656:$N$656</definedName>
    <definedName name="calcY2Q4FullREExp">Calc!$E$388:$N$388</definedName>
    <definedName name="calcY2Q4GAExp">Calc!$E$785:$N$785</definedName>
    <definedName name="calcY2Q4HarmExp">Calc!$E$312:$N$312</definedName>
    <definedName name="calcY2Q4ITExp">Calc!$E$348:$N$348</definedName>
    <definedName name="calcY2Q4LeadPassExp">Calc!$E$546:$N$546</definedName>
    <definedName name="calcY2Q4MSExp">Calc!$E$751:$N$751</definedName>
    <definedName name="calcY2Q4Org62Exp">Calc!$E$474:$N$474</definedName>
    <definedName name="calcY2Q4RDExp">Calc!$E$768:$N$768</definedName>
    <definedName name="calcY2Q4Rev">Calc!$E$1253:$N$1253</definedName>
    <definedName name="calcY2Q4RevenueAdjustment">Calc!$E$1219:$N$1219</definedName>
    <definedName name="calcY2Q4RevenueY_1Q1">Calc!$E$1225:$N$1225</definedName>
    <definedName name="calcY2Q4RevenueY_1Q2">Calc!$E$1226:$N$1226</definedName>
    <definedName name="calcY2Q4RevenueY_1Q3">Calc!$E$1227:$N$1227</definedName>
    <definedName name="calcY2Q4RevenueY_1Q4">Calc!$E$1228:$N$1228</definedName>
    <definedName name="calcY2Q4RevenueY_2Q1">Calc!$E$1221:$N$1221</definedName>
    <definedName name="calcY2Q4RevenueY_2Q2">Calc!$E$1222:$N$1222</definedName>
    <definedName name="calcY2Q4RevenueY_2Q3">Calc!$E$1223:$N$1223</definedName>
    <definedName name="calcY2Q4RevenueY_2Q4">Calc!$E$1224:$N$1224</definedName>
    <definedName name="calcY2Q4RevenueY0Q1">Calc!$E$1229:$N$1229</definedName>
    <definedName name="calcY2Q4RevenueY0Q2">Calc!$E$1230:$N$1230</definedName>
    <definedName name="calcY2Q4RevenueY0Q3">Calc!$E$1231:$N$1231</definedName>
    <definedName name="calcY2Q4RevenueY0Q4">Calc!$E$1232:$N$1232</definedName>
    <definedName name="calcY2Q4RevenueY1Q1">Calc!$E$1233:$N$1233</definedName>
    <definedName name="calcY2Q4RevenueY1Q2">Calc!$E$1234:$N$1234</definedName>
    <definedName name="calcY2Q4RevenueY1Q3">Calc!$E$1235:$N$1235</definedName>
    <definedName name="calcY2Q4RevenueY1Q4">Calc!$E$1236:$N$1236</definedName>
    <definedName name="calcY2Q4RevenueY2Q1">Calc!$E$1237:$N$1237</definedName>
    <definedName name="calcY2Q4RevenueY2Q2">Calc!$E$1238:$N$1238</definedName>
    <definedName name="calcY2Q4RevenueY2Q3">Calc!$E$1239:$N$1239</definedName>
    <definedName name="calcY2Q4RevenueY2Q4">Calc!$E$1240:$N$1240</definedName>
    <definedName name="calcY2Q4RevenueY3Q1">Calc!$E$1241:$N$1241</definedName>
    <definedName name="calcY2Q4RevenueY3Q2">Calc!$E$1242:$N$1242</definedName>
    <definedName name="calcY2Q4RevenueY3Q3">Calc!$E$1243:$N$1243</definedName>
    <definedName name="calcY2Q4RevenueY3Q4">Calc!$E$1244:$N$1244</definedName>
    <definedName name="calcY2Q4RevenueY4Q1">Calc!$E$1245:$N$1245</definedName>
    <definedName name="calcY2Q4RevenueY4Q2">Calc!$E$1246:$N$1246</definedName>
    <definedName name="calcY2Q4RevenueY4Q3">Calc!$E$1247:$N$1247</definedName>
    <definedName name="calcY2Q4RevenueY4Q4">Calc!$E$1248:$N$1248</definedName>
    <definedName name="calcY2Q4RevenueY5Q1">Calc!$E$1249:$N$1249</definedName>
    <definedName name="calcY2Q4RevenueY5Q2">Calc!$E$1250:$N$1250</definedName>
    <definedName name="calcY2Q4RevenueY5Q3">Calc!$E$1251:$N$1251</definedName>
    <definedName name="calcY2Q4RevenueY5Q4">Calc!$E$1252:$N$1252</definedName>
    <definedName name="calcY2Q4RevFlow">Calc!$E$1221:$N$1252</definedName>
    <definedName name="calcY2Q4RevWriteDownExp">Calc!$E$684:$N$684</definedName>
    <definedName name="calcY2Q4StackExp">Calc!$E$510:$N$510</definedName>
    <definedName name="calcY2Q4TrustExp">Calc!$E$431:$N$431</definedName>
    <definedName name="calcY3Q1AttritionDifference">Calc!$E$1277:$N$1277</definedName>
    <definedName name="calcY3Q1Rev">Calc!$E$1320:$N$1320</definedName>
    <definedName name="calcY3Q1RevenueAdjustment">Calc!$E$1286:$N$1286</definedName>
    <definedName name="calcY3Q1RevenueY_1Q1">Calc!$E$1292:$N$1292</definedName>
    <definedName name="calcY3Q1RevenueY_1Q2">Calc!$E$1293:$N$1293</definedName>
    <definedName name="calcY3Q1RevenueY_1Q3">Calc!$E$1294:$N$1294</definedName>
    <definedName name="calcY3Q1RevenueY_1Q4">Calc!$E$1295:$N$1295</definedName>
    <definedName name="calcY3Q1RevenueY_2Q1">Calc!$E$1288:$N$1288</definedName>
    <definedName name="calcY3Q1RevenueY_2Q2">Calc!$E$1289:$N$1289</definedName>
    <definedName name="calcY3Q1RevenueY_2Q3">Calc!$E$1290:$N$1290</definedName>
    <definedName name="calcY3Q1RevenueY_2Q4">Calc!$E$1291:$N$1291</definedName>
    <definedName name="calcY3Q1RevenueY0Q1">Calc!$E$1296:$N$1296</definedName>
    <definedName name="calcY3Q1RevenueY0Q2">Calc!$E$1297:$N$1297</definedName>
    <definedName name="calcY3Q1RevenueY0Q3">Calc!$E$1298:$N$1298</definedName>
    <definedName name="calcY3Q1RevenueY0Q4">Calc!$E$1299:$N$1299</definedName>
    <definedName name="calcY3Q1RevenueY1Q1">Calc!$E$1300:$N$1300</definedName>
    <definedName name="calcY3Q1RevenueY1Q2">Calc!$E$1301:$N$1301</definedName>
    <definedName name="calcY3Q1RevenueY1Q3">Calc!$E$1302:$N$1302</definedName>
    <definedName name="calcY3Q1RevenueY1Q4">Calc!$E$1303:$N$1303</definedName>
    <definedName name="calcY3Q1RevenueY2Q1">Calc!$E$1304:$N$1304</definedName>
    <definedName name="calcY3Q1RevenueY2Q2">Calc!$E$1305:$N$1305</definedName>
    <definedName name="calcY3Q1RevenueY2Q3">Calc!$E$1306:$N$1306</definedName>
    <definedName name="calcY3Q1RevenueY2Q4">Calc!$E$1307:$N$1307</definedName>
    <definedName name="calcY3Q1RevenueY3Q1">Calc!$E$1308:$N$1308</definedName>
    <definedName name="calcY3Q1RevenueY3Q2">Calc!$E$1309:$N$1309</definedName>
    <definedName name="calcY3Q1RevenueY3Q3">Calc!$E$1310:$N$1310</definedName>
    <definedName name="calcY3Q1RevenueY3Q4">Calc!$E$1311:$N$1311</definedName>
    <definedName name="calcY3Q1RevenueY4Q1">Calc!$E$1312:$N$1312</definedName>
    <definedName name="calcY3Q1RevenueY4Q2">Calc!$E$1313:$N$1313</definedName>
    <definedName name="calcY3Q1RevenueY4Q3">Calc!$E$1314:$N$1314</definedName>
    <definedName name="calcY3Q1RevenueY4Q4">Calc!$E$1315:$N$1315</definedName>
    <definedName name="calcY3Q1RevenueY5Q1">Calc!$E$1316:$N$1316</definedName>
    <definedName name="calcY3Q1RevenueY5Q2">Calc!$E$1317:$N$1317</definedName>
    <definedName name="calcY3Q1RevenueY5Q3">Calc!$E$1318:$N$1318</definedName>
    <definedName name="calcY3Q1RevenueY5Q4">Calc!$E$1319:$N$1319</definedName>
    <definedName name="calcY3Q1RevFlow">Calc!$E$1288:$N$1319</definedName>
    <definedName name="calcY3Q2AttritionDifference">Calc!$E$1326:$N$1326</definedName>
    <definedName name="calcY3Q2Rev">Calc!$E$1369:$N$1369</definedName>
    <definedName name="calcY3Q2RevenueAdjustment">Calc!$E$1335:$N$1335</definedName>
    <definedName name="calcY3Q2RevenueY_1Q1">Calc!$E$1341:$N$1341</definedName>
    <definedName name="calcY3Q2RevenueY_1Q2">Calc!$E$1342:$N$1342</definedName>
    <definedName name="calcY3Q2RevenueY_1Q3">Calc!$E$1343:$N$1343</definedName>
    <definedName name="calcY3Q2RevenueY_1Q4">Calc!$E$1344:$N$1344</definedName>
    <definedName name="calcY3Q2RevenueY_2Q1">Calc!$E$1337:$N$1337</definedName>
    <definedName name="calcY3Q2RevenueY_2Q2">Calc!$E$1338:$N$1338</definedName>
    <definedName name="calcY3Q2RevenueY_2Q3">Calc!$E$1339:$N$1339</definedName>
    <definedName name="calcY3Q2RevenueY_2Q4">Calc!$E$1340:$N$1340</definedName>
    <definedName name="calcY3Q2RevenueY0Q1">Calc!$E$1345:$N$1345</definedName>
    <definedName name="calcY3Q2RevenueY0Q2">Calc!$E$1346:$N$1346</definedName>
    <definedName name="calcY3Q2RevenueY0Q3">Calc!$E$1347:$N$1347</definedName>
    <definedName name="calcY3Q2RevenueY0Q4">Calc!$E$1348:$N$1348</definedName>
    <definedName name="calcY3Q2RevenueY1Q1">Calc!$E$1349:$N$1349</definedName>
    <definedName name="calcY3Q2RevenueY1Q2">Calc!$E$1350:$N$1350</definedName>
    <definedName name="calcY3Q2RevenueY1Q3">Calc!$E$1351:$N$1351</definedName>
    <definedName name="calcY3Q2RevenueY1Q4">Calc!$E$1352:$N$1352</definedName>
    <definedName name="calcY3Q2RevenueY2Q1">Calc!$E$1353:$N$1353</definedName>
    <definedName name="calcY3Q2RevenueY2Q2">Calc!$E$1354:$N$1354</definedName>
    <definedName name="calcY3Q2RevenueY2Q3">Calc!$E$1355:$N$1355</definedName>
    <definedName name="calcY3Q2RevenueY2Q4">Calc!$E$1356:$N$1356</definedName>
    <definedName name="calcY3Q2RevenueY3Q1">Calc!$E$1357:$N$1357</definedName>
    <definedName name="calcY3Q2RevenueY3Q2">Calc!$E$1358:$N$1358</definedName>
    <definedName name="calcY3Q2RevenueY3Q3">Calc!$E$1359:$N$1359</definedName>
    <definedName name="calcY3Q2RevenueY3Q4">Calc!$E$1360:$N$1360</definedName>
    <definedName name="calcY3Q2RevenueY4Q1">Calc!$E$1361:$N$1361</definedName>
    <definedName name="calcY3Q2RevenueY4Q2">Calc!$E$1362:$N$1362</definedName>
    <definedName name="calcY3Q2RevenueY4Q3">Calc!$E$1363:$N$1363</definedName>
    <definedName name="calcY3Q2RevenueY4Q4">Calc!$E$1364:$N$1364</definedName>
    <definedName name="calcY3Q2RevenueY5Q1">Calc!$E$1365:$N$1365</definedName>
    <definedName name="calcY3Q2RevenueY5Q2">Calc!$E$1366:$N$1366</definedName>
    <definedName name="calcY3Q2RevenueY5Q3">Calc!$E$1367:$N$1367</definedName>
    <definedName name="calcY3Q2RevenueY5Q4">Calc!$E$1368:$N$1368</definedName>
    <definedName name="calcY3Q2RevFlow">Calc!$E$1337:$N$1368</definedName>
    <definedName name="calcY3Q3AttritionDifference">Calc!$E$1375:$N$1375</definedName>
    <definedName name="calcY3Q3Rev">Calc!$E$1418:$N$1418</definedName>
    <definedName name="calcY3Q3RevenueAdjustment">Calc!$E$1384:$N$1384</definedName>
    <definedName name="calcY3Q3RevenueY_1Q1">Calc!$E$1390:$N$1390</definedName>
    <definedName name="calcY3Q3RevenueY_1Q2">Calc!$E$1391:$N$1391</definedName>
    <definedName name="calcY3Q3RevenueY_1Q3">Calc!$E$1392:$N$1392</definedName>
    <definedName name="calcY3Q3RevenueY_1Q4">Calc!$E$1393:$N$1393</definedName>
    <definedName name="calcY3Q3RevenueY_2Q1">Calc!$E$1386:$N$1386</definedName>
    <definedName name="calcY3Q3RevenueY_2Q2">Calc!$E$1387:$N$1387</definedName>
    <definedName name="calcY3Q3RevenueY_2Q3">Calc!$E$1388:$N$1388</definedName>
    <definedName name="calcY3Q3RevenueY_2Q4">Calc!$E$1389:$N$1389</definedName>
    <definedName name="calcY3Q3RevenueY0Q1">Calc!$E$1394:$N$1394</definedName>
    <definedName name="calcY3Q3RevenueY0Q2">Calc!$E$1395:$N$1395</definedName>
    <definedName name="calcY3Q3RevenueY0Q3">Calc!$E$1396:$N$1396</definedName>
    <definedName name="calcY3Q3RevenueY0Q4">Calc!$E$1397:$N$1397</definedName>
    <definedName name="calcY3Q3RevenueY1Q1">Calc!$E$1398:$N$1398</definedName>
    <definedName name="calcY3Q3RevenueY1Q2">Calc!$E$1399:$N$1399</definedName>
    <definedName name="calcY3Q3RevenueY1Q3">Calc!$E$1400:$N$1400</definedName>
    <definedName name="calcY3Q3RevenueY1Q4">Calc!$E$1401:$N$1401</definedName>
    <definedName name="calcY3Q3RevenueY2Q1">Calc!$E$1402:$N$1402</definedName>
    <definedName name="calcY3Q3RevenueY2Q2">Calc!$E$1403:$N$1403</definedName>
    <definedName name="calcY3Q3RevenueY2Q3">Calc!$E$1404:$N$1404</definedName>
    <definedName name="calcY3Q3RevenueY2Q4">Calc!$E$1405:$N$1405</definedName>
    <definedName name="calcY3Q3RevenueY3Q1">Calc!$E$1406:$N$1406</definedName>
    <definedName name="calcY3Q3RevenueY3Q2">Calc!$E$1407:$N$1407</definedName>
    <definedName name="calcY3Q3RevenueY3Q3">Calc!$E$1408:$N$1408</definedName>
    <definedName name="calcY3Q3RevenueY3Q4">Calc!$E$1409:$N$1409</definedName>
    <definedName name="calcY3Q3RevenueY4Q1">Calc!$E$1410:$N$1410</definedName>
    <definedName name="calcY3Q3RevenueY4Q2">Calc!$E$1411:$N$1411</definedName>
    <definedName name="calcY3Q3RevenueY4Q3">Calc!$E$1412:$N$1412</definedName>
    <definedName name="calcY3Q3RevenueY4Q4">Calc!$E$1413:$N$1413</definedName>
    <definedName name="calcY3Q3RevenueY5Q1">Calc!$E$1414:$N$1414</definedName>
    <definedName name="calcY3Q3RevenueY5Q2">Calc!$E$1415:$N$1415</definedName>
    <definedName name="calcY3Q3RevenueY5Q3">Calc!$E$1416:$N$1416</definedName>
    <definedName name="calcY3Q3RevenueY5Q4">Calc!$E$1417:$N$1417</definedName>
    <definedName name="calcY3Q3RevFlow">Calc!$E$1386:$N$1417</definedName>
    <definedName name="calcY3Q4AttritionDifference">Calc!$E$1424:$N$1424</definedName>
    <definedName name="calcY3Q4Rev">Calc!$E$1467:$N$1467</definedName>
    <definedName name="calcY3Q4RevenueAdjustment">Calc!$E$1433:$N$1433</definedName>
    <definedName name="calcY3Q4RevenueY_1Q1">Calc!$E$1439:$N$1439</definedName>
    <definedName name="calcY3Q4RevenueY_1Q2">Calc!$E$1440:$N$1440</definedName>
    <definedName name="calcY3Q4RevenueY_1Q3">Calc!$E$1441:$N$1441</definedName>
    <definedName name="calcY3Q4RevenueY_1Q4">Calc!$E$1442:$N$1442</definedName>
    <definedName name="calcY3Q4RevenueY_2Q1">Calc!$E$1435:$N$1435</definedName>
    <definedName name="calcY3Q4RevenueY_2Q2">Calc!$E$1436:$N$1436</definedName>
    <definedName name="calcY3Q4RevenueY_2Q3">Calc!$E$1437:$N$1437</definedName>
    <definedName name="calcY3Q4RevenueY_2Q4">Calc!$E$1438:$N$1438</definedName>
    <definedName name="calcY3Q4RevenueY0Q1">Calc!$E$1443:$N$1443</definedName>
    <definedName name="calcY3Q4RevenueY0Q2">Calc!$E$1444:$N$1444</definedName>
    <definedName name="calcY3Q4RevenueY0Q3">Calc!$E$1445:$N$1445</definedName>
    <definedName name="calcY3Q4RevenueY0Q4">Calc!$E$1446:$N$1446</definedName>
    <definedName name="calcY3Q4RevenueY1Q1">Calc!$E$1447:$N$1447</definedName>
    <definedName name="calcY3Q4RevenueY1Q2">Calc!$E$1448:$N$1448</definedName>
    <definedName name="calcY3Q4RevenueY1Q3">Calc!$E$1449:$N$1449</definedName>
    <definedName name="calcY3Q4RevenueY1Q4">Calc!$E$1450:$N$1450</definedName>
    <definedName name="calcY3Q4RevenueY2Q1">Calc!$E$1451:$N$1451</definedName>
    <definedName name="calcY3Q4RevenueY2Q2">Calc!$E$1452:$N$1452</definedName>
    <definedName name="calcY3Q4RevenueY2Q3">Calc!$E$1453:$N$1453</definedName>
    <definedName name="calcY3Q4RevenueY2Q4">Calc!$E$1454:$N$1454</definedName>
    <definedName name="calcY3Q4RevenueY3Q1">Calc!$E$1455:$N$1455</definedName>
    <definedName name="calcY3Q4RevenueY3Q2">Calc!$E$1456:$N$1456</definedName>
    <definedName name="calcY3Q4RevenueY3Q3">Calc!$E$1457:$N$1457</definedName>
    <definedName name="calcY3Q4RevenueY3Q4">Calc!$E$1458:$N$1458</definedName>
    <definedName name="calcY3Q4RevenueY4Q1">Calc!$E$1459:$N$1459</definedName>
    <definedName name="calcY3Q4RevenueY4Q2">Calc!$E$1460:$N$1460</definedName>
    <definedName name="calcY3Q4RevenueY4Q3">Calc!$E$1461:$N$1461</definedName>
    <definedName name="calcY3Q4RevenueY4Q4">Calc!$E$1462:$N$1462</definedName>
    <definedName name="calcY3Q4RevenueY5Q1">Calc!$E$1463:$N$1463</definedName>
    <definedName name="calcY3Q4RevenueY5Q2">Calc!$E$1464:$N$1464</definedName>
    <definedName name="calcY3Q4RevenueY5Q3">Calc!$E$1465:$N$1465</definedName>
    <definedName name="calcY3Q4RevenueY5Q4">Calc!$E$1466:$N$1466</definedName>
    <definedName name="calcY3Q4RevFlow">Calc!$E$1435:$N$1467</definedName>
    <definedName name="calcY4Q1AttritionDifference">Calc!$E$1476:$N$1476</definedName>
    <definedName name="calcY4Q1Rev">Calc!$E$1519:$N$1519</definedName>
    <definedName name="calcY4Q1RevenueAdjustment">Calc!$E$1485:$N$1485</definedName>
    <definedName name="calcY4Q1RevenueY_1Q1">Calc!$E$1491:$N$1491</definedName>
    <definedName name="calcY4Q1RevenueY_1Q2">Calc!$E$1492:$N$1492</definedName>
    <definedName name="calcY4Q1RevenueY_1Q3">Calc!$E$1493:$N$1493</definedName>
    <definedName name="calcY4Q1RevenueY_1Q4">Calc!$E$1494:$N$1494</definedName>
    <definedName name="calcY4Q1RevenueY_2Q1">Calc!$E$1487:$N$1487</definedName>
    <definedName name="calcY4Q1RevenueY_2Q2">Calc!$E$1488:$N$1488</definedName>
    <definedName name="calcY4Q1RevenueY_2Q3">Calc!$E$1489:$N$1489</definedName>
    <definedName name="calcY4Q1RevenueY_2Q4">Calc!$E$1490:$N$1490</definedName>
    <definedName name="calcY4Q1RevenueY0Q1">Calc!$E$1495:$N$1495</definedName>
    <definedName name="calcY4Q1RevenueY0Q2">Calc!$E$1496:$N$1496</definedName>
    <definedName name="calcY4Q1RevenueY0Q3">Calc!$E$1497:$N$1497</definedName>
    <definedName name="calcY4Q1RevenueY0Q4">Calc!$E$1498:$N$1498</definedName>
    <definedName name="calcY4Q1RevenueY1Q1">Calc!$E$1499:$N$1499</definedName>
    <definedName name="calcY4Q1RevenueY1Q2">Calc!$E$1500:$N$1500</definedName>
    <definedName name="calcY4Q1RevenueY1Q3">Calc!$E$1501:$N$1501</definedName>
    <definedName name="calcY4Q1RevenueY1Q4">Calc!$E$1502:$N$1502</definedName>
    <definedName name="calcY4Q1RevenueY2Q1">Calc!$E$1503:$N$1503</definedName>
    <definedName name="calcY4Q1RevenueY2Q2">Calc!$E$1504:$N$1504</definedName>
    <definedName name="calcY4Q1RevenueY2Q3">Calc!$E$1505:$N$1505</definedName>
    <definedName name="calcY4Q1RevenueY2Q4">Calc!$E$1506:$N$1506</definedName>
    <definedName name="calcY4Q1RevenueY3Q1">Calc!$E$1507:$N$1507</definedName>
    <definedName name="calcY4Q1RevenueY3Q2">Calc!$E$1508:$N$1508</definedName>
    <definedName name="calcY4Q1RevenueY3Q3">Calc!$E$1509:$N$1509</definedName>
    <definedName name="calcY4Q1RevenueY3Q4">Calc!$E$1510:$N$1510</definedName>
    <definedName name="calcY4Q1RevenueY4Q1">Calc!$E$1511:$N$1511</definedName>
    <definedName name="calcY4Q1RevenueY4Q2">Calc!$E$1512:$N$1512</definedName>
    <definedName name="calcY4Q1RevenueY4Q3">Calc!$E$1513:$N$1513</definedName>
    <definedName name="calcY4Q1RevenueY4Q4">Calc!$E$1514:$N$1514</definedName>
    <definedName name="calcY4Q1RevenueY5Q1">Calc!$E$1515:$N$1515</definedName>
    <definedName name="calcY4Q1RevenueY5Q2">Calc!$E$1516:$N$1516</definedName>
    <definedName name="calcY4Q1RevenueY5Q3">Calc!$E$1517:$N$1517</definedName>
    <definedName name="calcY4Q1RevenueY5Q4">Calc!$E$1518:$N$1518</definedName>
    <definedName name="calcY4Q1RevFlow">Calc!$E$1487:$N$1518</definedName>
    <definedName name="calcY4Q2AttritionDifference">Calc!$E$1525:$N$1525</definedName>
    <definedName name="calcY4Q2Rev">Calc!$E$1568:$N$1568</definedName>
    <definedName name="calcY4Q2RevenueAdjustment">Calc!$E$1534:$N$1534</definedName>
    <definedName name="calcY4Q2RevenueY_1Q1">Calc!$E$1540:$N$1540</definedName>
    <definedName name="calcY4Q2RevenueY_1Q2">Calc!$E$1541:$N$1541</definedName>
    <definedName name="calcY4Q2RevenueY_1Q3">Calc!$E$1542:$N$1542</definedName>
    <definedName name="calcY4Q2RevenueY_1Q4">Calc!$E$1543:$N$1543</definedName>
    <definedName name="calcY4Q2RevenueY_2Q1">Calc!$E$1536:$N$1536</definedName>
    <definedName name="calcY4Q2RevenueY_2Q2">Calc!$E$1537:$N$1537</definedName>
    <definedName name="calcY4Q2RevenueY_2Q3">Calc!$E$1538:$N$1538</definedName>
    <definedName name="calcY4Q2RevenueY_2Q4">Calc!$E$1539:$N$1539</definedName>
    <definedName name="calcY4Q2RevenueY0Q1">Calc!$E$1544:$N$1544</definedName>
    <definedName name="calcY4Q2RevenueY0Q2">Calc!$E$1545:$N$1545</definedName>
    <definedName name="calcY4Q2RevenueY0Q3">Calc!$E$1546:$N$1546</definedName>
    <definedName name="calcY4Q2RevenueY0Q4">Calc!$E$1547:$N$1547</definedName>
    <definedName name="calcY4Q2RevenueY1Q1">Calc!$E$1548:$N$1548</definedName>
    <definedName name="calcY4Q2RevenueY1Q2">Calc!$E$1549:$N$1549</definedName>
    <definedName name="calcY4Q2RevenueY1Q3">Calc!$E$1550:$N$1550</definedName>
    <definedName name="calcY4Q2RevenueY1Q4">Calc!$E$1551:$N$1551</definedName>
    <definedName name="calcY4Q2RevenueY2Q1">Calc!$E$1552:$N$1552</definedName>
    <definedName name="calcY4Q2RevenueY2Q2">Calc!$E$1553:$N$1553</definedName>
    <definedName name="calcY4Q2RevenueY2Q3">Calc!$E$1554:$N$1554</definedName>
    <definedName name="calcY4Q2RevenueY2Q4">Calc!$E$1555:$N$1555</definedName>
    <definedName name="calcY4Q2RevenueY3Q1">Calc!$E$1556:$N$1556</definedName>
    <definedName name="calcY4Q2RevenueY3Q2">Calc!$E$1557:$N$1557</definedName>
    <definedName name="calcY4Q2RevenueY3Q3">Calc!$E$1558:$N$1558</definedName>
    <definedName name="calcY4Q2RevenueY3Q4">Calc!$E$1559:$N$1559</definedName>
    <definedName name="calcY4Q2RevenueY4Q1">Calc!$E$1560:$N$1560</definedName>
    <definedName name="calcY4Q2RevenueY4Q2">Calc!$E$1561:$N$1561</definedName>
    <definedName name="calcY4Q2RevenueY4Q3">Calc!$E$1562:$N$1562</definedName>
    <definedName name="calcY4Q2RevenueY4Q4">Calc!$E$1563:$N$1563</definedName>
    <definedName name="calcY4Q2RevenueY5Q1">Calc!$E$1564:$N$1564</definedName>
    <definedName name="calcY4Q2RevenueY5Q2">Calc!$E$1565:$N$1565</definedName>
    <definedName name="calcY4Q2RevenueY5Q3">Calc!$E$1566:$N$1566</definedName>
    <definedName name="calcY4Q2RevenueY5Q4">Calc!$E$1567:$N$1567</definedName>
    <definedName name="calcY4Q2RevFlow">Calc!$E$1536:$N$1567</definedName>
    <definedName name="calcY4Q3AttritionDifference">Calc!$E$1574:$N$1574</definedName>
    <definedName name="calcY4Q3Rev">Calc!$E$1617:$N$1617</definedName>
    <definedName name="calcY4Q3RevenueAdjustment">Calc!$E$1583:$N$1583</definedName>
    <definedName name="calcY4Q3RevenueY_1Q1">Calc!$E$1589:$N$1589</definedName>
    <definedName name="calcY4Q3RevenueY_1Q2">Calc!$E$1590:$N$1590</definedName>
    <definedName name="calcY4Q3RevenueY_1Q3">Calc!$E$1591:$N$1591</definedName>
    <definedName name="calcY4Q3RevenueY_1Q4">Calc!$E$1592:$N$1592</definedName>
    <definedName name="calcY4Q3RevenueY_2Q1">Calc!$E$1585:$N$1585</definedName>
    <definedName name="calcY4Q3RevenueY_2Q2">Calc!$E$1586:$N$1586</definedName>
    <definedName name="calcY4Q3RevenueY_2Q3">Calc!$E$1587:$N$1587</definedName>
    <definedName name="calcY4Q3RevenueY_2Q4">Calc!$E$1588:$N$1588</definedName>
    <definedName name="calcY4Q3RevenueY0Q1">Calc!$E$1593:$N$1593</definedName>
    <definedName name="calcY4Q3RevenueY0Q2">Calc!$E$1594:$N$1594</definedName>
    <definedName name="calcY4Q3RevenueY0Q3">Calc!$E$1595:$N$1595</definedName>
    <definedName name="calcY4Q3RevenueY0Q4">Calc!$E$1596:$N$1596</definedName>
    <definedName name="calcY4Q3RevenueY1Q1">Calc!$E$1597:$N$1597</definedName>
    <definedName name="calcY4Q3RevenueY1Q2">Calc!$E$1598:$N$1598</definedName>
    <definedName name="calcY4Q3RevenueY1Q3">Calc!$E$1599:$N$1599</definedName>
    <definedName name="calcY4Q3RevenueY1Q4">Calc!$E$1600:$N$1600</definedName>
    <definedName name="calcY4Q3RevenueY2Q1">Calc!$E$1601:$N$1601</definedName>
    <definedName name="calcY4Q3RevenueY2Q2">Calc!$E$1602:$N$1602</definedName>
    <definedName name="calcY4Q3RevenueY2Q3">Calc!$E$1603:$N$1603</definedName>
    <definedName name="calcY4Q3RevenueY2Q4">Calc!$E$1604:$N$1604</definedName>
    <definedName name="calcY4Q3RevenueY3Q1">Calc!$E$1605:$N$1605</definedName>
    <definedName name="calcY4Q3RevenueY3Q2">Calc!$E$1606:$N$1606</definedName>
    <definedName name="calcY4Q3RevenueY3Q3">Calc!$E$1607:$N$1607</definedName>
    <definedName name="calcY4Q3RevenueY3Q4">Calc!$E$1608:$N$1608</definedName>
    <definedName name="calcY4Q3RevenueY4Q1">Calc!$E$1609:$N$1609</definedName>
    <definedName name="calcY4Q3RevenueY4Q2">Calc!$E$1610:$N$1610</definedName>
    <definedName name="calcY4Q3RevenueY4Q3">Calc!$E$1611:$N$1611</definedName>
    <definedName name="calcY4Q3RevenueY4Q4">Calc!$E$1612:$N$1612</definedName>
    <definedName name="calcY4Q3RevenueY5Q1">Calc!$E$1613:$N$1613</definedName>
    <definedName name="calcY4Q3RevenueY5Q2">Calc!$E$1614:$N$1614</definedName>
    <definedName name="calcY4Q3RevenueY5Q3">Calc!$E$1615:$N$1615</definedName>
    <definedName name="calcY4Q3RevenueY5Q4">Calc!$E$1616:$N$1616</definedName>
    <definedName name="calcY4Q3RevFlow">Calc!$E$1585:$N$1616</definedName>
    <definedName name="calcY4Q4AttritionDifference">Calc!$E$1623:$N$1623</definedName>
    <definedName name="calcY4Q4Rev">Calc!$E$1666:$N$1666</definedName>
    <definedName name="calcY4Q4RevenueAdjustment">Calc!$E$1632:$N$1632</definedName>
    <definedName name="calcY4Q4RevenueY_1Q1">Calc!$E$1638:$N$1638</definedName>
    <definedName name="calcY4Q4RevenueY_1Q2">Calc!$E$1639:$N$1639</definedName>
    <definedName name="calcY4Q4RevenueY_1Q3">Calc!$E$1640:$N$1640</definedName>
    <definedName name="calcY4Q4RevenueY_1Q4">Calc!$E$1641:$N$1641</definedName>
    <definedName name="calcY4Q4RevenueY_2Q1">Calc!$E$1634:$N$1634</definedName>
    <definedName name="calcY4Q4RevenueY_2Q2">Calc!$E$1635:$N$1635</definedName>
    <definedName name="calcY4Q4RevenueY_2Q3">Calc!$E$1636:$N$1636</definedName>
    <definedName name="calcY4Q4RevenueY_2Q4">Calc!$E$1637:$N$1637</definedName>
    <definedName name="calcY4Q4RevenueY0Q1">Calc!$E$1642:$N$1642</definedName>
    <definedName name="calcY4Q4RevenueY0Q2">Calc!$E$1643:$N$1643</definedName>
    <definedName name="calcY4Q4RevenueY0Q3">Calc!$E$1644:$N$1644</definedName>
    <definedName name="calcY4Q4RevenueY0Q4">Calc!$E$1645:$N$1645</definedName>
    <definedName name="calcY4Q4RevenueY1Q1">Calc!$E$1646:$N$1646</definedName>
    <definedName name="calcY4Q4RevenueY1Q2">Calc!$E$1647:$N$1647</definedName>
    <definedName name="calcY4Q4RevenueY1Q3">Calc!$E$1648:$N$1648</definedName>
    <definedName name="calcY4Q4RevenueY1Q4">Calc!$E$1649:$N$1649</definedName>
    <definedName name="calcY4Q4RevenueY2Q1">Calc!$E$1650:$N$1650</definedName>
    <definedName name="calcY4Q4RevenueY2Q2">Calc!$E$1651:$N$1651</definedName>
    <definedName name="calcY4Q4RevenueY2Q3">Calc!$E$1652:$N$1652</definedName>
    <definedName name="calcY4Q4RevenueY2Q4">Calc!$E$1653:$N$1653</definedName>
    <definedName name="calcY4Q4RevenueY3Q1">Calc!$E$1654:$N$1654</definedName>
    <definedName name="calcY4Q4RevenueY3Q2">Calc!$E$1655:$N$1655</definedName>
    <definedName name="calcY4Q4RevenueY3Q3">Calc!$E$1656:$N$1656</definedName>
    <definedName name="calcY4Q4RevenueY3Q4">Calc!$E$1657:$N$1657</definedName>
    <definedName name="calcY4Q4RevenueY4Q1">Calc!$E$1658:$N$1658</definedName>
    <definedName name="calcY4Q4RevenueY4Q2">Calc!$E$1659:$N$1659</definedName>
    <definedName name="calcY4Q4RevenueY4Q3">Calc!$E$1660:$N$1660</definedName>
    <definedName name="calcY4Q4RevenueY4Q4">Calc!$E$1661:$N$1661</definedName>
    <definedName name="calcY4Q4RevenueY5Q1">Calc!$E$1662:$N$1662</definedName>
    <definedName name="calcY4Q4RevenueY5Q2">Calc!$E$1663:$N$1663</definedName>
    <definedName name="calcY4Q4RevenueY5Q3">Calc!$E$1664:$N$1664</definedName>
    <definedName name="calcY4Q4RevenueY5Q4">Calc!$E$1665:$N$1665</definedName>
    <definedName name="calcY4Q4RevFlow">Calc!$E$1634:$N$1665</definedName>
    <definedName name="calcY5Q1AttritionDifference">Calc!$E$1675:$N$1675</definedName>
    <definedName name="calcY5Q1COSPerc">Calc!$E$707:$N$707</definedName>
    <definedName name="calcY5Q1GAExp">Calc!$E$824:$N$824</definedName>
    <definedName name="calcY5Q1MSExp">Calc!$E$790:$N$790</definedName>
    <definedName name="calcY5Q1RDExp">Calc!$E$807:$N$807</definedName>
    <definedName name="calcY5Q1Rev">Calc!$E$1718:$N$1718</definedName>
    <definedName name="calcY5Q1RevenueAdjustment">Calc!$E$1684:$N$1684</definedName>
    <definedName name="calcY5Q1RevenueY_1Q1">Calc!$E$1690:$N$1690</definedName>
    <definedName name="calcY5Q1RevenueY_1Q2">Calc!$E$1691:$N$1691</definedName>
    <definedName name="calcY5Q1RevenueY_1Q3">Calc!$E$1692:$N$1692</definedName>
    <definedName name="calcY5Q1RevenueY_1Q4">Calc!$E$1693:$N$1693</definedName>
    <definedName name="calcY5Q1RevenueY_2Q1">Calc!$E$1686:$N$1686</definedName>
    <definedName name="calcY5Q1RevenueY_2Q2">Calc!$E$1687:$N$1687</definedName>
    <definedName name="calcY5Q1RevenueY_2Q3">Calc!$E$1688:$N$1688</definedName>
    <definedName name="calcY5Q1RevenueY_2Q4">Calc!$E$1689:$N$1689</definedName>
    <definedName name="calcY5Q1RevenueY0Q1">Calc!$E$1694:$N$1694</definedName>
    <definedName name="calcY5Q1RevenueY0Q2">Calc!$E$1695:$N$1695</definedName>
    <definedName name="calcY5Q1RevenueY0Q3">Calc!$E$1696:$N$1696</definedName>
    <definedName name="calcY5Q1RevenueY0Q4">Calc!$E$1697:$N$1697</definedName>
    <definedName name="calcY5Q1RevenueY1Q1">Calc!$E$1698:$N$1698</definedName>
    <definedName name="calcY5Q1RevenueY1Q2">Calc!$E$1699:$N$1699</definedName>
    <definedName name="calcY5Q1RevenueY1Q3">Calc!$E$1700:$N$1700</definedName>
    <definedName name="calcY5Q1RevenueY1Q4">Calc!$E$1701:$N$1701</definedName>
    <definedName name="calcY5Q1RevenueY2Q1">Calc!$E$1702:$N$1702</definedName>
    <definedName name="calcY5Q1RevenueY2Q2">Calc!$E$1703:$N$1703</definedName>
    <definedName name="calcY5Q1RevenueY2Q3">Calc!$E$1704:$N$1704</definedName>
    <definedName name="calcY5Q1RevenueY2Q4">Calc!$E$1705:$N$1705</definedName>
    <definedName name="calcY5Q1RevenueY3Q1">Calc!$E$1706:$N$1706</definedName>
    <definedName name="calcY5Q1RevenueY3Q2">Calc!$E$1707:$N$1707</definedName>
    <definedName name="calcY5Q1RevenueY3Q3">Calc!$E$1708:$N$1708</definedName>
    <definedName name="calcY5Q1RevenueY3Q4">Calc!$E$1709:$N$1709</definedName>
    <definedName name="calcY5Q1RevenueY4Q1">Calc!$E$1710:$N$1710</definedName>
    <definedName name="calcY5Q1RevenueY4Q2">Calc!$E$1711:$N$1711</definedName>
    <definedName name="calcY5Q1RevenueY4Q3">Calc!$E$1712:$N$1712</definedName>
    <definedName name="calcY5Q1RevenueY4Q4">Calc!$E$1713:$N$1713</definedName>
    <definedName name="calcY5Q1RevenueY5Q1">Calc!$E$1714:$N$1714</definedName>
    <definedName name="calcY5Q1RevenueY5Q2">Calc!$E$1715:$N$1715</definedName>
    <definedName name="calcY5Q1RevenueY5Q3">Calc!$E$1716:$N$1716</definedName>
    <definedName name="calcY5Q1RevenueY5Q4">Calc!$E$1717:$N$1717</definedName>
    <definedName name="calcY5Q1RevFlow">Calc!$E$1686:$N$1717</definedName>
    <definedName name="calcY5Q2AttritionDifference">Calc!$E$1724:$N$1724</definedName>
    <definedName name="calcY5Q2COSPerc">Calc!$E$711:$N$711</definedName>
    <definedName name="calcY5Q2GAExp">Calc!$E$828:$N$828</definedName>
    <definedName name="calcY5Q2MSExp">Calc!$E$794:$N$794</definedName>
    <definedName name="calcY5Q2RDExp">Calc!$E$811:$N$811</definedName>
    <definedName name="calcY5Q2Rev">Calc!$E$1767:$N$1767</definedName>
    <definedName name="calcY5Q2RevenueAdjustment">Calc!$E$1733:$N$1733</definedName>
    <definedName name="calcY5Q2RevenueY_1Q1">Calc!$E$1739:$N$1739</definedName>
    <definedName name="calcY5Q2RevenueY_1Q2">Calc!$E$1740:$N$1740</definedName>
    <definedName name="calcY5Q2RevenueY_1Q3">Calc!$E$1741:$N$1741</definedName>
    <definedName name="calcY5Q2RevenueY_1Q4">Calc!$E$1742:$N$1742</definedName>
    <definedName name="calcY5Q2RevenueY_2Q1">Calc!$E$1735:$N$1735</definedName>
    <definedName name="calcY5Q2RevenueY_2Q2">Calc!$E$1736:$N$1736</definedName>
    <definedName name="calcY5Q2RevenueY_2Q3">Calc!$E$1737:$N$1737</definedName>
    <definedName name="calcY5Q2RevenueY_2Q4">Calc!$E$1738:$N$1738</definedName>
    <definedName name="calcY5Q2RevenueY0Q1">Calc!$E$1743:$N$1743</definedName>
    <definedName name="calcY5Q2RevenueY0Q2">Calc!$E$1744:$N$1744</definedName>
    <definedName name="calcY5Q2RevenueY0Q3">Calc!$E$1745:$N$1745</definedName>
    <definedName name="calcY5Q2RevenueY0Q4">Calc!$E$1746:$N$1746</definedName>
    <definedName name="calcY5Q2RevenueY1Q1">Calc!$E$1747:$N$1747</definedName>
    <definedName name="calcY5Q2RevenueY1Q2">Calc!$E$1748:$N$1748</definedName>
    <definedName name="calcY5Q2RevenueY1Q3">Calc!$E$1749:$N$1749</definedName>
    <definedName name="calcY5Q2RevenueY1Q4">Calc!$E$1750:$N$1750</definedName>
    <definedName name="calcY5Q2RevenueY2Q1">Calc!$E$1751:$N$1751</definedName>
    <definedName name="calcY5Q2RevenueY2Q2">Calc!$E$1752:$N$1752</definedName>
    <definedName name="calcY5Q2RevenueY2Q3">Calc!$E$1753:$N$1753</definedName>
    <definedName name="calcY5Q2RevenueY2Q4">Calc!$E$1754:$N$1754</definedName>
    <definedName name="calcY5Q2RevenueY3Q1">Calc!$E$1755:$N$1755</definedName>
    <definedName name="calcY5Q2RevenueY3Q2">Calc!$E$1756:$N$1756</definedName>
    <definedName name="calcY5Q2RevenueY3Q3">Calc!$E$1757:$N$1757</definedName>
    <definedName name="calcY5Q2RevenueY3Q4">Calc!$E$1758:$N$1758</definedName>
    <definedName name="calcY5Q2RevenueY4Q1">Calc!$E$1759:$N$1759</definedName>
    <definedName name="calcY5Q2RevenueY4Q2">Calc!$E$1760:$N$1760</definedName>
    <definedName name="calcY5Q2RevenueY4Q3">Calc!$E$1761:$N$1761</definedName>
    <definedName name="calcY5Q2RevenueY4Q4">Calc!$E$1762:$N$1762</definedName>
    <definedName name="calcY5Q2RevenueY5Q1">Calc!$E$1763:$N$1763</definedName>
    <definedName name="calcY5Q2RevenueY5Q2">Calc!$E$1764:$N$1764</definedName>
    <definedName name="calcY5Q2RevenueY5Q3">Calc!$E$1765:$N$1765</definedName>
    <definedName name="calcY5Q2RevenueY5Q4">Calc!$E$1766:$N$1766</definedName>
    <definedName name="calcY5Q2RevFlow">Calc!$E$1735:$N$1766</definedName>
    <definedName name="calcY5Q3AttritionDifference">Calc!$E$1773:$N$1773</definedName>
    <definedName name="calcY5Q3COSPerc">Calc!$E$715:$N$715</definedName>
    <definedName name="calcY5Q3GAExp">Calc!$E$832:$N$832</definedName>
    <definedName name="calcY5Q3MSExp">Calc!$E$798:$N$798</definedName>
    <definedName name="calcY5Q3RDExp">Calc!$E$815:$N$815</definedName>
    <definedName name="calcY5Q3Rev">Calc!$E$1816:$N$1816</definedName>
    <definedName name="calcY5Q3RevenueAdjustment">Calc!$E$1782:$N$1782</definedName>
    <definedName name="calcY5Q3RevenueY_1Q1">Calc!$E$1788:$N$1788</definedName>
    <definedName name="calcY5Q3RevenueY_1Q2">Calc!$E$1789:$N$1789</definedName>
    <definedName name="calcY5Q3RevenueY_1Q3">Calc!$E$1790:$N$1790</definedName>
    <definedName name="calcY5Q3RevenueY_1Q4">Calc!$E$1791:$N$1791</definedName>
    <definedName name="calcY5Q3RevenueY_2Q1">Calc!$E$1784:$N$1784</definedName>
    <definedName name="calcY5Q3RevenueY_2Q2">Calc!$E$1785:$N$1785</definedName>
    <definedName name="calcY5Q3RevenueY_2Q3">Calc!$E$1786:$N$1786</definedName>
    <definedName name="calcY5Q3RevenueY_2Q4">Calc!$E$1787:$N$1787</definedName>
    <definedName name="calcY5Q3RevenueY0Q1">Calc!$E$1792:$N$1792</definedName>
    <definedName name="calcY5Q3RevenueY0Q2">Calc!$E$1793:$N$1793</definedName>
    <definedName name="calcY5Q3RevenueY0Q3">Calc!$E$1794:$N$1794</definedName>
    <definedName name="calcY5Q3RevenueY0Q4">Calc!$E$1795:$N$1795</definedName>
    <definedName name="calcY5Q3RevenueY1Q1">Calc!$E$1796:$N$1796</definedName>
    <definedName name="calcY5Q3RevenueY1Q2">Calc!$E$1797:$N$1797</definedName>
    <definedName name="calcY5Q3RevenueY1Q3">Calc!$E$1798:$N$1798</definedName>
    <definedName name="calcY5Q3RevenueY1Q4">Calc!$E$1799:$N$1799</definedName>
    <definedName name="calcY5Q3RevenueY2Q1">Calc!$E$1800:$N$1800</definedName>
    <definedName name="calcY5Q3RevenueY2Q2">Calc!$E$1801:$N$1801</definedName>
    <definedName name="calcY5Q3RevenueY2Q3">Calc!$E$1802:$N$1802</definedName>
    <definedName name="calcY5Q3RevenueY2Q4">Calc!$E$1803:$N$1803</definedName>
    <definedName name="calcY5Q3RevenueY3Q1">Calc!$E$1804:$N$1804</definedName>
    <definedName name="calcY5Q3RevenueY3Q2">Calc!$E$1805:$N$1805</definedName>
    <definedName name="calcY5Q3RevenueY3Q3">Calc!$E$1806:$N$1806</definedName>
    <definedName name="calcY5Q3RevenueY3Q4">Calc!$E$1807:$N$1807</definedName>
    <definedName name="calcY5Q3RevenueY4Q1">Calc!$E$1808:$N$1808</definedName>
    <definedName name="calcY5Q3RevenueY4Q2">Calc!$E$1809:$N$1809</definedName>
    <definedName name="calcY5Q3RevenueY4Q3">Calc!$E$1810:$N$1810</definedName>
    <definedName name="calcY5Q3RevenueY4Q4">Calc!$E$1811:$N$1811</definedName>
    <definedName name="calcY5Q3RevenueY5Q1">Calc!$E$1812:$N$1812</definedName>
    <definedName name="calcY5Q3RevenueY5Q2">Calc!$E$1813:$N$1813</definedName>
    <definedName name="calcY5Q3RevenueY5Q3">Calc!$E$1814:$N$1814</definedName>
    <definedName name="calcY5Q3RevenueY5Q4">Calc!$E$1815:$N$1815</definedName>
    <definedName name="calcY5Q3RevFlow">Calc!$E$1784:$N$1815</definedName>
    <definedName name="calcY5Q4AttritionDifference">Calc!$E$1822:$N$1822</definedName>
    <definedName name="calcY5Q4COSPerc">Calc!$E$719:$N$719</definedName>
    <definedName name="calcY5Q4GAExp">Calc!$E$836:$N$836</definedName>
    <definedName name="calcY5Q4MSExp">Calc!$E$802:$N$802</definedName>
    <definedName name="calcY5Q4RDExp">Calc!$E$819:$N$819</definedName>
    <definedName name="calcY5Q4Rev">Calc!$E$1865:$N$1865</definedName>
    <definedName name="calcY5Q4RevenueAdjustment">Calc!$E$1831:$N$1831</definedName>
    <definedName name="calcY5Q4RevenueY_1Q1">Calc!$E$1837:$N$1837</definedName>
    <definedName name="calcY5Q4RevenueY_1Q2">Calc!$E$1838:$N$1838</definedName>
    <definedName name="calcY5Q4RevenueY_1Q3">Calc!$E$1839:$N$1839</definedName>
    <definedName name="calcY5Q4RevenueY_1Q4">Calc!$E$1840:$N$1840</definedName>
    <definedName name="calcY5Q4RevenueY_2Q1">Calc!$E$1833:$N$1833</definedName>
    <definedName name="calcY5Q4RevenueY_2Q2">Calc!$E$1834:$N$1834</definedName>
    <definedName name="calcY5Q4RevenueY_2Q3">Calc!$E$1835:$N$1835</definedName>
    <definedName name="calcY5Q4RevenueY_2Q4">Calc!$E$1836:$N$1836</definedName>
    <definedName name="calcY5Q4RevenueY0Q1">Calc!$E$1841:$N$1841</definedName>
    <definedName name="calcY5Q4RevenueY0Q2">Calc!$E$1842:$N$1842</definedName>
    <definedName name="calcY5Q4RevenueY0Q3">Calc!$E$1843:$N$1843</definedName>
    <definedName name="calcY5Q4RevenueY0Q4">Calc!$E$1844:$N$1844</definedName>
    <definedName name="calcY5Q4RevenueY1Q1">Calc!$E$1845:$N$1845</definedName>
    <definedName name="calcY5Q4RevenueY1Q2">Calc!$E$1846:$N$1846</definedName>
    <definedName name="calcY5Q4RevenueY1Q3">Calc!$E$1847:$N$1847</definedName>
    <definedName name="calcY5Q4RevenueY1Q4">Calc!$E$1848:$N$1848</definedName>
    <definedName name="calcY5Q4RevenueY2Q1">Calc!$E$1849:$N$1849</definedName>
    <definedName name="calcY5Q4RevenueY2Q2">Calc!$E$1850:$N$1850</definedName>
    <definedName name="calcY5Q4RevenueY2Q3">Calc!$E$1851:$N$1851</definedName>
    <definedName name="calcY5Q4RevenueY2Q4">Calc!$E$1852:$N$1852</definedName>
    <definedName name="calcY5Q4RevenueY3Q1">Calc!$E$1853:$N$1853</definedName>
    <definedName name="calcY5Q4RevenueY3Q2">Calc!$E$1854:$N$1854</definedName>
    <definedName name="calcY5Q4RevenueY3Q3">Calc!$E$1855:$N$1855</definedName>
    <definedName name="calcY5Q4RevenueY3Q4">Calc!$E$1856:$N$1856</definedName>
    <definedName name="calcY5Q4RevenueY4Q1">Calc!$E$1857:$N$1857</definedName>
    <definedName name="calcY5Q4RevenueY4Q2">Calc!$E$1858:$N$1858</definedName>
    <definedName name="calcY5Q4RevenueY4Q3">Calc!$E$1859:$N$1859</definedName>
    <definedName name="calcY5Q4RevenueY4Q4">Calc!$E$1860:$N$1860</definedName>
    <definedName name="calcY5Q4RevenueY5Q1">Calc!$E$1861:$N$1861</definedName>
    <definedName name="calcY5Q4RevenueY5Q2">Calc!$E$1862:$N$1862</definedName>
    <definedName name="calcY5Q4RevenueY5Q3">Calc!$E$1863:$N$1863</definedName>
    <definedName name="calcY5Q4RevenueY5Q4">Calc!$E$1864:$N$1864</definedName>
    <definedName name="calcY5Q4RevFlow">Calc!$E$1833:$N$1864</definedName>
    <definedName name="cbal_Paste">Cbal!$E$3:$N$3</definedName>
    <definedName name="cbalACVTotalY1">Cbal!$E$354:$N$354</definedName>
    <definedName name="cbalACVTotalY2">Cbal!$E$360:$N$360</definedName>
    <definedName name="cbalACVY1Q1">Cbal!$E$350:$N$350</definedName>
    <definedName name="cbalACVY1Q2">Cbal!$E$351:$N$351</definedName>
    <definedName name="cbalACVY1Q3">Cbal!$E$352:$N$352</definedName>
    <definedName name="cbalACVY1Q4">Cbal!$E$353:$N$353</definedName>
    <definedName name="cbalACVY2Q1">Cbal!$E$356:$N$356</definedName>
    <definedName name="cbalACVY2Q2">Cbal!$E$357:$N$357</definedName>
    <definedName name="cbalACVY2Q3">Cbal!$E$358:$N$358</definedName>
    <definedName name="cbalACVY2Q4">Cbal!$E$359:$N$359</definedName>
    <definedName name="cbalAnnualCOS">Cbal!$E$109:$N$109</definedName>
    <definedName name="cbalAnnualExternalSalesExp">Cbal!$E$213:$N$213</definedName>
    <definedName name="cbalAnnualFullREExp">Cbal!$E$155:$N$155</definedName>
    <definedName name="cbalAnnualGAExp">Cbal!$E$132:$N$132</definedName>
    <definedName name="cbalAnnualGAMigrationExp">Cbal!$E$161:$N$161</definedName>
    <definedName name="cbalAnnualGrossMargin">Cbal!$E$112:$N$112</definedName>
    <definedName name="cbalAnnualGrossProfit">Cbal!$E$111:$N$111</definedName>
    <definedName name="cbalAnnualHarmExp">Cbal!$E$143:$N$143</definedName>
    <definedName name="cbalAnnualIntegratedOpMargin">Cbal!$E$222:$N$222</definedName>
    <definedName name="cbalAnnualIntegratedOpProfit">Cbal!$E$221:$N$221</definedName>
    <definedName name="cbalAnnualITExp">Cbal!$E$149:$N$149</definedName>
    <definedName name="cbalAnnualMSExp">Cbal!$E$120:$N$120</definedName>
    <definedName name="cbalAnnualOpMargin">Cbal!$E$135:$N$135</definedName>
    <definedName name="cbalAnnualOpProfit">Cbal!$E$134:$N$134</definedName>
    <definedName name="cbalAnnualOrg62Exp">Cbal!$E$195:$N$195</definedName>
    <definedName name="cbalAnnualPackagingPricingExp">Cbal!$E$207:$N$207</definedName>
    <definedName name="cbalAnnualRDExp">Cbal!$E$126:$N$126</definedName>
    <definedName name="cbalAnnualRev">Cbal!$E$102:$N$102</definedName>
    <definedName name="cbalAnnualRevWriteDownExp">Cbal!$E$219:$N$219</definedName>
    <definedName name="cbalAnnualStackExp">Cbal!$E$201:$N$201</definedName>
    <definedName name="cbalAnnualTrustExp">Cbal!$E$167:$N$167</definedName>
    <definedName name="cbalESAT">Cbal!$E$20:$N$20</definedName>
    <definedName name="cbalExecutionVelocity">Cbal!$E$21:$N$21</definedName>
    <definedName name="cbalFTEs">Cbal!$E$24:$N$24</definedName>
    <definedName name="cbalGAPerc">Cbal!$E$73:$N$73</definedName>
    <definedName name="cbalGTMCSGPostSales">Cbal!$E$69:$N$69</definedName>
    <definedName name="cbalGTMExternalSales">Cbal!$E$68:$N$68</definedName>
    <definedName name="cbalGTMOrg62Timeline">Cbal!$E$67:$N$67</definedName>
    <definedName name="cbalGTMPackagingIntegration">Cbal!$E$69:$I$69</definedName>
    <definedName name="cbalIntegrationBudget">Cbal!$E$25:$N$25</definedName>
    <definedName name="cbalIntegrationBudgetY2">Cbal!$E$26:$N$26</definedName>
    <definedName name="cbalITIntegrationLevel">Cbal!$E$57:$N$57</definedName>
    <definedName name="cbalITLeft">Cbal!$E$29:$N$29</definedName>
    <definedName name="cbalITOfficePlan">Cbal!$E$58:$N$58</definedName>
    <definedName name="cbalKeyHarmonizationLeft">Cbal!$E$27:$N$27</definedName>
    <definedName name="cbalMSPerc">Cbal!$E$71:$N$71</definedName>
    <definedName name="cbalNonKeyHarmonizationLeft">Cbal!$E$28:$N$28</definedName>
    <definedName name="cbalNPS">Cbal!$E$23:$N$23</definedName>
    <definedName name="cbalOrg62CostLeft">Cbal!$E$31:$N$31</definedName>
    <definedName name="cbalPeopleHarmonizationLevel">Cbal!$E$55:$N$55</definedName>
    <definedName name="cbalPeopleTimeline">Cbal!$E$54:$N$54</definedName>
    <definedName name="cbalQ1BrandIntExp">Cbal!$E$177:$N$177</definedName>
    <definedName name="cbalQ1COS">Cbal!$E$105:$N$105</definedName>
    <definedName name="cbalQ1CSGExp">Cbal!$E$170:$N$170</definedName>
    <definedName name="cbalQ1ExternalSalesExp">Cbal!$E$209:$N$209</definedName>
    <definedName name="cbalQ1FullREExp">Cbal!$E$151:$N$151</definedName>
    <definedName name="cbalQ1GAExp">Cbal!$E$128:$N$128</definedName>
    <definedName name="cbalQ1GAMigrationExp">Cbal!$E$157:$N$157</definedName>
    <definedName name="cbalQ1HarmExp">Cbal!$E$139:$N$139</definedName>
    <definedName name="cbalQ1ITExp">Cbal!$E$145:$N$145</definedName>
    <definedName name="cbalQ1LeadPassExp">Cbal!$E$184:$N$184</definedName>
    <definedName name="cbalQ1MSExp">Cbal!$E$116:$N$116</definedName>
    <definedName name="cbalQ1Org62Exp">Cbal!$E$191:$N$191</definedName>
    <definedName name="cbalQ1PackagingPricingExp">Cbal!$E$203:$N$203</definedName>
    <definedName name="cbalQ1RDExp">Cbal!$E$122:$N$122</definedName>
    <definedName name="cbalQ1Rev">Cbal!$E$98:$N$98</definedName>
    <definedName name="cbalQ1RevPerc">Cbal!$E$75:$N$75</definedName>
    <definedName name="cbalQ1RevWriteDownExp">Cbal!$E$215:$N$215</definedName>
    <definedName name="cbalQ1StackExp">Cbal!$E$197:$N$197</definedName>
    <definedName name="cbalQ1TrustExp">Cbal!$E$163:$N$163</definedName>
    <definedName name="cbalQ2BrandIntExp">Cbal!$E$178:$N$178</definedName>
    <definedName name="cbalQ2COS">Cbal!$E$106:$N$106</definedName>
    <definedName name="cbalQ2CSGExp">Cbal!$E$171:$N$171</definedName>
    <definedName name="cbalQ2ExternalSalesExp">Cbal!$E$210:$N$210</definedName>
    <definedName name="cbalQ2FullREExp">Cbal!$E$152:$N$152</definedName>
    <definedName name="cbalQ2GAExp">Cbal!$E$129:$N$129</definedName>
    <definedName name="cbalQ2GAMigrationExp">Cbal!$E$158:$N$158</definedName>
    <definedName name="cbalQ2HarmExp">Cbal!$E$140:$N$140</definedName>
    <definedName name="cbalQ2ITExp">Cbal!$E$146:$N$146</definedName>
    <definedName name="cbalQ2LeadPassExp">Cbal!$E$185:$N$185</definedName>
    <definedName name="cbalQ2MSExp">Cbal!$E$117:$N$117</definedName>
    <definedName name="cbalQ2Org62Exp">Cbal!$E$192:$N$192</definedName>
    <definedName name="cbalQ2PackagingPricingExp">Cbal!$E$204:$N$204</definedName>
    <definedName name="cbalQ2RDExp">Cbal!$E$123:$N$123</definedName>
    <definedName name="cbalQ2Rev">Cbal!$E$99:$N$99</definedName>
    <definedName name="cbalQ2RevPerc">Cbal!$E$76:$N$76</definedName>
    <definedName name="cbalQ2RevWriteDownExp">Cbal!$E$216:$N$216</definedName>
    <definedName name="cbalQ2StackExp">Cbal!$E$198:$N$198</definedName>
    <definedName name="cbalQ2TrustExp">Cbal!$E$164:$N$164</definedName>
    <definedName name="cbalQ3BrandIntExp">Cbal!$E$179:$N$179</definedName>
    <definedName name="cbalQ3COS">Cbal!$E$107:$N$107</definedName>
    <definedName name="cbalQ3CSGExp">Cbal!$E$172:$N$172</definedName>
    <definedName name="cbalQ3ExternalSalesExp">Cbal!$E$211:$N$211</definedName>
    <definedName name="cbalQ3FullREExp">Cbal!$E$153:$N$153</definedName>
    <definedName name="cbalQ3GAExp">Cbal!$E$130:$N$130</definedName>
    <definedName name="cbalQ3GAMigrationExp">Cbal!$E$159:$N$159</definedName>
    <definedName name="cbalQ3HarmExp">Cbal!$E$141:$N$141</definedName>
    <definedName name="cbalQ3ITExp">Cbal!$E$147:$N$147</definedName>
    <definedName name="cbalQ3LeadPassExp">Cbal!$E$186:$N$186</definedName>
    <definedName name="cbalQ3MSExp">Cbal!$E$118:$N$118</definedName>
    <definedName name="cbalQ3Org62Exp">Cbal!$E$193:$N$193</definedName>
    <definedName name="cbalQ3PackagingPricingExp">Cbal!$E$205:$N$205</definedName>
    <definedName name="cbalQ3RDExp">Cbal!$E$124:$N$124</definedName>
    <definedName name="cbalQ3Rev">Cbal!$E$100:$N$100</definedName>
    <definedName name="cbalQ3RevPerc">Cbal!$E$77:$N$77</definedName>
    <definedName name="cbalQ3RevWriteDownExp">Cbal!$E$217:$N$217</definedName>
    <definedName name="cbalQ3StackExp">Cbal!$E$199:$N$199</definedName>
    <definedName name="cbalQ3TrustExp">Cbal!$E$165:$N$165</definedName>
    <definedName name="cbalQ4BrandIntExp">Cbal!$E$180:$N$180</definedName>
    <definedName name="cbalQ4COS">Cbal!$E$108:$N$108</definedName>
    <definedName name="cbalQ4CSGExp">Cbal!$E$173:$N$173</definedName>
    <definedName name="cbalQ4ExternalSalesExp">Cbal!$E$212:$N$212</definedName>
    <definedName name="cbalQ4FullREExp">Cbal!$E$154:$N$154</definedName>
    <definedName name="cbalQ4GAExp">Cbal!$E$131:$N$131</definedName>
    <definedName name="cbalQ4GAMigrationExp">Cbal!$E$160:$N$160</definedName>
    <definedName name="cbalQ4HarmExp">Cbal!$E$142:$N$142</definedName>
    <definedName name="cbalQ4ITExp">Cbal!$E$148:$N$148</definedName>
    <definedName name="cbalQ4LeadPassExp">Cbal!$E$187:$N$187</definedName>
    <definedName name="cbalQ4MSExp">Cbal!$E$119:$N$119</definedName>
    <definedName name="cbalQ4Org62Exp">Cbal!$E$194:$N$194</definedName>
    <definedName name="cbalQ4PackagingPricingExp">Cbal!$E$206:$N$206</definedName>
    <definedName name="cbalQ4RDExp">Cbal!$E$125:$N$125</definedName>
    <definedName name="cbalQ4Rev">Cbal!$E$101:$N$101</definedName>
    <definedName name="cbalQ4RevPerc">Cbal!$E$78:$N$78</definedName>
    <definedName name="cbalQ4RevWriteDownExp">Cbal!$E$218:$N$218</definedName>
    <definedName name="cbalQ4StackExp">Cbal!$E$200:$N$200</definedName>
    <definedName name="cbalQ4TrustExp">Cbal!$E$166:$N$166</definedName>
    <definedName name="cbalRDPerc">Cbal!$E$72:$N$72</definedName>
    <definedName name="cbalRiskIndex">Cbal!$E$22:$N$22</definedName>
    <definedName name="cbalSecurityBuildSiteInfrastructure">Cbal!$E$64:$N$64</definedName>
    <definedName name="cbalSecurityP0RiskMitigation">Cbal!$E$61:$N$61</definedName>
    <definedName name="cbalSecurityP1RiskMitigation">Cbal!$E$62:$N$62</definedName>
    <definedName name="cbalSecurityP2RiskMitigation">Cbal!$E$63:$N$63</definedName>
    <definedName name="cbalSecurityProductRestrictions">Cbal!$E$65:$N$65</definedName>
    <definedName name="cbalSI1CodeR1">Cbal!$E$4:$I$4</definedName>
    <definedName name="cbalSI1CodeR2">Cbal!$E$10:$I$10</definedName>
    <definedName name="cbalSI1CodeR3">Cbal!$E$16:$I$16</definedName>
    <definedName name="cbalSI2CodeR1">Cbal!$E$5:$I$5</definedName>
    <definedName name="cbalSI2CodeR2">Cbal!$E$11:$I$11</definedName>
    <definedName name="cbalSI2CodeR3">Cbal!$E$17:$I$17</definedName>
    <definedName name="cbalSI3CodeR1">Cbal!$E$6:$I$6</definedName>
    <definedName name="cbalSI3CodeR2">Cbal!$E$12:$I$12</definedName>
    <definedName name="cbalSI3CodeR3">Cbal!$E$18:$I$18</definedName>
    <definedName name="cbalSI4CodeR1">Cbal!$E$7:$I$7</definedName>
    <definedName name="cbalSI4CodeR2">Cbal!$E$13:$I$13</definedName>
    <definedName name="cbalSI5CodeR1">Cbal!$E$8:$I$8</definedName>
    <definedName name="cbalSI5CodeR2">Cbal!$E$14:$I$14</definedName>
    <definedName name="cbalTargetCOR">Cbal!$E$6:$N$6</definedName>
    <definedName name="cbalTargetDealBudget">Cbal!$E$16:$N$16</definedName>
    <definedName name="cbalTargetFullOpMargin">Cbal!$E$18:$N$18</definedName>
    <definedName name="cbalTargetFullOpProf">Cbal!$E$17:$N$17</definedName>
    <definedName name="cbalTargetGA">Cbal!$E$11:$N$11</definedName>
    <definedName name="cbalTargetGP">Cbal!$E$7:$N$7</definedName>
    <definedName name="cbalTargetMS">Cbal!$E$9:$N$9</definedName>
    <definedName name="cbalTargetRD">Cbal!$E$10:$N$10</definedName>
    <definedName name="cbalTargetRev">Cbal!$E$5:$N$5</definedName>
    <definedName name="cbalTargetStandaloneOpMargin">Cbal!$E$15:$N$15</definedName>
    <definedName name="cbalTargetStandaloneOpProf">Cbal!$E$14:$N$14</definedName>
    <definedName name="cbalTimeline">Cbal!$E$50:$N$50</definedName>
    <definedName name="cbalTimelineBudget">Cbal!$E$51:$N$51</definedName>
    <definedName name="cbalTimelineGAMigration">Cbal!$E$52:$N$52</definedName>
    <definedName name="cbalTimelineLength1">Cbal!$E$46:$N$46</definedName>
    <definedName name="cbalTimelineLength2">Cbal!$E$47:$N$47</definedName>
    <definedName name="cbalTimelineLength3">Cbal!$E$48:$N$48</definedName>
    <definedName name="cbalTimelineLength4">Cbal!$E$49:$N$49</definedName>
    <definedName name="cbalTrustCostLeft">Cbal!$E$30:$N$30</definedName>
    <definedName name="cbalV2MOMValue1Desc">Cbal!$E$36:$N$36</definedName>
    <definedName name="cbalV2MOMValue1Rank">Cbal!$E$35:$N$35</definedName>
    <definedName name="cbalV2MOMValue2Desc">Cbal!$E$38:$N$38</definedName>
    <definedName name="cbalV2MOMValue2Rank">Cbal!$E$37:$N$37</definedName>
    <definedName name="cbalV2MOMValue3Desc">Cbal!$E$40:$N$40</definedName>
    <definedName name="cbalV2MOMValue3Rank">Cbal!$E$39:$N$39</definedName>
    <definedName name="cbalV2MOMValue4Desc">Cbal!$E$42:$N$42</definedName>
    <definedName name="cbalV2MOMValue4Rank">Cbal!$E$41:$N$41</definedName>
    <definedName name="cbalV2MOMValue5Desc">Cbal!$E$44:$N$44</definedName>
    <definedName name="cbalV2MOMValue5Rank">Cbal!$E$43:$N$43</definedName>
    <definedName name="cbalV2MOMVision">Cbal!$E$34:$N$34</definedName>
    <definedName name="cbalWobbler1">Cbal!$E$81:$N$81</definedName>
    <definedName name="cbalWobbler10">Cbal!$E$90:$N$90</definedName>
    <definedName name="cbalWobbler11">Cbal!$E$91:$N$91</definedName>
    <definedName name="cbalWobbler12">Cbal!$E$92:$N$92</definedName>
    <definedName name="cbalWobbler13">Cbal!$E$93:$N$93</definedName>
    <definedName name="cbalWobbler14">Cbal!$E$94:$N$94</definedName>
    <definedName name="cbalWobbler15">Cbal!$E$95:$N$95</definedName>
    <definedName name="cbalWobbler2">Cbal!$E$82:$N$82</definedName>
    <definedName name="cbalWobbler3">Cbal!$E$83:$N$83</definedName>
    <definedName name="cbalWobbler4">Cbal!$E$84:$N$84</definedName>
    <definedName name="cbalWobbler5">Cbal!$E$85:$N$85</definedName>
    <definedName name="cbalWobbler6">Cbal!$E$86:$N$86</definedName>
    <definedName name="cbalWobbler7">Cbal!$E$87:$N$87</definedName>
    <definedName name="cbalWobbler8">Cbal!$E$88:$N$88</definedName>
    <definedName name="cbalWobbler9">Cbal!$E$89:$N$89</definedName>
    <definedName name="cbalY1BrandIntExp">Cbal!$E$181:$N$181</definedName>
    <definedName name="cbalY1CSGExp">Cbal!$E$174:$N$174</definedName>
    <definedName name="cbalY1LeadPassExp">Cbal!$E$188:$N$188</definedName>
    <definedName name="cbalY2AnnualBrandIntExp">Cbal!$E$321:$N$321</definedName>
    <definedName name="cbalY2AnnualCOS">Cbal!$E$237:$N$237</definedName>
    <definedName name="cbalY2AnnualCSGExp">Cbal!$E$315:$N$315</definedName>
    <definedName name="cbalY2AnnualExternalSalesExp">Cbal!$E$339:$N$339</definedName>
    <definedName name="cbalY2AnnualFullREExp">Cbal!$E$283:$N$283</definedName>
    <definedName name="cbalY2AnnualGAExp">Cbal!$E$260:$N$260</definedName>
    <definedName name="cbalY2AnnualGAMigrationExp">Cbal!$E$289:$N$289</definedName>
    <definedName name="cbalY2AnnualGrossMargin">Cbal!$E$240:$N$240</definedName>
    <definedName name="cbalY2AnnualGrossProfit">Cbal!$E$239:$N$239</definedName>
    <definedName name="cbalY2AnnualHarmExp">Cbal!$E$271:$N$271</definedName>
    <definedName name="cbalY2AnnualIntegratedOpMargin">Cbal!$E$348:$N$348</definedName>
    <definedName name="cbalY2AnnualIntegratedOpProfit">Cbal!$E$347:$N$347</definedName>
    <definedName name="cbalY2AnnualITExp">Cbal!$E$277:$N$277</definedName>
    <definedName name="cbalY2AnnualLeadPassExp">Cbal!$E$327:$N$327</definedName>
    <definedName name="cbalY2AnnualMSExp">Cbal!$E$248:$N$248</definedName>
    <definedName name="cbalY2AnnualOpMargin">Cbal!$E$263:$N$263</definedName>
    <definedName name="cbalY2AnnualOpProfit">Cbal!$E$262:$N$262</definedName>
    <definedName name="cbalY2AnnualOrg62Exp">Cbal!$E$303:$N$303</definedName>
    <definedName name="cbalY2AnnualPackagingPricingExp">Cbal!$E$333:$N$333</definedName>
    <definedName name="cbalY2AnnualRDExp">Cbal!$E$254:$N$254</definedName>
    <definedName name="cbalY2AnnualRev">Cbal!$E$230:$N$230</definedName>
    <definedName name="cbalY2AnnualRevWriteDownExp">Cbal!$E$345:$N$345</definedName>
    <definedName name="cbalY2AnnualStackExp">Cbal!$E$309:$N$309</definedName>
    <definedName name="cbalY2AnnualTrustExp">Cbal!$E$295:$N$295</definedName>
    <definedName name="cbalY2Q1BrandIntExp">Cbal!$E$317:$N$317</definedName>
    <definedName name="cbalY2Q1COS">Cbal!$E$233:$N$233</definedName>
    <definedName name="cbalY2Q1CSGExp">Cbal!$E$311:$N$311</definedName>
    <definedName name="cbalY2Q1ExternalSalesExp">Cbal!$E$335:$N$335</definedName>
    <definedName name="cbalY2Q1FullREExp">Cbal!$E$279:$N$279</definedName>
    <definedName name="cbalY2Q1GAExp">Cbal!$E$256:$N$256</definedName>
    <definedName name="cbalY2Q1GAMigrationExp">Cbal!$E$285:$N$285</definedName>
    <definedName name="cbalY2Q1HarmExp">Cbal!$E$267:$N$267</definedName>
    <definedName name="cbalY2Q1ITExp">Cbal!$E$273:$N$273</definedName>
    <definedName name="cbalY2Q1LeadPassExp">Cbal!$E$323:$N$323</definedName>
    <definedName name="cbalY2Q1MSExp">Cbal!$E$244:$N$244</definedName>
    <definedName name="cbalY2Q1Org62Exp">Cbal!$E$299:$N$299</definedName>
    <definedName name="cbalY2Q1PackagingPricingExp">Cbal!$E$329:$N$329</definedName>
    <definedName name="cbalY2Q1RDExp">Cbal!$E$250:$N$250</definedName>
    <definedName name="cbalY2Q1Rev">Cbal!$E$226:$N$226</definedName>
    <definedName name="cbalY2Q1RevWriteDownExp">Cbal!$E$341:$N$341</definedName>
    <definedName name="cbalY2Q1StackExp">Cbal!$E$305:$N$305</definedName>
    <definedName name="cbalY2Q1TrustExp">Cbal!$E$291:$N$291</definedName>
    <definedName name="cbalY2Q2BrandIntExp">Cbal!$E$318:$N$318</definedName>
    <definedName name="cbalY2Q2COS">Cbal!$E$234:$N$234</definedName>
    <definedName name="cbalY2Q2CSGExp">Cbal!$E$312:$N$312</definedName>
    <definedName name="cbalY2Q2ExternalSalesExp">Cbal!$E$336:$N$336</definedName>
    <definedName name="cbalY2Q2FullREExp">Cbal!$E$280:$N$280</definedName>
    <definedName name="cbalY2Q2GAExp">Cbal!$E$257:$N$257</definedName>
    <definedName name="cbalY2Q2GAMigrationExp">Cbal!$E$286:$N$286</definedName>
    <definedName name="cbalY2Q2HarmExp">Cbal!$E$268:$N$268</definedName>
    <definedName name="cbalY2Q2ITExp">Cbal!$E$274:$N$274</definedName>
    <definedName name="cbalY2Q2LeadPassExp">Cbal!$E$324:$N$324</definedName>
    <definedName name="cbalY2Q2MSExp">Cbal!$E$245:$N$245</definedName>
    <definedName name="cbalY2Q2Org62Exp">Cbal!$E$300:$N$300</definedName>
    <definedName name="cbalY2Q2PackagingPricingExp">Cbal!$E$330:$N$330</definedName>
    <definedName name="cbalY2Q2RDExp">Cbal!$E$251:$N$251</definedName>
    <definedName name="cbalY2Q2Rev">Cbal!$E$227:$N$227</definedName>
    <definedName name="cbalY2Q2RevWriteDownExp">Cbal!$E$342:$N$342</definedName>
    <definedName name="cbalY2Q2StackExp">Cbal!$E$306:$N$306</definedName>
    <definedName name="cbalY2Q2TrustExp">Cbal!$E$292:$N$292</definedName>
    <definedName name="cbalY2Q3BrandIntExp">Cbal!$E$319:$N$319</definedName>
    <definedName name="cbalY2Q3COS">Cbal!$E$235:$N$235</definedName>
    <definedName name="cbalY2Q3CSGExp">Cbal!$E$313:$N$313</definedName>
    <definedName name="cbalY2Q3ExternalSalesExp">Cbal!$E$337:$N$337</definedName>
    <definedName name="cbalY2Q3FullREExp">Cbal!$E$281:$N$281</definedName>
    <definedName name="cbalY2Q3GAExp">Cbal!$E$258:$N$258</definedName>
    <definedName name="cbalY2Q3GAMigrationExp">Cbal!$E$287:$N$287</definedName>
    <definedName name="cbalY2Q3HarmExp">Cbal!$E$269:$N$269</definedName>
    <definedName name="cbalY2Q3ITExp">Cbal!$E$275:$N$275</definedName>
    <definedName name="cbalY2Q3LeadPassExp">Cbal!$E$325:$N$325</definedName>
    <definedName name="cbalY2Q3MSExp">Cbal!$E$246:$N$246</definedName>
    <definedName name="cbalY2Q3Org62Exp">Cbal!$E$301:$N$301</definedName>
    <definedName name="cbalY2Q3PackagingPricingExp">Cbal!$E$331:$N$331</definedName>
    <definedName name="cbalY2Q3RDExp">Cbal!$E$252:$N$252</definedName>
    <definedName name="cbalY2Q3Rev">Cbal!$E$228:$N$228</definedName>
    <definedName name="cbalY2Q3RevWriteDownExp">Cbal!$E$343:$N$343</definedName>
    <definedName name="cbalY2Q3StackExp">Cbal!$E$307:$N$307</definedName>
    <definedName name="cbalY2Q3TrustExp">Cbal!$E$293:$N$293</definedName>
    <definedName name="cbalY2Q4BrandIntExp">Cbal!$E$320:$N$320</definedName>
    <definedName name="cbalY2Q4COS">Cbal!$E$236:$N$236</definedName>
    <definedName name="cbalY2Q4CSGExp">Cbal!$E$314:$N$314</definedName>
    <definedName name="cbalY2Q4ExternalSalesExp">Cbal!$E$338:$N$338</definedName>
    <definedName name="cbalY2Q4FullREExp">Cbal!$E$282:$N$282</definedName>
    <definedName name="cbalY2Q4GAExp">Cbal!$E$259:$N$259</definedName>
    <definedName name="cbalY2Q4GAMigrationExp">Cbal!$E$288:$N$288</definedName>
    <definedName name="cbalY2Q4HarmExp">Cbal!$E$270:$N$270</definedName>
    <definedName name="cbalY2Q4ITExp">Cbal!$E$276:$N$276</definedName>
    <definedName name="cbalY2Q4LeadPassExp">Cbal!$E$326:$N$326</definedName>
    <definedName name="cbalY2Q4MSExp">Cbal!$E$247:$N$247</definedName>
    <definedName name="cbalY2Q4Org62Exp">Cbal!$E$302:$N$302</definedName>
    <definedName name="cbalY2Q4PackagingPricingExp">Cbal!$E$332:$N$332</definedName>
    <definedName name="cbalY2Q4RDExp">Cbal!$E$253:$N$253</definedName>
    <definedName name="cbalY2Q4Rev">Cbal!$E$229:$N$229</definedName>
    <definedName name="cbalY2Q4RevWriteDownExp">Cbal!$E$344:$N$344</definedName>
    <definedName name="cbalY2Q4StackExp">Cbal!$E$308:$N$308</definedName>
    <definedName name="cbalY2Q4TrustExp">Cbal!$E$294:$N$294</definedName>
    <definedName name="cbalY5AnnualCOS">Cbal!$E$375:$N$375</definedName>
    <definedName name="cbalY5AnnualGAExp">Cbal!$E$398:$N$398</definedName>
    <definedName name="cbalY5AnnualGrossMargin">Cbal!$E$378:$N$378</definedName>
    <definedName name="cbalY5AnnualGrossProfit">Cbal!$E$377:$N$377</definedName>
    <definedName name="cbalY5AnnualMSExp">Cbal!$E$386:$N$386</definedName>
    <definedName name="cbalY5AnnualOpMargin">Cbal!$E$401:$N$401</definedName>
    <definedName name="cbalY5AnnualOpProfit">Cbal!$E$400:$N$400</definedName>
    <definedName name="cbalY5AnnualRDExp">Cbal!$E$392:$N$392</definedName>
    <definedName name="cbalY5AnnualRev">Cbal!$E$368:$N$368</definedName>
    <definedName name="cbalY5Q1COS">Cbal!$E$371:$N$371</definedName>
    <definedName name="cbalY5Q1GAExp">Cbal!$E$394:$N$394</definedName>
    <definedName name="cbalY5Q1MSExp">Cbal!$E$382:$N$382</definedName>
    <definedName name="cbalY5Q1RDExp">Cbal!$E$388:$N$388</definedName>
    <definedName name="cbalY5Q1Rev">Cbal!$E$364:$N$364</definedName>
    <definedName name="cbalY5Q2COS">Cbal!$E$372:$N$372</definedName>
    <definedName name="cbalY5Q2GAExp">Cbal!$E$395:$N$395</definedName>
    <definedName name="cbalY5Q2MSExp">Cbal!$E$383:$N$383</definedName>
    <definedName name="cbalY5Q2RDExp">Cbal!$E$389:$N$389</definedName>
    <definedName name="cbalY5Q2Rev">Cbal!$E$365:$N$365</definedName>
    <definedName name="cbalY5Q3COS">Cbal!$E$373:$N$373</definedName>
    <definedName name="cbalY5Q3GAExp">Cbal!$E$396:$N$396</definedName>
    <definedName name="cbalY5Q3MSExp">Cbal!$E$384:$N$384</definedName>
    <definedName name="cbalY5Q3RDExp">Cbal!$E$390:$N$390</definedName>
    <definedName name="cbalY5Q3Rev">Cbal!$E$366:$N$366</definedName>
    <definedName name="cbalY5Q4COS">Cbal!$E$374:$N$374</definedName>
    <definedName name="cbalY5Q4GAExp">Cbal!$E$397:$N$397</definedName>
    <definedName name="cbalY5Q4MSExp">Cbal!$E$385:$N$385</definedName>
    <definedName name="cbalY5Q4RDExp">Cbal!$E$391:$N$391</definedName>
    <definedName name="cbalY5Q4Rev">Cbal!$E$367:$N$367</definedName>
    <definedName name="Choose">Dec!$F$29:$O$29</definedName>
    <definedName name="ClearAdjRange1">ClearAdj!$C$21</definedName>
    <definedName name="ClearAdjRange10">ClearAdj!$C$39</definedName>
    <definedName name="ClearAdjRange11">ClearAdj!$C$41</definedName>
    <definedName name="ClearAdjRange12">ClearAdj!$C$43</definedName>
    <definedName name="ClearAdjRange13">ClearAdj!$C$45</definedName>
    <definedName name="ClearAdjRange14">ClearAdj!$C$47</definedName>
    <definedName name="ClearAdjRange15">ClearAdj!$C$49</definedName>
    <definedName name="ClearAdjRange16">ClearAdj!$C$51</definedName>
    <definedName name="ClearAdjRange17">ClearAdj!$C$53</definedName>
    <definedName name="ClearAdjRange18">ClearAdj!$C$55</definedName>
    <definedName name="ClearAdjRange19">ClearAdj!$C$57</definedName>
    <definedName name="ClearAdjRange2">ClearAdj!$C$23</definedName>
    <definedName name="ClearAdjRange20">ClearAdj!$C$59</definedName>
    <definedName name="ClearAdjRange21">ClearAdj!$C$61</definedName>
    <definedName name="ClearAdjRange22">ClearAdj!$C$63</definedName>
    <definedName name="ClearAdjRange23">ClearAdj!$C$65</definedName>
    <definedName name="ClearAdjRange24">ClearAdj!$C$67</definedName>
    <definedName name="ClearAdjRange25">ClearAdj!$C$69</definedName>
    <definedName name="ClearAdjRange3">ClearAdj!$C$25</definedName>
    <definedName name="ClearAdjRange4">ClearAdj!$C$27</definedName>
    <definedName name="ClearAdjRange5">ClearAdj!$C$29</definedName>
    <definedName name="ClearAdjRange6">ClearAdj!$C$31</definedName>
    <definedName name="ClearAdjRange7">ClearAdj!$C$33</definedName>
    <definedName name="ClearAdjRange8">ClearAdj!$C$35</definedName>
    <definedName name="ClearAdjRange9">ClearAdj!$C$37</definedName>
    <definedName name="cnstComma">PopUp!$E$56</definedName>
    <definedName name="cnstDoubleQuote">PopUp!$E$55</definedName>
    <definedName name="cnstMillion">Glossary!$D$5</definedName>
    <definedName name="cnstSingleQuote">PopUp!$E$54</definedName>
    <definedName name="core_FilePrefix">Controls!$D$5</definedName>
    <definedName name="dataCurveballACV">Data!$G$367:$G$373</definedName>
    <definedName name="dataCurveballAdditional">Data!$L$367:$L$373</definedName>
    <definedName name="dataCurveballBudget">Data!$K$367:$K$373</definedName>
    <definedName name="dataCurveballCSAT">Data!$J$367:$J$373</definedName>
    <definedName name="dataCurveballDisruption">Data!$H$367:$H$373</definedName>
    <definedName name="dataCurveballEngagement">Data!$F$367:$F$373</definedName>
    <definedName name="dataCurveballImpactTable">Data!$D$367:$M$374</definedName>
    <definedName name="dataCurveballRisk">Data!$I$367:$I$373</definedName>
    <definedName name="dataGAMigrationCost">Data!$D$61</definedName>
    <definedName name="dataHarmLevels">Data!$L$185:$L$191</definedName>
    <definedName name="dataHarmonizationBudget">Data!$D$32</definedName>
    <definedName name="dataIntegrationBudget">Data!$D$31</definedName>
    <definedName name="dataITIntegrationCostR1">Data!$D$41:$D$45</definedName>
    <definedName name="dataITIntegrationCostR2">Data!$E$41:$E$45</definedName>
    <definedName name="dataITIntegrationCostR3">Data!$F$41:$F$45</definedName>
    <definedName name="dataKeyTalentProportion">Data!$D$34</definedName>
    <definedName name="dataNonKeyTalentProportion">Data!$D$35</definedName>
    <definedName name="dataNumofTeams">'[1]Setup &amp; Instructions'!$C$24</definedName>
    <definedName name="dataNumTeams">Data!$D$4</definedName>
    <definedName name="DataOfficeIntegrationDropdown">Data!$D$8:$D$10</definedName>
    <definedName name="DataOfficeIntegrationPrice">Data!$E$8:$E$10</definedName>
    <definedName name="dataPackagingPricingCost">Data!$D$69</definedName>
    <definedName name="dataProductFeatureEnhancement">Data!$D$58</definedName>
    <definedName name="dataRealEstateExistingCost">Data!$D$64</definedName>
    <definedName name="dataRealEstateInCloudCost">Data!$E$64</definedName>
    <definedName name="dataRiskP0Cost">Data!$D$50:$I$50</definedName>
    <definedName name="dataRiskP1Cost">Data!$D$51:$I$51</definedName>
    <definedName name="dataRiskP2Cost">Data!$D$52:$I$52</definedName>
    <definedName name="dataSecurityOfficeInfrastructure">Data!$D$54</definedName>
    <definedName name="dataSecurityREInfrastructureCost">Data!$D$66</definedName>
    <definedName name="dataStackIntegrationCost">Data!$D$56</definedName>
    <definedName name="datatblBackOfficeTimeline">Data!$D$176:$J$181</definedName>
    <definedName name="datatblBrandIntegration">Data!$D$220:$J$226</definedName>
    <definedName name="datatblCSGPostSales">Data!$D$204:$J$209</definedName>
    <definedName name="datatblEmpIntegrationLevelImpact">Data!$D$75:$J$80</definedName>
    <definedName name="datatblESATImpact">Data!$D$75:$J$80</definedName>
    <definedName name="datatblExternalSalesImpact">Data!$D$85:$J$90</definedName>
    <definedName name="datatblKeyHarmProp">Data!$D$184:$J$191</definedName>
    <definedName name="datatblLeadPass">Data!$D$212:$J$217</definedName>
    <definedName name="datatblNonKeyHarmProp">Data!$D$194:$J$201</definedName>
    <definedName name="datatblNPSAttrition">Data!$H$250:$H$256</definedName>
    <definedName name="datatblNPSGrowth">Data!$E$230:$E$271</definedName>
    <definedName name="datatblNPSScore">Data!$G$250:$G$256</definedName>
    <definedName name="datatblOrg62Timeline">Data!$D$106:$J$111</definedName>
    <definedName name="datatblP0RiskMitigation">Data!$D$136:$J$141</definedName>
    <definedName name="datatblP1RiskMitigation">Data!$D$146:$J$151</definedName>
    <definedName name="datatblP2RiskMitigation">Data!$D$156:$J$161</definedName>
    <definedName name="datatblPeopleTimeline">Data!$D$116:$J$121</definedName>
    <definedName name="datatblProductTimeline">Data!$D$166:$J$171</definedName>
    <definedName name="datatblSecurityTimeline">Data!$D$126:$J$131</definedName>
    <definedName name="datatblStackFocusImpact">Data!$D$96:$J$101</definedName>
    <definedName name="DataValuesAvail">tlV2MOM!$N$38</definedName>
    <definedName name="dataValuesList">Data!$H$14:$H$19</definedName>
    <definedName name="dataY_1Q1Rev">Data!$D$280:$D$314</definedName>
    <definedName name="dataY_1Q2Rev">Data!$E$280:$E$314</definedName>
    <definedName name="dataY_1Q3Rev">Data!$F$280:$F$314</definedName>
    <definedName name="dataY_1Q4Rev">Data!$G$280:$G$314</definedName>
    <definedName name="dataY0Q1Rev">Data!$H$280:$H$314</definedName>
    <definedName name="dataY0Q2Rev">Data!$I$280:$I$314</definedName>
    <definedName name="dataY0Q3Rev">Data!$J$280:$J$314</definedName>
    <definedName name="dataY0Q4Rev">Data!$K$280:$K$314</definedName>
    <definedName name="dataY1Q1Rev">Data!$L$280:$L$314</definedName>
    <definedName name="dataY1Q2Rev">Data!$M$280:$M$314</definedName>
    <definedName name="dataY1Q3Rev">Data!$N$280:$N$314</definedName>
    <definedName name="dataY1Q4Rev">Data!$O$280:$O$314</definedName>
    <definedName name="dataY2Q1Rev">Data!$P$280:$P$314</definedName>
    <definedName name="dataY2Q2Rev">Data!$Q$280:$Q$314</definedName>
    <definedName name="dataY2Q3Rev">Data!$R$280:$R$314</definedName>
    <definedName name="dataY2Q4Rev">Data!$S$280:$S$314</definedName>
    <definedName name="dataY3Q1Rev">Data!$T$280:$T$314</definedName>
    <definedName name="dataY3Q2Rev">Data!$U$280:$U$314</definedName>
    <definedName name="dataY3Q3Rev">Data!$V$280:$V$314</definedName>
    <definedName name="dataY3Q4Rev">Data!$W$280:$W$314</definedName>
    <definedName name="dataY4Q1Rev">Data!$X$280:$X$314</definedName>
    <definedName name="dataY4Q2Rev">Data!$Y$280:$Y$314</definedName>
    <definedName name="dataY4Q3Rev">Data!$Z$280:$Z$314</definedName>
    <definedName name="dataY4Q4Rev">Data!$AA$280:$AA$314</definedName>
    <definedName name="dataY5Q1Rev">Data!$AB$280:$AB$314</definedName>
    <definedName name="dataY5Q2Rev">Data!$AC$280:$AC$314</definedName>
    <definedName name="dataY5Q3Rev">Data!$AD$280:$AD$314</definedName>
    <definedName name="dataY5Q4Rev">Data!$AE$280:$AE$314</definedName>
    <definedName name="DB_arrayDash1Names">Dashboard!$C$26:$C$35</definedName>
    <definedName name="DB_arrayDash1Values">Dashboard!$G$26:$G$35</definedName>
    <definedName name="DB_arrayDash1Y2Names">Dashboard!$C$40:$C$49</definedName>
    <definedName name="DB_arrayDash1Y2Values">Dashboard!$G$40:$G$49</definedName>
    <definedName name="DB_arrayDash2Names">Dashboard!$C$54:$C$63</definedName>
    <definedName name="DB_arrayDash2Values">Dashboard!$G$54:$G$63</definedName>
    <definedName name="DB_arrayDash3Names">Dashboard!$C$68:$C$77</definedName>
    <definedName name="DB_arrayDash3Values">Dashboard!$G$68:$G$77</definedName>
    <definedName name="DB_Dashboard1">Dashboard!$E$6</definedName>
    <definedName name="DB_Dashboard1Y2">Dashboard!$E$9</definedName>
    <definedName name="DB_Dashboard2">Dashboard!$E$12</definedName>
    <definedName name="DB_Dashboard3">Dashboard!$E$15</definedName>
    <definedName name="DB_LargeWhiteSpace">Dashboard!$E$86</definedName>
    <definedName name="DB_LargeWhiteSpaceLength">Dashboard!$E$21</definedName>
    <definedName name="DB_SubWhiteSpace">Dashboard!$E$87</definedName>
    <definedName name="DB_SubWhiteSpaceLength">Dashboard!$E$22</definedName>
    <definedName name="DB_WhiteSpace">Dashboard!$E$85</definedName>
    <definedName name="DB_WhiteSpaceLength">Dashboard!$E$20</definedName>
    <definedName name="dec_End">Dec!$E$66</definedName>
    <definedName name="dec_ErrorCheck">DecErrorMessage!$D$32</definedName>
    <definedName name="dec_ErrorMessage">DecErrorMessage!$D$12</definedName>
    <definedName name="dec_FormulaReset">Dec!$P$3:$P$66</definedName>
    <definedName name="dec_LineBreak">DecErrorMessage!$D$35</definedName>
    <definedName name="dec_Names">Dec!$E$2:$N$2</definedName>
    <definedName name="dec_Paste">Dec!$E$3:$N$3</definedName>
    <definedName name="dec_PasteY1">Dec!$U$3:$Y$3</definedName>
    <definedName name="dec_PasteY2">Dec!$AA$3:$AE$3</definedName>
    <definedName name="dec_PasteY3">Dec!$AG$3:$AK$3</definedName>
    <definedName name="dec_Round">Controls!$D$41</definedName>
    <definedName name="dec_TeamName">Controls!$D$37</definedName>
    <definedName name="dec_TeamNumber">Controls!$D$39</definedName>
    <definedName name="dec_ToolInputPrefix">Controls!$D$43</definedName>
    <definedName name="dec_ToolReset">Dec!$Q$3:$Q$66</definedName>
    <definedName name="dec_ToolResetR0">Dec!$R$3:$R$66</definedName>
    <definedName name="dec_ToolResetValues">Dec!$S$3:$S$66</definedName>
    <definedName name="decGTMBrandIntegration">Dec!$E$44:$N$44</definedName>
    <definedName name="decGTMCSGPostSales">Dec!$E$43:$N$43</definedName>
    <definedName name="decGTMExternalSales">Dec!$E$42:$N$42</definedName>
    <definedName name="decGTMLeadPass">Dec!$E$45:$N$45</definedName>
    <definedName name="decGTMOrg62Timeline">Dec!$E$41:$N$41</definedName>
    <definedName name="decITIntegrationLevel">Dec!$E$30:$N$30</definedName>
    <definedName name="decITOfficePlan">Dec!$E$31:$N$31</definedName>
    <definedName name="decITTimeline">Dec!$E$29:$N$29</definedName>
    <definedName name="decPeopleHarmonizationLevel">Dec!$E$26:$N$26</definedName>
    <definedName name="decPeopleNonKeyHarmonizationLevel">Dec!$E$27:$N$27</definedName>
    <definedName name="decPeopleTimeline">Dec!$E$25:$N$25</definedName>
    <definedName name="decProductStackFocus">Dec!$E$48:$N$48</definedName>
    <definedName name="decProductTimeline">Dec!$E$47:$N$47</definedName>
    <definedName name="decRound">Dec!$E$6:$N$6</definedName>
    <definedName name="decSecurityBuildSiteInfrastructure">Dec!$E$38:$N$38</definedName>
    <definedName name="decSecurityP0RiskMitigation">Dec!$E$35:$N$35</definedName>
    <definedName name="decSecurityP1RiskMitigation">Dec!$E$36:$N$36</definedName>
    <definedName name="decSecurityP2RiskMitigation">Dec!$E$37:$N$37</definedName>
    <definedName name="decSecurityProductRestrictions">Dec!$E$39:$N$39</definedName>
    <definedName name="decSecurityRiskMitigationHorizon">Dec!$E$34:$I$34</definedName>
    <definedName name="decSecurityTimeline">Dec!$E$34:$N$34</definedName>
    <definedName name="decTeamName">Dec!$E$4:$N$4</definedName>
    <definedName name="decTeamNumber">Dec!$E$5:$N$5</definedName>
    <definedName name="decV2MOMRisk1">Dec!$E$21:$N$21</definedName>
    <definedName name="decV2MOMRisk2">Dec!$E$22:$N$22</definedName>
    <definedName name="decV2MOMRisk3">Dec!$E$23:$N$23</definedName>
    <definedName name="decV2MOMValue1Desc">Dec!$E$11:$N$11</definedName>
    <definedName name="decV2MOMValue1Rank">Dec!$E$10:$N$10</definedName>
    <definedName name="decV2MOMValue2Desc">Dec!$E$13:$N$13</definedName>
    <definedName name="decV2MOMValue2Rank">Dec!$E$12:$N$12</definedName>
    <definedName name="decV2MOMValue3Desc">Dec!$E$15:$N$15</definedName>
    <definedName name="decV2MOMValue3Rank">Dec!$E$14:$N$14</definedName>
    <definedName name="decV2MOMValue4Desc">Dec!$E$17:$N$17</definedName>
    <definedName name="decV2MOMValue4Rank">Dec!$E$16:$N$16</definedName>
    <definedName name="decV2MOMValue5Desc">Dec!$E$19:$N$19</definedName>
    <definedName name="decV2MOMValue5Rank">Dec!$E$18:$N$18</definedName>
    <definedName name="decV2MOMVision">Dec!$E$9:$N$9</definedName>
    <definedName name="decWobbler1">Dec!$E$50:$N$50</definedName>
    <definedName name="decWobbler10">Dec!$E$59:$N$59</definedName>
    <definedName name="decWobbler11">Dec!$E$60:$N$60</definedName>
    <definedName name="decWobbler12">Dec!$E$61:$N$61</definedName>
    <definedName name="decWobbler13">Dec!$E$62:$N$62</definedName>
    <definedName name="decWobbler14">Dec!$E$63:$N$63</definedName>
    <definedName name="decWobbler15">Dec!$E$64:$N$64</definedName>
    <definedName name="decWobbler2">Dec!$E$51:$N$51</definedName>
    <definedName name="decWobbler3">Dec!$E$52:$N$52</definedName>
    <definedName name="decWobbler4">Dec!$E$53:$N$53</definedName>
    <definedName name="decWobbler5">Dec!$E$54:$N$54</definedName>
    <definedName name="decWobbler6">Dec!$E$55:$N$55</definedName>
    <definedName name="decWobbler7">Dec!$E$56:$N$56</definedName>
    <definedName name="decWobbler8">Dec!$E$57:$N$57</definedName>
    <definedName name="decWobbler9">Dec!$E$58:$N$58</definedName>
    <definedName name="FacTeamCount">Instructions!$A$3</definedName>
    <definedName name="fbHideRange">Feedback!$E$1:$N$1</definedName>
    <definedName name="fbNumOfTeams">Feedback!$D$15</definedName>
    <definedName name="fbTSHideRange">FeedbackTS!$E$1:$N$1</definedName>
    <definedName name="feedback_FeedbackFileName">Controls!$D$7</definedName>
    <definedName name="feedback_FeedbackSheetName">Controls!$D$31</definedName>
    <definedName name="feedback_TimeSeriesFeedbackSheetName">Controls!$D$33</definedName>
    <definedName name="finACVTotalY1">Fin!$E$278:$N$278</definedName>
    <definedName name="finACVTotalY2">Fin!$E$284:$N$284</definedName>
    <definedName name="finACVY1Q1">Fin!$E$274:$N$274</definedName>
    <definedName name="finACVY1Q2">Fin!$E$275:$N$275</definedName>
    <definedName name="finACVY1Q3">Fin!$E$276:$N$276</definedName>
    <definedName name="finACVY1Q4">Fin!$E$277:$N$277</definedName>
    <definedName name="finACVY2Q1">Fin!$E$280:$N$280</definedName>
    <definedName name="finACVY2Q2">Fin!$E$281:$N$281</definedName>
    <definedName name="finACVY2Q3">Fin!$E$282:$N$282</definedName>
    <definedName name="finACVY2Q4">Fin!$E$283:$N$283</definedName>
    <definedName name="finAnnualCOS">Fin!$E$19:$N$19</definedName>
    <definedName name="finAnnualExternalSalesExp">Fin!$E$123:$N$123</definedName>
    <definedName name="finAnnualFullREExp">Fin!$E$65:$N$65</definedName>
    <definedName name="finAnnualGAExp">Fin!$E$42:$N$42</definedName>
    <definedName name="finAnnualGAMigrationExp">Fin!$E$71:$N$71</definedName>
    <definedName name="finAnnualGrossMargin">Fin!$E$22:$N$22</definedName>
    <definedName name="finAnnualGrossProfit">Fin!$E$21:$N$21</definedName>
    <definedName name="finAnnualHarmExp">Fin!$E$53:$N$53</definedName>
    <definedName name="finAnnualIntegratedOpMargin">Fin!$E$132:$N$132</definedName>
    <definedName name="finAnnualIntegratedOpProfit">Fin!$E$131:$N$131</definedName>
    <definedName name="finAnnualITExp">Fin!$E$59:$N$59</definedName>
    <definedName name="finAnnualMSExp">Fin!$E$30:$N$30</definedName>
    <definedName name="finAnnualOpMargin">Fin!$E$45:$N$45</definedName>
    <definedName name="finAnnualOpProfit">Fin!$E$44:$N$44</definedName>
    <definedName name="finAnnualOrg62Exp">Fin!$E$105:$N$105</definedName>
    <definedName name="finAnnualPackagingPricingExp">Fin!$E$117:$N$117</definedName>
    <definedName name="finAnnualRDExp">Fin!$E$36:$N$36</definedName>
    <definedName name="FinAnnualRev">Fin!$E$12:$N$12</definedName>
    <definedName name="finAnnualRevWriteDownExp">Fin!$E$129:$N$129</definedName>
    <definedName name="finAnnualStackExp">Fin!$E$111:$N$111</definedName>
    <definedName name="finAnnualTrustExp">Fin!$E$77:$N$77</definedName>
    <definedName name="finQ1BrandIntExp">Fin!$E$87:$N$87</definedName>
    <definedName name="finQ1COS">Fin!$E$15:$N$15</definedName>
    <definedName name="finQ1CSGExp">Fin!$E$80:$N$80</definedName>
    <definedName name="finQ1ExternalSalesExp">Fin!$E$119:$N$119</definedName>
    <definedName name="finQ1FullREExp">Fin!$E$61:$N$61</definedName>
    <definedName name="finQ1GAExp">Fin!$E$38:$N$38</definedName>
    <definedName name="finQ1GAMigrationExp">Fin!$E$67:$N$67</definedName>
    <definedName name="finQ1HarmExp">Fin!$E$49:$N$49</definedName>
    <definedName name="finQ1IntegrationBudget">Fin!$E$135:$N$135</definedName>
    <definedName name="finQ1ITExp">Fin!$E$55:$N$55</definedName>
    <definedName name="finQ1LeadPassExp">Fin!$E$94:$N$94</definedName>
    <definedName name="finQ1MSExp">Fin!$E$26:$N$26</definedName>
    <definedName name="finQ1Org62Exp">Fin!$E$101:$N$101</definedName>
    <definedName name="finQ1PackagingPricingExp">Fin!$E$113:$N$113</definedName>
    <definedName name="finQ1RDExp">Fin!$E$32:$N$32</definedName>
    <definedName name="finQ1Rev">Fin!$E$8:$N$8</definedName>
    <definedName name="finQ1RevWriteDownExp">Fin!$E$125:$N$125</definedName>
    <definedName name="finQ1StackExp">Fin!$E$107:$N$107</definedName>
    <definedName name="finQ1TrustExp">Fin!$E$73:$N$73</definedName>
    <definedName name="finQ2BrandIntExp">Fin!$E$88:$N$88</definedName>
    <definedName name="finQ2COS">Fin!$E$16:$N$16</definedName>
    <definedName name="finQ2CSGExp">Fin!$E$81:$N$81</definedName>
    <definedName name="finQ2ExternalSalesExp">Fin!$E$120:$N$120</definedName>
    <definedName name="finQ2FullREExp">Fin!$E$62:$N$62</definedName>
    <definedName name="finQ2GAExp">Fin!$E$39:$N$39</definedName>
    <definedName name="finQ2GAMigrationExp">Fin!$E$68:$N$68</definedName>
    <definedName name="finQ2HarmExp">Fin!$E$50:$N$50</definedName>
    <definedName name="finQ2IntegrationBudget">Fin!$E$136:$N$136</definedName>
    <definedName name="finQ2ITExp">Fin!$E$56:$N$56</definedName>
    <definedName name="finQ2LeadPassExp">Fin!$E$95:$N$95</definedName>
    <definedName name="finQ2MSExp">Fin!$E$27:$N$27</definedName>
    <definedName name="finQ2Org62Exp">Fin!$E$102:$N$102</definedName>
    <definedName name="finQ2PackagingPricingExp">Fin!$E$114:$N$114</definedName>
    <definedName name="finQ2RDExp">Fin!$E$33:$N$33</definedName>
    <definedName name="finQ2Rev">Fin!$E$9:$N$9</definedName>
    <definedName name="finQ2RevWriteDownExp">Fin!$E$126:$N$126</definedName>
    <definedName name="finQ2StackExp">Fin!$E$108:$N$108</definedName>
    <definedName name="finQ2TrustExp">Fin!$E$74:$N$74</definedName>
    <definedName name="finQ3BrandIntExp">Fin!$E$89:$N$89</definedName>
    <definedName name="finQ3COS">Fin!$E$17:$N$17</definedName>
    <definedName name="finQ3CSGExp">Fin!$E$82:$N$82</definedName>
    <definedName name="finQ3ExternalSalesExp">Fin!$E$121:$N$121</definedName>
    <definedName name="finQ3FullREExp">Fin!$E$63:$N$63</definedName>
    <definedName name="finQ3GAExp">Fin!$E$40:$N$40</definedName>
    <definedName name="finQ3GAMigrationExp">Fin!$E$69:$N$69</definedName>
    <definedName name="finQ3HarmExp">Fin!$E$51:$N$51</definedName>
    <definedName name="finQ3IntegrationBudget">Fin!$E$137:$N$137</definedName>
    <definedName name="finQ3ITExp">Fin!$E$57:$N$57</definedName>
    <definedName name="finQ3LeadPassExp">Fin!$E$96:$N$96</definedName>
    <definedName name="finQ3MSExp">Fin!$E$28:$N$28</definedName>
    <definedName name="finQ3Org62Exp">Fin!$E$103:$N$103</definedName>
    <definedName name="finQ3PackagingPricingExp">Fin!$E$115:$N$115</definedName>
    <definedName name="finQ3RDExp">Fin!$E$34:$N$34</definedName>
    <definedName name="finQ3Rev">Fin!$E$10:$N$10</definedName>
    <definedName name="finQ3RevWriteDownExp">Fin!$E$127:$N$127</definedName>
    <definedName name="finQ3StackExp">Fin!$E$109:$N$109</definedName>
    <definedName name="finQ3TrustExp">Fin!$E$75:$N$75</definedName>
    <definedName name="finQ4BrandIntExp">Fin!$E$90:$N$90</definedName>
    <definedName name="finQ4COS">Fin!$E$18:$N$18</definedName>
    <definedName name="finQ4CSGExp">Fin!$E$83:$N$83</definedName>
    <definedName name="finQ4ExternalSalesExp">Fin!$E$122:$N$122</definedName>
    <definedName name="finQ4FullREExp">Fin!$E$64:$N$64</definedName>
    <definedName name="finQ4GAExp">Fin!$E$41:$N$41</definedName>
    <definedName name="finQ4GAMigrationExp">Fin!$E$70:$N$70</definedName>
    <definedName name="finQ4HarmExp">Fin!$E$52:$N$52</definedName>
    <definedName name="finQ4IntegrationBudget">Fin!$E$138:$N$138</definedName>
    <definedName name="finQ4ITExp">Fin!$E$58:$N$58</definedName>
    <definedName name="finQ4LeadPassExp">Fin!$E$97:$N$97</definedName>
    <definedName name="finQ4MSExp">Fin!$E$29:$N$29</definedName>
    <definedName name="finQ4Org62Exp">Fin!$E$104:$N$104</definedName>
    <definedName name="finQ4PackagingPricingExp">Fin!$E$116:$N$116</definedName>
    <definedName name="finQ4RDExp">Fin!$E$35:$N$35</definedName>
    <definedName name="finQ4Rev">Fin!$E$11:$N$11</definedName>
    <definedName name="finQ4RevWriteDownExp">Fin!$E$128:$N$128</definedName>
    <definedName name="finQ4StackExp">Fin!$E$110:$N$110</definedName>
    <definedName name="finQ4TrustExp">Fin!$E$76:$N$76</definedName>
    <definedName name="finY1BrandIntExp">Fin!$E$91:$N$91</definedName>
    <definedName name="finY1CSGExp">Fin!$E$84:$N$84</definedName>
    <definedName name="finY1IntegrationBudget">Fin!$E$139:$N$139</definedName>
    <definedName name="finY1LeadPassExp">Fin!$E$98:$N$98</definedName>
    <definedName name="finY2AnnualBrandIntExp">Fin!$E$245:$N$245</definedName>
    <definedName name="finY2AnnualCOS">Fin!$E$161:$N$161</definedName>
    <definedName name="finY2AnnualCSGExp">Fin!$E$239:$N$239</definedName>
    <definedName name="finY2AnnualExternalSalesExp">Fin!$E$263:$N$263</definedName>
    <definedName name="finY2AnnualFullREExp">Fin!$E$207:$N$207</definedName>
    <definedName name="finY2AnnualGAExp">Fin!$E$184:$N$184</definedName>
    <definedName name="finY2AnnualGAMigrationExp">Fin!$E$213:$N$213</definedName>
    <definedName name="finY2AnnualGrossMargin">Fin!$E$164:$N$164</definedName>
    <definedName name="finY2AnnualGrossProfit">Fin!$E$163:$N$163</definedName>
    <definedName name="finY2AnnualHarmExp">Fin!$E$195:$N$195</definedName>
    <definedName name="finY2AnnualIntegratedOpMargin">Fin!$E$272:$N$272</definedName>
    <definedName name="finY2AnnualIntegratedOpProfit">Fin!$E$271:$N$271</definedName>
    <definedName name="finY2AnnualITExp">Fin!$E$201:$N$201</definedName>
    <definedName name="finY2AnnualLeadPassExp">Fin!$E$251:$N$251</definedName>
    <definedName name="finY2AnnualMSExp">Fin!$E$172:$N$172</definedName>
    <definedName name="finY2AnnualOpMargin">Fin!$E$187:$N$187</definedName>
    <definedName name="finY2AnnualOpProfit">Fin!$E$186:$N$186</definedName>
    <definedName name="finY2AnnualOrg62Exp">Fin!$E$227:$N$227</definedName>
    <definedName name="finY2AnnualPackagingPricingExp">Fin!$E$257:$N$257</definedName>
    <definedName name="finY2AnnualRDExp">Fin!$E$178:$N$178</definedName>
    <definedName name="FinY2AnnualRev">Fin!$E$154:$N$154</definedName>
    <definedName name="finY2AnnualRevWriteDownExp">Fin!$E$269:$N$269</definedName>
    <definedName name="finY2AnnualStackExp">Fin!$E$233:$N$233</definedName>
    <definedName name="finY2AnnualTrustExp">Fin!$E$219:$N$219</definedName>
    <definedName name="finY2IntegrationBudget">Fin!$E$145:$N$145</definedName>
    <definedName name="finY2Q1BrandIntExp">Fin!$E$241:$N$241</definedName>
    <definedName name="finY2Q1COS">Fin!$E$157:$N$157</definedName>
    <definedName name="finY2Q1CSGExp">Fin!$E$235:$N$235</definedName>
    <definedName name="finY2Q1ExternalSalesExp">Fin!$E$259:$N$259</definedName>
    <definedName name="finY2Q1FullREExp">Fin!$E$203:$N$203</definedName>
    <definedName name="finY2Q1GAExp">Fin!$E$180:$N$180</definedName>
    <definedName name="finY2Q1GAMigrationExp">Fin!$E$209:$N$209</definedName>
    <definedName name="finY2Q1HarmExp">Fin!$E$191:$N$191</definedName>
    <definedName name="finY2Q1IntegrationBudget">Fin!$E$141:$N$141</definedName>
    <definedName name="finY2Q1ITExp">Fin!$E$197:$N$197</definedName>
    <definedName name="finY2Q1LeadPassExp">Fin!$E$247:$N$247</definedName>
    <definedName name="finY2Q1MSExp">Fin!$E$168:$N$168</definedName>
    <definedName name="finY2Q1Org62Exp">Fin!$E$223:$N$223</definedName>
    <definedName name="finY2Q1PackagingPricingExp">Fin!$E$253:$N$253</definedName>
    <definedName name="finY2Q1RDExp">Fin!$E$174:$N$174</definedName>
    <definedName name="finY2Q1Rev">Fin!$E$150:$N$150</definedName>
    <definedName name="finY2Q1RevWriteDownExp">Fin!$E$265:$N$265</definedName>
    <definedName name="finY2Q1StackExp">Fin!$E$229:$N$229</definedName>
    <definedName name="finY2Q1TrustExp">Fin!$E$215:$N$215</definedName>
    <definedName name="finY2Q2BrandIntExp">Fin!$E$242:$N$242</definedName>
    <definedName name="finY2Q2COS">Fin!$E$158:$N$158</definedName>
    <definedName name="finY2Q2CSGExp">Fin!$E$236:$N$236</definedName>
    <definedName name="finY2Q2ExternalSalesExp">Fin!$E$260:$N$260</definedName>
    <definedName name="finY2Q2FullREExp">Fin!$E$204:$N$204</definedName>
    <definedName name="finY2Q2GAExp">Fin!$E$181:$N$181</definedName>
    <definedName name="finY2Q2GAMigrationExp">Fin!$E$210:$N$210</definedName>
    <definedName name="finY2Q2HarmExp">Fin!$E$192:$N$192</definedName>
    <definedName name="finY2Q2IntegrationBudget">Fin!$E$142:$N$142</definedName>
    <definedName name="finY2Q2ITExp">Fin!$E$198:$N$198</definedName>
    <definedName name="finY2Q2LeadPassExp">Fin!$E$248:$N$248</definedName>
    <definedName name="finY2Q2MSExp">Fin!$E$169:$N$169</definedName>
    <definedName name="finY2Q2Org62Exp">Fin!$E$224:$N$224</definedName>
    <definedName name="finY2Q2PackagingPricingExp">Fin!$E$254:$N$254</definedName>
    <definedName name="finY2Q2RDExp">Fin!$E$175:$N$175</definedName>
    <definedName name="finY2Q2Rev">Fin!$E$151:$N$151</definedName>
    <definedName name="finY2Q2RevWriteDownExp">Fin!$E$266:$N$266</definedName>
    <definedName name="finY2Q2StackExp">Fin!$E$230:$N$230</definedName>
    <definedName name="finY2Q2TrustExp">Fin!$E$216:$N$216</definedName>
    <definedName name="finY2Q3BrandIntExp">Fin!$E$243:$N$243</definedName>
    <definedName name="finY2Q3COS">Fin!$E$159:$N$159</definedName>
    <definedName name="finY2Q3CSGExp">Fin!$E$237:$N$237</definedName>
    <definedName name="finY2Q3ExternalSalesExp">Fin!$E$261:$N$261</definedName>
    <definedName name="finY2Q3FullREExp">Fin!$E$205:$N$205</definedName>
    <definedName name="finY2Q3GAExp">Fin!$E$182:$N$182</definedName>
    <definedName name="finY2Q3GAMigrationExp">Fin!$E$211:$N$211</definedName>
    <definedName name="finY2Q3HarmExp">Fin!$E$193:$N$193</definedName>
    <definedName name="finY2Q3IntegrationBudget">Fin!$E$143:$N$143</definedName>
    <definedName name="finY2Q3ITExp">Fin!$E$199:$N$199</definedName>
    <definedName name="finY2Q3LeadPassExp">Fin!$E$249:$N$249</definedName>
    <definedName name="finY2Q3MSExp">Fin!$E$170:$N$170</definedName>
    <definedName name="finY2Q3Org62Exp">Fin!$E$225:$N$225</definedName>
    <definedName name="finY2Q3PackagingPricingExp">Fin!$E$255:$N$255</definedName>
    <definedName name="finY2Q3RDExp">Fin!$E$176:$N$176</definedName>
    <definedName name="finY2Q3Rev">Fin!$E$152:$N$152</definedName>
    <definedName name="finY2Q3RevWriteDownExp">Fin!$E$267:$N$267</definedName>
    <definedName name="finY2Q3StackExp">Fin!$E$231:$N$231</definedName>
    <definedName name="finY2Q3TrustExp">Fin!$E$217:$N$217</definedName>
    <definedName name="finY2Q4BrandIntExp">Fin!$E$244:$N$244</definedName>
    <definedName name="finY2Q4COS">Fin!$E$160:$N$160</definedName>
    <definedName name="finY2Q4CSGExp">Fin!$E$238:$N$238</definedName>
    <definedName name="finY2Q4ExternalSalesExp">Fin!$E$262:$N$262</definedName>
    <definedName name="finY2Q4FullREExp">Fin!$E$206:$N$206</definedName>
    <definedName name="finY2Q4GAExp">Fin!$E$183:$N$183</definedName>
    <definedName name="finY2Q4GAMigrationExp">Fin!$E$212:$N$212</definedName>
    <definedName name="finY2Q4HarmExp">Fin!$E$194:$N$194</definedName>
    <definedName name="finY2Q4IntegrationBudget">Fin!$E$144:$N$144</definedName>
    <definedName name="finY2Q4ITExp">Fin!$E$200:$N$200</definedName>
    <definedName name="finY2Q4LeadPassExp">Fin!$E$250:$N$250</definedName>
    <definedName name="finY2Q4MSExp">Fin!$E$171:$N$171</definedName>
    <definedName name="finY2Q4Org62Exp">Fin!$E$226:$N$226</definedName>
    <definedName name="finY2Q4PackagingPricingExp">Fin!$E$256:$N$256</definedName>
    <definedName name="finY2Q4RDExp">Fin!$E$177:$N$177</definedName>
    <definedName name="finY2Q4Rev">Fin!$E$153:$N$153</definedName>
    <definedName name="finY2Q4RevWriteDownExp">Fin!$E$268:$N$268</definedName>
    <definedName name="finY2Q4StackExp">Fin!$E$232:$N$232</definedName>
    <definedName name="finY2Q4TrustExp">Fin!$E$218:$N$218</definedName>
    <definedName name="finY5AnnualCOS">Fin!$E$299:$N$299</definedName>
    <definedName name="finY5AnnualGAExp">Fin!$E$322:$N$322</definedName>
    <definedName name="finY5AnnualGrossMargin">Fin!$E$302:$N$302</definedName>
    <definedName name="finY5AnnualGrossProfit">Fin!$E$301:$N$301</definedName>
    <definedName name="finY5AnnualMSExp">Fin!$E$310:$N$310</definedName>
    <definedName name="finY5AnnualOpMargin">Fin!$E$325:$N$325</definedName>
    <definedName name="finY5AnnualOpProfit">Fin!$E$324:$N$324</definedName>
    <definedName name="finY5AnnualRDExp">Fin!$E$316:$N$316</definedName>
    <definedName name="FinY5AnnualRev">Fin!$E$292:$N$292</definedName>
    <definedName name="finY5Q1COS">Fin!$E$295:$N$295</definedName>
    <definedName name="finY5Q1GAExp">Fin!$E$318:$N$318</definedName>
    <definedName name="finY5Q1MSExp">Fin!$E$306:$N$306</definedName>
    <definedName name="finY5Q1RDExp">Fin!$E$312:$N$312</definedName>
    <definedName name="finY5Q1Rev">Fin!$E$288:$N$288</definedName>
    <definedName name="finY5Q2COS">Fin!$E$296:$N$296</definedName>
    <definedName name="finY5Q2GAExp">Fin!$E$319:$N$319</definedName>
    <definedName name="finY5Q2MSExp">Fin!$E$307:$N$307</definedName>
    <definedName name="finY5Q2RDExp">Fin!$E$313:$N$313</definedName>
    <definedName name="finY5Q2Rev">Fin!$E$289:$N$289</definedName>
    <definedName name="finY5Q3COS">Fin!$E$297:$N$297</definedName>
    <definedName name="finY5Q3GAExp">Fin!$E$320:$N$320</definedName>
    <definedName name="finY5Q3MSExp">Fin!$E$308:$N$308</definedName>
    <definedName name="finY5Q3RDExp">Fin!$E$314:$N$314</definedName>
    <definedName name="finY5Q3Rev">Fin!$E$290:$N$290</definedName>
    <definedName name="finY5Q4COS">Fin!$E$298:$N$298</definedName>
    <definedName name="finY5Q4GAExp">Fin!$E$321:$N$321</definedName>
    <definedName name="finY5Q4MSExp">Fin!$E$309:$N$309</definedName>
    <definedName name="finY5Q4RDExp">Fin!$E$315:$N$315</definedName>
    <definedName name="finY5Q4Rev">Fin!$E$291:$N$291</definedName>
    <definedName name="frmNavControlsButtonLabels">frmNavControls!$C$54:$C$368</definedName>
    <definedName name="glossary_Language">Controls!$D$11</definedName>
    <definedName name="HideRows" localSheetId="19">tlScenarios!$T$9:$T$26</definedName>
    <definedName name="HideRows" localSheetId="18">tlTimeline!$V$8:$V$42</definedName>
    <definedName name="HideRows">tlIntro!$T$9:$T$13</definedName>
    <definedName name="hood_OnHoodCloseGoTo">Controls!$D$29</definedName>
    <definedName name="hood_ToolPrefix">Controls!$D$47</definedName>
    <definedName name="icon_macro0">frmNavControls!$G$50</definedName>
    <definedName name="icon_macro1">frmNavControls!$C$60</definedName>
    <definedName name="icon_macro10">frmNavControls!$C$100</definedName>
    <definedName name="icon_macro11">frmNavControls!$E$100</definedName>
    <definedName name="icon_macro12">frmNavControls!$G$100</definedName>
    <definedName name="icon_macro13">frmNavControls!$C$112</definedName>
    <definedName name="icon_macro14">frmNavControls!$E$112</definedName>
    <definedName name="icon_macro15">frmNavControls!$G$112</definedName>
    <definedName name="icon_macro16">frmNavControls!$C$124</definedName>
    <definedName name="icon_macro17">frmNavControls!$E$124</definedName>
    <definedName name="icon_macro18">frmNavControls!$G$124</definedName>
    <definedName name="icon_macro19">frmNavControls!$C$140</definedName>
    <definedName name="icon_macro2">frmNavControls!$E$60</definedName>
    <definedName name="icon_macro20">frmNavControls!$E$140</definedName>
    <definedName name="icon_macro21">frmNavControls!$G$140</definedName>
    <definedName name="icon_macro22">frmNavControls!$C$152</definedName>
    <definedName name="icon_macro23">frmNavControls!$E$152</definedName>
    <definedName name="icon_macro24">frmNavControls!$G$152</definedName>
    <definedName name="icon_macro25">frmNavControls!$C$164</definedName>
    <definedName name="icon_macro26">frmNavControls!$E$164</definedName>
    <definedName name="icon_macro27">frmNavControls!$G$164</definedName>
    <definedName name="icon_macro28">frmNavControls!$C$180</definedName>
    <definedName name="icon_macro29">frmNavControls!$E$180</definedName>
    <definedName name="icon_macro3">frmNavControls!$G$60</definedName>
    <definedName name="icon_macro30">frmNavControls!$G$180</definedName>
    <definedName name="icon_macro31">frmNavControls!$C$192</definedName>
    <definedName name="icon_macro32">frmNavControls!$E$192</definedName>
    <definedName name="icon_macro33">frmNavControls!$G$192</definedName>
    <definedName name="icon_macro34">frmNavControls!$C$204</definedName>
    <definedName name="icon_macro35">frmNavControls!$E$204</definedName>
    <definedName name="icon_macro36">frmNavControls!$G$204</definedName>
    <definedName name="icon_macro37">frmNavControls!$C$220</definedName>
    <definedName name="icon_macro38">frmNavControls!$E$220</definedName>
    <definedName name="icon_macro39">frmNavControls!$G$220</definedName>
    <definedName name="icon_macro4">frmNavControls!$C$72</definedName>
    <definedName name="icon_macro40">frmNavControls!$C$232</definedName>
    <definedName name="icon_macro41">frmNavControls!$E$232</definedName>
    <definedName name="icon_macro42">frmNavControls!$G$232</definedName>
    <definedName name="icon_macro43">frmNavControls!$C$244</definedName>
    <definedName name="icon_macro44">frmNavControls!$E$244</definedName>
    <definedName name="icon_macro45">frmNavControls!$G$244</definedName>
    <definedName name="icon_macro46">frmNavControls!$C$260</definedName>
    <definedName name="icon_macro47">frmNavControls!$E$260</definedName>
    <definedName name="icon_macro48">frmNavControls!$G$260</definedName>
    <definedName name="icon_macro49">frmNavControls!$C$272</definedName>
    <definedName name="icon_macro5">frmNavControls!$E$72</definedName>
    <definedName name="icon_macro50">frmNavControls!$E$272</definedName>
    <definedName name="icon_macro51">frmNavControls!$G$272</definedName>
    <definedName name="icon_macro52">frmNavControls!$C$284</definedName>
    <definedName name="icon_macro53">frmNavControls!$E$284</definedName>
    <definedName name="icon_macro54">frmNavControls!$G$284</definedName>
    <definedName name="icon_macro55">frmNavControls!$C$300</definedName>
    <definedName name="icon_macro56">frmNavControls!$E$300</definedName>
    <definedName name="icon_macro57">frmNavControls!$G$300</definedName>
    <definedName name="icon_macro58">frmNavControls!$C$312</definedName>
    <definedName name="icon_macro59">frmNavControls!$E$312</definedName>
    <definedName name="icon_macro6">frmNavControls!$G$72</definedName>
    <definedName name="icon_macro60">frmNavControls!$G$312</definedName>
    <definedName name="icon_macro61">frmNavControls!$C$324</definedName>
    <definedName name="icon_macro62">frmNavControls!$E$324</definedName>
    <definedName name="icon_macro63">frmNavControls!$G$324</definedName>
    <definedName name="icon_macro64">frmNavControls!$C$340</definedName>
    <definedName name="icon_macro65">frmNavControls!$E$340</definedName>
    <definedName name="icon_macro67">frmNavControls!$C$352</definedName>
    <definedName name="icon_macro68">frmNavControls!$E$352</definedName>
    <definedName name="icon_macro69">frmNavControls!$G$352</definedName>
    <definedName name="icon_macro7">frmNavControls!$C$84</definedName>
    <definedName name="icon_macro70">frmNavControls!$C$364</definedName>
    <definedName name="icon_macro71">frmNavControls!$E$364</definedName>
    <definedName name="icon_macro72">frmNavControls!$G$364</definedName>
    <definedName name="icon_macro8">frmNavControls!$E$84</definedName>
    <definedName name="icon_macro9">frmNavControls!$G$84</definedName>
    <definedName name="icon_script1">frmNavControls!$C$62</definedName>
    <definedName name="icon_script10">frmNavControls!$C$102</definedName>
    <definedName name="icon_script11">frmNavControls!$E$102</definedName>
    <definedName name="icon_script12">frmNavControls!$G$102</definedName>
    <definedName name="icon_script13">frmNavControls!$C$114</definedName>
    <definedName name="icon_script14">frmNavControls!$E$114</definedName>
    <definedName name="icon_script15">frmNavControls!$G$114</definedName>
    <definedName name="icon_script16">frmNavControls!$C$126</definedName>
    <definedName name="icon_script17">frmNavControls!$E$126</definedName>
    <definedName name="icon_script18">frmNavControls!$G$126</definedName>
    <definedName name="icon_script19">frmNavControls!$C$142</definedName>
    <definedName name="icon_script2">frmNavControls!$E$62</definedName>
    <definedName name="icon_script20">frmNavControls!$E$142</definedName>
    <definedName name="icon_script21">frmNavControls!$G$142</definedName>
    <definedName name="icon_script22">frmNavControls!$C$154</definedName>
    <definedName name="icon_script23">frmNavControls!$E$154</definedName>
    <definedName name="icon_script24">frmNavControls!$G$154</definedName>
    <definedName name="icon_script25">frmNavControls!$C$166</definedName>
    <definedName name="icon_script26">frmNavControls!$E$166</definedName>
    <definedName name="icon_script27">frmNavControls!$G$166</definedName>
    <definedName name="icon_script28">frmNavControls!$C$182</definedName>
    <definedName name="icon_script29">frmNavControls!$E$182</definedName>
    <definedName name="icon_script3">frmNavControls!$G$62</definedName>
    <definedName name="icon_script30">frmNavControls!$G$182</definedName>
    <definedName name="icon_script31">frmNavControls!$C$194</definedName>
    <definedName name="icon_script32">frmNavControls!$E$194</definedName>
    <definedName name="icon_script33">frmNavControls!$G$194</definedName>
    <definedName name="icon_script34">frmNavControls!$C$206</definedName>
    <definedName name="icon_script35">frmNavControls!$E$206</definedName>
    <definedName name="icon_script36">frmNavControls!$G$206</definedName>
    <definedName name="icon_script37">frmNavControls!$C$222</definedName>
    <definedName name="icon_script38">frmNavControls!$E$222</definedName>
    <definedName name="icon_script39">frmNavControls!$G$222</definedName>
    <definedName name="icon_script4">frmNavControls!$C$74</definedName>
    <definedName name="icon_script40">frmNavControls!$C$234</definedName>
    <definedName name="icon_script41">frmNavControls!$E$234</definedName>
    <definedName name="icon_script42">frmNavControls!$G$234</definedName>
    <definedName name="icon_script43">frmNavControls!$C$246</definedName>
    <definedName name="icon_script44">frmNavControls!$E$246</definedName>
    <definedName name="icon_script45">frmNavControls!$G$246</definedName>
    <definedName name="icon_script46">frmNavControls!$C$262</definedName>
    <definedName name="icon_script47">frmNavControls!$E$262</definedName>
    <definedName name="icon_script48">frmNavControls!$G$262</definedName>
    <definedName name="icon_script49">frmNavControls!$C$274</definedName>
    <definedName name="icon_script5">frmNavControls!$E$74</definedName>
    <definedName name="icon_script50">frmNavControls!$E$274</definedName>
    <definedName name="icon_script51">frmNavControls!$G$274</definedName>
    <definedName name="icon_script52">frmNavControls!$C$286</definedName>
    <definedName name="icon_script53">frmNavControls!$E$286</definedName>
    <definedName name="icon_script54">frmNavControls!$G$286</definedName>
    <definedName name="icon_script55">frmNavControls!$C$302</definedName>
    <definedName name="icon_script56">frmNavControls!$E$302</definedName>
    <definedName name="icon_script57">frmNavControls!$G$302</definedName>
    <definedName name="icon_script58">frmNavControls!$C$314</definedName>
    <definedName name="icon_script59">frmNavControls!$E$314</definedName>
    <definedName name="icon_script6">frmNavControls!$G$74</definedName>
    <definedName name="icon_script60">frmNavControls!$G$314</definedName>
    <definedName name="icon_script61">frmNavControls!$C$326</definedName>
    <definedName name="icon_script62">frmNavControls!$E$326</definedName>
    <definedName name="icon_script63">frmNavControls!$G$326</definedName>
    <definedName name="icon_script64">frmNavControls!$C$342</definedName>
    <definedName name="icon_script65">frmNavControls!$E$342</definedName>
    <definedName name="icon_script66">frmNavControls!$G$342</definedName>
    <definedName name="icon_script67">frmNavControls!$C$354</definedName>
    <definedName name="icon_script68">frmNavControls!$E$354</definedName>
    <definedName name="icon_script69">frmNavControls!$G$354</definedName>
    <definedName name="icon_script7">frmNavControls!$C$86</definedName>
    <definedName name="icon_script70">frmNavControls!$C$366</definedName>
    <definedName name="icon_script71">frmNavControls!$E$366</definedName>
    <definedName name="icon_script72">frmNavControls!$G$366</definedName>
    <definedName name="icon_script8">frmNavControls!$E$86</definedName>
    <definedName name="icon_script9">frmNavControls!$G$86</definedName>
    <definedName name="icon1">frmNavControls!$C$56</definedName>
    <definedName name="icon1_light">frmNavControls!$C$58</definedName>
    <definedName name="icon10">frmNavControls!$C$96</definedName>
    <definedName name="icon10_light">frmNavControls!$C$98</definedName>
    <definedName name="icon11">frmNavControls!$E$96</definedName>
    <definedName name="icon11_light">frmNavControls!$E$98</definedName>
    <definedName name="icon12">frmNavControls!$G$96</definedName>
    <definedName name="icon12_light">frmNavControls!$G$98</definedName>
    <definedName name="icon13">frmNavControls!$C$108</definedName>
    <definedName name="icon13_light">frmNavControls!$C$110</definedName>
    <definedName name="icon14">frmNavControls!$E$108</definedName>
    <definedName name="icon14_light">frmNavControls!$E$110</definedName>
    <definedName name="icon15">frmNavControls!$G$108</definedName>
    <definedName name="icon15_light">frmNavControls!$G$110</definedName>
    <definedName name="icon16">frmNavControls!$C$120</definedName>
    <definedName name="icon16_light">frmNavControls!$C$122</definedName>
    <definedName name="icon17">frmNavControls!$E$120</definedName>
    <definedName name="icon17_light">frmNavControls!$E$122</definedName>
    <definedName name="icon18">frmNavControls!$G$120</definedName>
    <definedName name="icon18_light">frmNavControls!$G$122</definedName>
    <definedName name="icon19">frmNavControls!$C$136</definedName>
    <definedName name="icon19_light">frmNavControls!$C$138</definedName>
    <definedName name="icon2">frmNavControls!$E$56</definedName>
    <definedName name="icon2_light">frmNavControls!$E$58</definedName>
    <definedName name="icon20">frmNavControls!$E$136</definedName>
    <definedName name="icon20_light">frmNavControls!$E$138</definedName>
    <definedName name="icon21">frmNavControls!$G$136</definedName>
    <definedName name="icon21_light">frmNavControls!$G$138</definedName>
    <definedName name="icon22">frmNavControls!$C$148</definedName>
    <definedName name="icon22_light">frmNavControls!$C$150</definedName>
    <definedName name="icon23">frmNavControls!$E$148</definedName>
    <definedName name="icon23_light">frmNavControls!$E$150</definedName>
    <definedName name="icon24">frmNavControls!$G$148</definedName>
    <definedName name="icon24_light">frmNavControls!$G$150</definedName>
    <definedName name="icon25">frmNavControls!$C$160</definedName>
    <definedName name="icon25_light">frmNavControls!$C$162</definedName>
    <definedName name="icon26">frmNavControls!$E$160</definedName>
    <definedName name="icon26_light">frmNavControls!$E$162</definedName>
    <definedName name="icon27">frmNavControls!$G$160</definedName>
    <definedName name="icon27_light">frmNavControls!$G$162</definedName>
    <definedName name="icon28">frmNavControls!$C$176</definedName>
    <definedName name="icon28_light">frmNavControls!$C$178</definedName>
    <definedName name="icon29">frmNavControls!$E$176</definedName>
    <definedName name="icon29_light">frmNavControls!$E$178</definedName>
    <definedName name="icon3">frmNavControls!$G$56</definedName>
    <definedName name="icon3_light">frmNavControls!$G$58</definedName>
    <definedName name="icon30">frmNavControls!$G$176</definedName>
    <definedName name="icon30_light">frmNavControls!$G$178</definedName>
    <definedName name="icon31">frmNavControls!$C$188</definedName>
    <definedName name="icon31_light">frmNavControls!$C$190</definedName>
    <definedName name="icon32">frmNavControls!$E$188</definedName>
    <definedName name="icon32_light">frmNavControls!$E$190</definedName>
    <definedName name="icon33">frmNavControls!$G$188</definedName>
    <definedName name="icon33_light">frmNavControls!$G$190</definedName>
    <definedName name="icon34">frmNavControls!$C$200</definedName>
    <definedName name="icon34_light">frmNavControls!$C$202</definedName>
    <definedName name="icon35">frmNavControls!$E$200</definedName>
    <definedName name="icon35_light">frmNavControls!$E$202</definedName>
    <definedName name="icon36">frmNavControls!$G$200</definedName>
    <definedName name="icon36_light">frmNavControls!$G$202</definedName>
    <definedName name="icon37">frmNavControls!$C$216</definedName>
    <definedName name="icon37_light">frmNavControls!$C$218</definedName>
    <definedName name="icon38">frmNavControls!$E$216</definedName>
    <definedName name="icon38_light">frmNavControls!$E$218</definedName>
    <definedName name="icon39">frmNavControls!$G$216</definedName>
    <definedName name="icon39_light">frmNavControls!$G$218</definedName>
    <definedName name="icon4">frmNavControls!$C$68</definedName>
    <definedName name="icon4_light">frmNavControls!$C$70</definedName>
    <definedName name="icon40">frmNavControls!$C$228</definedName>
    <definedName name="icon40_light">frmNavControls!$C$230</definedName>
    <definedName name="icon41">frmNavControls!$E$228</definedName>
    <definedName name="icon41_light">frmNavControls!$E$230</definedName>
    <definedName name="icon42">frmNavControls!$G$228</definedName>
    <definedName name="icon42_light">frmNavControls!$G$230</definedName>
    <definedName name="icon43">frmNavControls!$C$240</definedName>
    <definedName name="icon43_light">frmNavControls!$C$242</definedName>
    <definedName name="icon44">frmNavControls!$E$240</definedName>
    <definedName name="icon44_light">frmNavControls!$E$242</definedName>
    <definedName name="icon45">frmNavControls!$G$240</definedName>
    <definedName name="icon45_light">frmNavControls!$G$242</definedName>
    <definedName name="icon46">frmNavControls!$C$256</definedName>
    <definedName name="icon46_light">frmNavControls!$C$258</definedName>
    <definedName name="icon47">frmNavControls!$E$256</definedName>
    <definedName name="icon47_light">frmNavControls!$E$258</definedName>
    <definedName name="icon48">frmNavControls!$G$256</definedName>
    <definedName name="icon48_light">frmNavControls!$G$258</definedName>
    <definedName name="icon49">frmNavControls!$C$268</definedName>
    <definedName name="icon49_light">frmNavControls!$C$270</definedName>
    <definedName name="icon5">frmNavControls!$E$68</definedName>
    <definedName name="icon5_light">frmNavControls!$E$70</definedName>
    <definedName name="icon50">frmNavControls!$E$268</definedName>
    <definedName name="icon50_light">frmNavControls!$E$270</definedName>
    <definedName name="icon51">frmNavControls!$G$268</definedName>
    <definedName name="icon51_light">frmNavControls!$G$270</definedName>
    <definedName name="icon52">frmNavControls!$C$280</definedName>
    <definedName name="icon52_light">frmNavControls!$C$282</definedName>
    <definedName name="icon53">frmNavControls!$E$280</definedName>
    <definedName name="icon53_light">frmNavControls!$E$282</definedName>
    <definedName name="icon54">frmNavControls!$G$280</definedName>
    <definedName name="icon54_light">frmNavControls!$G$282</definedName>
    <definedName name="icon55">frmNavControls!$C$296</definedName>
    <definedName name="icon55_light">frmNavControls!$C$298</definedName>
    <definedName name="icon56">frmNavControls!$E$296</definedName>
    <definedName name="icon56_light">frmNavControls!$E$298</definedName>
    <definedName name="icon57">frmNavControls!$G$296</definedName>
    <definedName name="icon57_light">frmNavControls!$G$298</definedName>
    <definedName name="icon58">frmNavControls!$C$308</definedName>
    <definedName name="icon58_light">frmNavControls!$C$310</definedName>
    <definedName name="icon59">frmNavControls!$E$308</definedName>
    <definedName name="icon59_light">frmNavControls!$E$310</definedName>
    <definedName name="icon6">frmNavControls!$G$68</definedName>
    <definedName name="icon6_light">frmNavControls!$G$70</definedName>
    <definedName name="icon60">frmNavControls!$G$308</definedName>
    <definedName name="icon60_light">frmNavControls!$G$310</definedName>
    <definedName name="icon61">frmNavControls!$C$320</definedName>
    <definedName name="icon61_light">frmNavControls!$C$322</definedName>
    <definedName name="icon62">frmNavControls!$E$320</definedName>
    <definedName name="icon62_light">frmNavControls!$E$322</definedName>
    <definedName name="icon63">frmNavControls!$G$320</definedName>
    <definedName name="icon63_light">frmNavControls!$G$322</definedName>
    <definedName name="icon64">frmNavControls!$C$336</definedName>
    <definedName name="icon64_light">frmNavControls!$C$338</definedName>
    <definedName name="icon65">frmNavControls!$E$336</definedName>
    <definedName name="icon65_light">frmNavControls!$E$338</definedName>
    <definedName name="icon66">frmNavControls!$G$336</definedName>
    <definedName name="icon66_light">frmNavControls!$G$338</definedName>
    <definedName name="icon67">frmNavControls!$C$348</definedName>
    <definedName name="icon67_light">frmNavControls!$C$350</definedName>
    <definedName name="icon68">frmNavControls!$E$348</definedName>
    <definedName name="icon68_light">frmNavControls!$E$350</definedName>
    <definedName name="icon69">frmNavControls!$G$348</definedName>
    <definedName name="icon69_light">frmNavControls!$G$350</definedName>
    <definedName name="icon7">frmNavControls!$C$80</definedName>
    <definedName name="icon7_light">frmNavControls!$C$82</definedName>
    <definedName name="icon70">frmNavControls!$C$360</definedName>
    <definedName name="icon70_light">frmNavControls!$C$362</definedName>
    <definedName name="icon71">frmNavControls!$E$360</definedName>
    <definedName name="icon71_light">frmNavControls!$E$362</definedName>
    <definedName name="icon72">frmNavControls!$G$360</definedName>
    <definedName name="icon72_light">frmNavControls!$G$362</definedName>
    <definedName name="icon8">frmNavControls!$E$80</definedName>
    <definedName name="icon8_light">frmNavControls!$E$82</definedName>
    <definedName name="icon9">frmNavControls!$G$80</definedName>
    <definedName name="icon9_light">frmNavControls!$G$82</definedName>
    <definedName name="InfoButtonColor">InfoButton!$D$16</definedName>
    <definedName name="InfoButtonNum">InfoButton!$C$30:$C$49</definedName>
    <definedName name="InfoButtonSht">InfoButton!$E$30:$E$49</definedName>
    <definedName name="InfoButtonStatus">InfoButton!$D$55</definedName>
    <definedName name="InfoButtonText">InfoButton!$D$30:$D$49</definedName>
    <definedName name="InfoButtonTitle">InfoButton!$D$23</definedName>
    <definedName name="InfoButtonToggleHide">InfoButton!$D$27</definedName>
    <definedName name="InfoButtonToggleLabel">InfoButton!$D$59</definedName>
    <definedName name="InfoButtonToggleShow">InfoButton!$D$26</definedName>
    <definedName name="Insert_your_response_here.">Dec!$F$9:$O$9</definedName>
    <definedName name="label1_text">frmNavControls!$C$54</definedName>
    <definedName name="label10_text">frmNavControls!$C$94</definedName>
    <definedName name="label11_text">frmNavControls!$E$94</definedName>
    <definedName name="label12_text">frmNavControls!$G$94</definedName>
    <definedName name="label13_text">frmNavControls!$C$106</definedName>
    <definedName name="label14_text">frmNavControls!$E$106</definedName>
    <definedName name="label15_text">frmNavControls!$G$106</definedName>
    <definedName name="label16_text">frmNavControls!$C$118</definedName>
    <definedName name="label17_text">frmNavControls!$E$118</definedName>
    <definedName name="label18_text">frmNavControls!$G$118</definedName>
    <definedName name="label19_text">frmNavControls!$C$134</definedName>
    <definedName name="label2_text">frmNavControls!$E$54</definedName>
    <definedName name="label20_text">frmNavControls!$E$134</definedName>
    <definedName name="label21_text">frmNavControls!$G$134</definedName>
    <definedName name="label22_text">frmNavControls!$C$146</definedName>
    <definedName name="label23_text">frmNavControls!$E$146</definedName>
    <definedName name="label24_text">frmNavControls!$G$146</definedName>
    <definedName name="label25_text">frmNavControls!$C$158</definedName>
    <definedName name="label26_text">frmNavControls!$E$158</definedName>
    <definedName name="label27_text">frmNavControls!$G$158</definedName>
    <definedName name="label28_text">frmNavControls!$C$174</definedName>
    <definedName name="label29_text">frmNavControls!$E$174</definedName>
    <definedName name="label3_text">frmNavControls!$G$54</definedName>
    <definedName name="label30_text">frmNavControls!$G$174</definedName>
    <definedName name="label31_text">frmNavControls!$C$186</definedName>
    <definedName name="label32_text">frmNavControls!$E$186</definedName>
    <definedName name="label33_text">frmNavControls!$G$186</definedName>
    <definedName name="label34_text">frmNavControls!$C$198</definedName>
    <definedName name="label35_text">frmNavControls!$E$198</definedName>
    <definedName name="label36_text">frmNavControls!$G$198</definedName>
    <definedName name="label37_text">frmNavControls!$C$214</definedName>
    <definedName name="label38_text">frmNavControls!$E$214</definedName>
    <definedName name="label39_text">frmNavControls!$G$214</definedName>
    <definedName name="label4_text">frmNavControls!$C$66</definedName>
    <definedName name="label40_text">frmNavControls!$C$226</definedName>
    <definedName name="label41_text">frmNavControls!$E$226</definedName>
    <definedName name="label42_text">frmNavControls!$G$226</definedName>
    <definedName name="label43_text">frmNavControls!$C$238</definedName>
    <definedName name="label44_text">frmNavControls!$E$238</definedName>
    <definedName name="label45_text">frmNavControls!$G$238</definedName>
    <definedName name="label46_text">frmNavControls!$C$254</definedName>
    <definedName name="label47_text">frmNavControls!$E$254</definedName>
    <definedName name="label48_text">frmNavControls!$G$254</definedName>
    <definedName name="label49_text">frmNavControls!$C$266</definedName>
    <definedName name="label5_text">frmNavControls!$E$66</definedName>
    <definedName name="label50_text">frmNavControls!$E$266</definedName>
    <definedName name="label51_text">frmNavControls!$G$266</definedName>
    <definedName name="label52_text">frmNavControls!$C$278</definedName>
    <definedName name="label53_text">frmNavControls!$E$278</definedName>
    <definedName name="label54_text">frmNavControls!$G$278</definedName>
    <definedName name="label55_text">frmNavControls!$C$294</definedName>
    <definedName name="label56_text">frmNavControls!$E$294</definedName>
    <definedName name="label57_text">frmNavControls!$G$294</definedName>
    <definedName name="label58_text">frmNavControls!$C$306</definedName>
    <definedName name="label59_text">frmNavControls!$E$306</definedName>
    <definedName name="label6_text">frmNavControls!$G$66</definedName>
    <definedName name="label60_text">frmNavControls!$G$306</definedName>
    <definedName name="label61_text">frmNavControls!$C$318</definedName>
    <definedName name="label62_text">frmNavControls!$E$318</definedName>
    <definedName name="label63_text">frmNavControls!$G$318</definedName>
    <definedName name="label64_text">frmNavControls!$C$334</definedName>
    <definedName name="label65_text">frmNavControls!$E$334</definedName>
    <definedName name="label66_text">frmNavControls!$G$334</definedName>
    <definedName name="label67_text">frmNavControls!$C$346</definedName>
    <definedName name="label68_text">frmNavControls!$E$346</definedName>
    <definedName name="label69_text">frmNavControls!$G$346</definedName>
    <definedName name="label7_text">frmNavControls!$C$78</definedName>
    <definedName name="label70_text">frmNavControls!$C$358</definedName>
    <definedName name="label71_text">frmNavControls!$E$358</definedName>
    <definedName name="label72_text">frmNavControls!$G$358</definedName>
    <definedName name="label8_text">frmNavControls!$E$78</definedName>
    <definedName name="label9_text">frmNavControls!$G$78</definedName>
    <definedName name="League_CurrentAvgSharePrice">League!$C$80</definedName>
    <definedName name="League_CurrentSharePriceSpread">League!$C$83</definedName>
    <definedName name="League_CurrentTightening">League!$Q$47:$Q$52</definedName>
    <definedName name="League_DefaultTightening">League!$R$47:$R$52</definedName>
    <definedName name="League_Rank">League!$E$30:$N$30</definedName>
    <definedName name="League_Round">League!$C$34</definedName>
    <definedName name="League_SharePrice">League!$E$8:$I$8</definedName>
    <definedName name="League_Teams">League!$O$43</definedName>
    <definedName name="League_TieBreak">League!$E$88:$N$88</definedName>
    <definedName name="League_TieBreaker">League!$E$28:$N$28</definedName>
    <definedName name="League_TotalScore">League!$E$29:$N$29</definedName>
    <definedName name="LeagueDriver1">League!$E$8:$N$8</definedName>
    <definedName name="LeagueDriver1Weighted">League!$E$10:$N$10</definedName>
    <definedName name="LeagueDriver2">League!$E$12:$N$12</definedName>
    <definedName name="LeagueDriver2Weighted">League!$E$14:$N$14</definedName>
    <definedName name="LeagueDriver3">League!$E$16:$N$16</definedName>
    <definedName name="LeagueDriver3Weighted">League!$E$18:$N$18</definedName>
    <definedName name="LeagueDriver4">League!$E$20:$N$20</definedName>
    <definedName name="LeagueDriver4Weighted">League!$E$22:$N$22</definedName>
    <definedName name="LeagueDriver5">League!$E$24:$N$24</definedName>
    <definedName name="LeagueDriver5Weighted">League!$E$26:$N$26</definedName>
    <definedName name="LeagueRanks">League!$Q$66:$Q$75</definedName>
    <definedName name="LeagueRankScores">League!$P$66:$P$75</definedName>
    <definedName name="LeagueTieBreakers">League!$E$7:$N$7</definedName>
    <definedName name="ModuleLockCells01Lock">ModuleLockCells!$D$9</definedName>
    <definedName name="ModuleLockCells01LockColor">ModuleLockCells!$D$30</definedName>
    <definedName name="ModuleLockCells01LockCount">ModuleLockCells!$D$28</definedName>
    <definedName name="ModuleUnLockCells01Lock">ModuleUnLockCells!$D$9</definedName>
    <definedName name="ModuleUnLockCells01LockColor">ModuleUnLockCells!$D$30</definedName>
    <definedName name="ModuleUnLockCells01LockCount">ModuleUnLockCells!$D$28</definedName>
    <definedName name="ModuleUnLockCells01UnLock">ModuleUnLockCells!$D$9</definedName>
    <definedName name="ModuleUnLockCells01UnLockColor">ModuleUnLockCells!$D$30</definedName>
    <definedName name="ModuleUnLockCells01UnLockCount">ModuleUnLockCells!$D$28</definedName>
    <definedName name="Move_to_Cloud_Office">Data!$D$10:$D$11</definedName>
    <definedName name="nmCOGS">Glossary!$D$31</definedName>
    <definedName name="nmForecast">Glossary!$D$23</definedName>
    <definedName name="nmGrossMargin">Glossary!$D$33</definedName>
    <definedName name="nmGrossProfit">Glossary!$D$32</definedName>
    <definedName name="nmInitiatives">Glossary!$D$27</definedName>
    <definedName name="nmMarketing">Glossary!$D$25</definedName>
    <definedName name="nmMillion">Glossary!$D$16</definedName>
    <definedName name="nmPrice">Glossary!$D$24</definedName>
    <definedName name="nmProd1">Glossary!$D$18</definedName>
    <definedName name="nmProd1Seg1">Glossary!$D$19</definedName>
    <definedName name="nmProd1Seg2">Glossary!$D$20</definedName>
    <definedName name="nmProd1Seg3">Glossary!$D$21</definedName>
    <definedName name="nmProgramSubtitle">Glossary!$D$11</definedName>
    <definedName name="nmProgramTitle">Glossary!$D$10</definedName>
    <definedName name="nmRevenue">Glossary!$D$30</definedName>
    <definedName name="nmRound">Glossary!$D$14</definedName>
    <definedName name="nmTeamName">Glossary!$D$12</definedName>
    <definedName name="nmTeamNumber">Glossary!$D$13</definedName>
    <definedName name="obaKeyHarmonizationLeft">Obal!$E$27:$I$27</definedName>
    <definedName name="obal_End">Obal!$E$402</definedName>
    <definedName name="obal_Paste">Obal!$E$3:$N$3</definedName>
    <definedName name="obal_ResetR0">Obal!$Q$3:$Q$402</definedName>
    <definedName name="obalACVTotalY1">Obal!$E$354:$N$354</definedName>
    <definedName name="obalACVTotalY2">Obal!$E$360:$N$360</definedName>
    <definedName name="obalACVY1Q1">Obal!$E$350:$N$350</definedName>
    <definedName name="obalACVY1Q2">Obal!$E$351:$N$351</definedName>
    <definedName name="obalACVY1Q3">Obal!$E$352:$N$352</definedName>
    <definedName name="obalACVY1Q4">Obal!$E$353:$N$353</definedName>
    <definedName name="obalACVY2Q1">Obal!$E$356:$N$356</definedName>
    <definedName name="obalACVY2Q2">Obal!$E$357:$N$357</definedName>
    <definedName name="obalACVY2Q3">Obal!$E$358:$N$358</definedName>
    <definedName name="obalACVY2Q4">Obal!$E$359:$N$359</definedName>
    <definedName name="obalAnnualCOS">Obal!$E$109:$N$109</definedName>
    <definedName name="obalAnnualExternalSalesExp">Obal!$E$213:$N$213</definedName>
    <definedName name="obalAnnualFullREExp">Obal!$E$155:$N$155</definedName>
    <definedName name="obalAnnualGAExp">Obal!$E$132:$N$132</definedName>
    <definedName name="obalAnnualGAMigrationExp">Obal!$E$161:$N$161</definedName>
    <definedName name="obalAnnualGrossMargin">Obal!$E$112:$N$112</definedName>
    <definedName name="obalAnnualGrossProfit">Obal!$E$111:$N$111</definedName>
    <definedName name="obalAnnualHarmExp">Obal!$E$143:$N$143</definedName>
    <definedName name="obalAnnualIntegratedOpMargin">Obal!$E$222:$N$222</definedName>
    <definedName name="obalAnnualIntegratedOpProfit">Obal!$E$221:$N$221</definedName>
    <definedName name="obalAnnualITExp">Obal!$E$149:$N$149</definedName>
    <definedName name="obalAnnualMSExp">Obal!$E$120:$N$120</definedName>
    <definedName name="obalAnnualOpMargin">Obal!$E$135:$N$135</definedName>
    <definedName name="obalAnnualOpProfit">Obal!$E$134:$N$134</definedName>
    <definedName name="obalAnnualOrg62Exp">Obal!$E$195:$N$195</definedName>
    <definedName name="obalAnnualPackagingPricingExp">Obal!$E$207:$N$207</definedName>
    <definedName name="obalAnnualRDExp">Obal!$E$126:$N$126</definedName>
    <definedName name="obalAnnualRev">Obal!$E$102:$N$102</definedName>
    <definedName name="obalAnnualRevWriteDownExp">Obal!$E$219:$N$219</definedName>
    <definedName name="obalAnnualStackExp">Obal!$E$201:$N$201</definedName>
    <definedName name="obalAnnualTrustExp">Obal!$E$167:$N$167</definedName>
    <definedName name="obalESAT">Obal!$E$20:$N$20</definedName>
    <definedName name="obalExecutionVelocity">Obal!$E$21:$N$21</definedName>
    <definedName name="obalFTEs">Obal!$E$24:$N$24</definedName>
    <definedName name="obalGAPerc">Obal!$E$73:$N$73</definedName>
    <definedName name="obalGTMCSGPostSales">Obal!$E$69:$N$69</definedName>
    <definedName name="obalGTMExternalSales">Obal!$E$68:$N$68</definedName>
    <definedName name="obalGTMOrg62Timeline">Obal!$E$67:$N$67</definedName>
    <definedName name="obalGTMPackagingIntegration">Obal!$E$69:$I$69</definedName>
    <definedName name="obalHarmonizationLeft">Obal!$E$28:$I$28</definedName>
    <definedName name="obalIntegrationBudget">Obal!$E$25:$N$25</definedName>
    <definedName name="obalIntegrationBudgetY2">Obal!$E$26:$N$26</definedName>
    <definedName name="obalITCostLeft">Obal!$E$29:$N$29</definedName>
    <definedName name="obalITIntegrationLevel">Obal!$E$57:$N$57</definedName>
    <definedName name="obalITLeft">Obal!$E$29:$I$29</definedName>
    <definedName name="obalITOfficePlan">Obal!$E$58:$N$58</definedName>
    <definedName name="obalKeyHarmonizationLeft">Obal!$E$27:$N$27</definedName>
    <definedName name="obalMSPerc">Obal!$E$71:$N$71</definedName>
    <definedName name="obalNonKeyHarmonizationLeft">Obal!$E$28:$N$28</definedName>
    <definedName name="obalNPS">Obal!$E$23:$N$23</definedName>
    <definedName name="obalOrg62CostLeft">Obal!$E$31:$N$31</definedName>
    <definedName name="obalPeopleHarmonizationLevel">Obal!$E$55:$N$55</definedName>
    <definedName name="obalPeopleTimeline">Obal!$E$54:$N$54</definedName>
    <definedName name="obalQ1BrandIntExp">Obal!$E$177:$N$177</definedName>
    <definedName name="obalQ1COS">Obal!$E$105:$N$105</definedName>
    <definedName name="obalQ1CSGExp">Obal!$E$170:$N$170</definedName>
    <definedName name="obalQ1ExternalSalesExp">Obal!$E$209:$N$209</definedName>
    <definedName name="obalQ1FullREExp">Obal!$E$151:$N$151</definedName>
    <definedName name="obalQ1GAExp">Obal!$E$128:$N$128</definedName>
    <definedName name="obalQ1GAMigrationExp">Obal!$E$157:$N$157</definedName>
    <definedName name="obalQ1HarmExp">Obal!$E$139:$N$139</definedName>
    <definedName name="obalQ1ITExp">Obal!$E$145:$N$145</definedName>
    <definedName name="obalQ1LeadPassExp">Obal!$E$184:$N$184</definedName>
    <definedName name="obalQ1MSExp">Obal!$E$116:$N$116</definedName>
    <definedName name="obalQ1Org62Exp">Obal!$E$191:$N$191</definedName>
    <definedName name="obalQ1PackagingPricingExp">Obal!$E$203:$N$203</definedName>
    <definedName name="obalQ1RDExp">Obal!$E$122:$N$122</definedName>
    <definedName name="obalQ1Rev">Obal!$E$98:$N$98</definedName>
    <definedName name="obalQ1RevPerc">Obal!$E$75:$N$75</definedName>
    <definedName name="obalQ1RevWriteDownExp">Obal!$E$215:$N$215</definedName>
    <definedName name="obalQ1StackExp">Obal!$E$197:$N$197</definedName>
    <definedName name="obalQ1TrustExp">Obal!$E$163:$N$163</definedName>
    <definedName name="obalQ2BrandIntExp">Obal!$E$178:$N$178</definedName>
    <definedName name="obalQ2COS">Obal!$E$106:$N$106</definedName>
    <definedName name="obalQ2CSGExp">Obal!$E$171:$N$171</definedName>
    <definedName name="obalQ2ExternalSalesExp">Obal!$E$210:$N$210</definedName>
    <definedName name="obalQ2FullREExp">Obal!$E$152:$N$152</definedName>
    <definedName name="obalQ2GAExp">Obal!$E$129:$N$129</definedName>
    <definedName name="obalQ2GAMigrationExp">Obal!$E$158:$N$158</definedName>
    <definedName name="obalQ2HarmExp">Obal!$E$140:$N$140</definedName>
    <definedName name="obalQ2ITExp">Obal!$E$146:$N$146</definedName>
    <definedName name="obalQ2LeadPassExp">Obal!$E$185:$N$185</definedName>
    <definedName name="obalQ2MSExp">Obal!$E$117:$N$117</definedName>
    <definedName name="obalQ2Org62Exp">Obal!$E$192:$N$192</definedName>
    <definedName name="obalQ2PackagingPricingExp">Obal!$E$204:$N$204</definedName>
    <definedName name="obalQ2RDExp">Obal!$E$123:$N$123</definedName>
    <definedName name="obalQ2Rev">Obal!$E$99:$N$99</definedName>
    <definedName name="obalQ2RevPerc">Obal!$E$76:$N$76</definedName>
    <definedName name="obalQ2RevWriteDownExp">Obal!$E$216:$N$216</definedName>
    <definedName name="obalQ2StackExp">Obal!$E$198:$N$198</definedName>
    <definedName name="obalQ2TrustExp">Obal!$E$164:$N$164</definedName>
    <definedName name="obalQ3BrandIntExp">Obal!$E$179:$N$179</definedName>
    <definedName name="obalQ3COS">Obal!$E$107:$N$107</definedName>
    <definedName name="obalQ3CSGExp">Obal!$E$172:$N$172</definedName>
    <definedName name="obalQ3ExternalSalesExp">Obal!$E$211:$N$211</definedName>
    <definedName name="obalQ3FullREExp">Obal!$E$153:$N$153</definedName>
    <definedName name="obalQ3GAExp">Obal!$E$130:$N$130</definedName>
    <definedName name="obalQ3GAMigrationExp">Obal!$E$159:$N$159</definedName>
    <definedName name="obalQ3HarmExp">Obal!$E$141:$N$141</definedName>
    <definedName name="obalQ3ITExp">Obal!$E$147:$N$147</definedName>
    <definedName name="obalQ3LeadPassExp">Obal!$E$186:$N$186</definedName>
    <definedName name="obalQ3MSExp">Obal!$E$118:$N$118</definedName>
    <definedName name="obalQ3Org62Exp">Obal!$E$193:$N$193</definedName>
    <definedName name="obalQ3PackagingPricingExp">Obal!$E$205:$N$205</definedName>
    <definedName name="obalQ3RDExp">Obal!$E$124:$N$124</definedName>
    <definedName name="obalQ3Rev">Obal!$E$100:$N$100</definedName>
    <definedName name="obalQ3RevPerc">Obal!$E$77:$N$77</definedName>
    <definedName name="obalQ3RevWriteDownExp">Obal!$E$217:$N$217</definedName>
    <definedName name="obalQ3StackExp">Obal!$E$199:$N$199</definedName>
    <definedName name="obalQ3TrustExp">Obal!$E$165:$N$165</definedName>
    <definedName name="obalQ4BrandIntExp">Obal!$E$180:$N$180</definedName>
    <definedName name="obalQ4COS">Obal!$E$108:$N$108</definedName>
    <definedName name="obalQ4CSGExp">Obal!$E$173:$N$173</definedName>
    <definedName name="obalQ4ExternalSalesExp">Obal!$E$212:$N$212</definedName>
    <definedName name="obalQ4FullREExp">Obal!$E$154:$N$154</definedName>
    <definedName name="obalQ4GAExp">Obal!$E$131:$N$131</definedName>
    <definedName name="obalQ4GAMigrationExp">Obal!$E$160:$N$160</definedName>
    <definedName name="obalQ4HarmExp">Obal!$E$142:$N$142</definedName>
    <definedName name="obalQ4ITExp">Obal!$E$148:$N$148</definedName>
    <definedName name="obalQ4LeadPassExp">Obal!$E$187:$N$187</definedName>
    <definedName name="obalQ4MSExp">Obal!$E$119:$N$119</definedName>
    <definedName name="obalQ4Org62Exp">Obal!$E$194:$N$194</definedName>
    <definedName name="obalQ4PackagingPricingExp">Obal!$E$206:$N$206</definedName>
    <definedName name="obalQ4RDExp">Obal!$E$125:$N$125</definedName>
    <definedName name="obalQ4Rev">Obal!$E$101:$N$101</definedName>
    <definedName name="obalQ4RevPerc">Obal!$E$78:$N$78</definedName>
    <definedName name="obalQ4RevWriteDownExp">Obal!$E$218:$N$218</definedName>
    <definedName name="obalQ4StackExp">Obal!$E$200:$N$200</definedName>
    <definedName name="obalQ4TrustExp">Obal!$E$166:$N$166</definedName>
    <definedName name="obalRDPerc">Obal!$E$72:$N$72</definedName>
    <definedName name="obalRiskIndex">Obal!$E$22:$N$22</definedName>
    <definedName name="obalSecurityBuildSiteInfrastructure">Obal!$E$64:$N$64</definedName>
    <definedName name="obalSecurityP0RiskMitigation">Obal!$E$61:$N$61</definedName>
    <definedName name="obalSecurityP1RiskMitigation">Obal!$E$62:$N$62</definedName>
    <definedName name="obalSecurityP2RiskMitigation">Obal!$E$63:$N$63</definedName>
    <definedName name="obalSecurityProductRestrictions">Obal!$E$65:$N$65</definedName>
    <definedName name="obalSI1CodeR1">Obal!$E$4:$I$4</definedName>
    <definedName name="obalSI1CodeR2">Obal!$E$10:$I$10</definedName>
    <definedName name="obalSI1CodeR3">Obal!$E$16:$I$16</definedName>
    <definedName name="obalSI2CodeR1">Obal!$E$5:$I$5</definedName>
    <definedName name="obalSI2CodeR2">Obal!$E$11:$I$11</definedName>
    <definedName name="obalSI2CodeR3">Obal!$E$17:$I$17</definedName>
    <definedName name="obalSI3CodeR1">Obal!$E$6:$I$6</definedName>
    <definedName name="obalSI3CodeR2">Obal!$E$12:$I$12</definedName>
    <definedName name="obalSI3CodeR3">Obal!$E$18:$I$18</definedName>
    <definedName name="obalSI4CodeR1">Obal!$E$7:$I$7</definedName>
    <definedName name="obalSI4CodeR2">Obal!$E$13:$I$13</definedName>
    <definedName name="obalSI5CodeR1">Obal!$E$8:$I$8</definedName>
    <definedName name="obalSI5CodeR2">Obal!$E$14:$I$14</definedName>
    <definedName name="obalTargetCOR">Obal!$E$6:$N$6</definedName>
    <definedName name="obalTargetDealBudget">Obal!$E$16:$N$16</definedName>
    <definedName name="obalTargetFullOpMargin">Obal!$E$18:$N$18</definedName>
    <definedName name="obalTargetFullOpProf">Obal!$E$17:$N$17</definedName>
    <definedName name="obalTargetGA">Obal!$E$11:$N$11</definedName>
    <definedName name="obalTargetGP">Obal!$E$7:$N$7</definedName>
    <definedName name="obalTargetMS">Obal!$E$9:$N$9</definedName>
    <definedName name="obalTargetRD">Obal!$E$10:$N$10</definedName>
    <definedName name="obalTargetRev">Obal!$E$5:$N$5</definedName>
    <definedName name="obalTargetStandaloneOpMargin">Obal!$E$15:$N$15</definedName>
    <definedName name="obalTargetStandaloneOpProf">Obal!$E$14:$N$14</definedName>
    <definedName name="obalTimeline">Obal!$E$50:$N$50</definedName>
    <definedName name="obalTimelineBudget">Obal!$E$51:$N$51</definedName>
    <definedName name="obalTimelineGAMigration">Obal!$E$52:$N$52</definedName>
    <definedName name="obalTimelineLength1">Obal!$E$46:$N$46</definedName>
    <definedName name="obalTimelineLength2">Obal!$E$47:$N$47</definedName>
    <definedName name="obalTimelineLength3">Obal!$E$48:$N$48</definedName>
    <definedName name="obalTimelineLength4">Obal!$E$49:$N$49</definedName>
    <definedName name="obalTrustCostLeft">Obal!$E$30:$N$30</definedName>
    <definedName name="obalV2MOMValue1Desc">Obal!$E$36:$N$36</definedName>
    <definedName name="obalV2MOMValue1Rank">Obal!$E$35:$N$35</definedName>
    <definedName name="obalV2MOMValue2Desc">Obal!$E$38:$N$38</definedName>
    <definedName name="obalV2MOMValue2Rank">Obal!$E$37:$N$37</definedName>
    <definedName name="obalV2MOMValue3Desc">Obal!$E$40:$N$40</definedName>
    <definedName name="obalV2MOMValue3Rank">Obal!$E$39:$N$39</definedName>
    <definedName name="obalV2MOMValue4Desc">Obal!$E$42:$N$42</definedName>
    <definedName name="obalV2MOMValue4Rank">Obal!$E$41:$N$41</definedName>
    <definedName name="obalV2MOMValue5Desc">Obal!$E$44:$N$44</definedName>
    <definedName name="obalV2MOMValue5Rank">Obal!$E$43:$N$43</definedName>
    <definedName name="obalV2MOMVision">Obal!$E$34:$N$34</definedName>
    <definedName name="obalWobbler1">Obal!$E$80:$N$80</definedName>
    <definedName name="obalWobbler10">Obal!$E$89:$N$89</definedName>
    <definedName name="obalWobbler11">Obal!$E$90:$N$90</definedName>
    <definedName name="obalWobbler12">Obal!$E$91:$N$91</definedName>
    <definedName name="obalWobbler13">Obal!$E$92:$N$92</definedName>
    <definedName name="obalWobbler14">Obal!$E$93:$N$93</definedName>
    <definedName name="obalWobbler15">Obal!$E$94:$N$94</definedName>
    <definedName name="obalWobbler2">Obal!$E$81:$N$81</definedName>
    <definedName name="obalWobbler3">Obal!$E$82:$N$82</definedName>
    <definedName name="obalWobbler4">Obal!$E$83:$N$83</definedName>
    <definedName name="obalWobbler5">Obal!$E$84:$N$84</definedName>
    <definedName name="obalWobbler6">Obal!$E$85:$N$85</definedName>
    <definedName name="obalWobbler7">Obal!$E$86:$N$86</definedName>
    <definedName name="obalWobbler8">Obal!$E$87:$N$87</definedName>
    <definedName name="obalWobbler9">Obal!$E$88:$N$88</definedName>
    <definedName name="obalY1BrandIntExp">Obal!$E$181:$N$181</definedName>
    <definedName name="obalY1CSGExp">Obal!$E$174:$N$174</definedName>
    <definedName name="obalY1LeadPassExp">Obal!$E$188:$N$188</definedName>
    <definedName name="obalY2AnnualBrandIntExp">Obal!$E$321:$N$321</definedName>
    <definedName name="obalY2AnnualCOS">Obal!$E$237:$N$237</definedName>
    <definedName name="obalY2AnnualCSGExp">Obal!$E$315:$N$315</definedName>
    <definedName name="obalY2AnnualExternalSalesExp">Obal!$E$339:$N$339</definedName>
    <definedName name="obalY2AnnualFullREExp">Obal!$E$283:$N$283</definedName>
    <definedName name="obalY2AnnualGAExp">Obal!$E$260:$N$260</definedName>
    <definedName name="obalY2AnnualGAMigrationExp">Obal!$E$289:$N$289</definedName>
    <definedName name="obalY2AnnualGrossMargin">Obal!$E$240:$N$240</definedName>
    <definedName name="obalY2AnnualGrossProfit">Obal!$E$239:$N$239</definedName>
    <definedName name="obalY2AnnualHarmExp">Obal!$E$271:$N$271</definedName>
    <definedName name="obalY2AnnualIntegratedOpMargin">Obal!$E$348:$N$348</definedName>
    <definedName name="obalY2AnnualIntegratedOpProfit">Obal!$E$347:$N$347</definedName>
    <definedName name="obalY2AnnualITExp">Obal!$E$277:$N$277</definedName>
    <definedName name="obalY2AnnualLeadPassExp">Obal!$E$327:$N$327</definedName>
    <definedName name="obalY2AnnualMSExp">Obal!$E$248:$N$248</definedName>
    <definedName name="obalY2AnnualOpMargin">Obal!$E$263:$N$263</definedName>
    <definedName name="obalY2AnnualOpProfit">Obal!$E$262:$N$262</definedName>
    <definedName name="obalY2AnnualOrg62Exp">Obal!$E$303:$N$303</definedName>
    <definedName name="obalY2AnnualPackagingPricingExp">Obal!$E$333:$N$333</definedName>
    <definedName name="obalY2AnnualRDExp">Obal!$E$254:$N$254</definedName>
    <definedName name="obalY2AnnualRev">Obal!$E$230:$N$230</definedName>
    <definedName name="obalY2AnnualRevWriteDownExp">Obal!$E$345:$N$345</definedName>
    <definedName name="obalY2AnnualStackExp">Obal!$E$309:$N$309</definedName>
    <definedName name="obalY2AnnualTrustExp">Obal!$E$295:$N$295</definedName>
    <definedName name="obalY2Q1BrandIntExp">Obal!$E$317:$N$317</definedName>
    <definedName name="obalY2Q1COS">Obal!$E$233:$N$233</definedName>
    <definedName name="obalY2Q1CSGExp">Obal!$E$311:$N$311</definedName>
    <definedName name="obalY2Q1ExternalSalesExp">Obal!$E$335:$N$335</definedName>
    <definedName name="obalY2Q1FullREExp">Obal!$E$279:$N$279</definedName>
    <definedName name="obalY2Q1GAExp">Obal!$E$256:$N$256</definedName>
    <definedName name="obalY2Q1GAMigrationExp">Obal!$E$285:$N$285</definedName>
    <definedName name="obalY2Q1HarmExp">Obal!$E$267:$N$267</definedName>
    <definedName name="obalY2Q1ITExp">Obal!$E$273:$N$273</definedName>
    <definedName name="obalY2Q1LeadPassExp">Obal!$E$323:$N$323</definedName>
    <definedName name="obalY2Q1MSExp">Obal!$E$244:$N$244</definedName>
    <definedName name="obalY2Q1Org62Exp">Obal!$E$299:$N$299</definedName>
    <definedName name="obalY2Q1PackagingPricingExp">Obal!$E$329:$N$329</definedName>
    <definedName name="obalY2Q1RDExp">Obal!$E$250:$N$250</definedName>
    <definedName name="obalY2Q1Rev">Obal!$E$226:$N$226</definedName>
    <definedName name="obalY2Q1RevWriteDownExp">Obal!$E$341:$N$341</definedName>
    <definedName name="obalY2Q1StackExp">Obal!$E$305:$N$305</definedName>
    <definedName name="obalY2Q1TrustExp">Obal!$E$291:$N$291</definedName>
    <definedName name="obalY2Q2BrandIntExp">Obal!$E$318:$N$318</definedName>
    <definedName name="obalY2Q2COS">Obal!$E$234:$N$234</definedName>
    <definedName name="obalY2Q2CSGExp">Obal!$E$312:$N$312</definedName>
    <definedName name="obalY2Q2ExternalSalesExp">Obal!$E$336:$N$336</definedName>
    <definedName name="obalY2Q2FullREExp">Obal!$E$280:$N$280</definedName>
    <definedName name="obalY2Q2GAExp">Obal!$E$257:$N$257</definedName>
    <definedName name="obalY2Q2GAMigrationExp">Obal!$E$286:$N$286</definedName>
    <definedName name="obalY2Q2HarmExp">Obal!$E$268:$N$268</definedName>
    <definedName name="obalY2Q2ITExp">Obal!$E$274:$N$274</definedName>
    <definedName name="obalY2Q2LeadPassExp">Obal!$E$324:$N$324</definedName>
    <definedName name="obalY2Q2MSExp">Obal!$E$245:$N$245</definedName>
    <definedName name="obalY2Q2Org62Exp">Obal!$E$300:$N$300</definedName>
    <definedName name="obalY2Q2PackagingPricingExp">Obal!$E$330:$N$330</definedName>
    <definedName name="obalY2Q2RDExp">Obal!$E$251:$N$251</definedName>
    <definedName name="obalY2Q2Rev">Obal!$E$227:$N$227</definedName>
    <definedName name="obalY2Q2RevWriteDownExp">Obal!$E$342:$N$342</definedName>
    <definedName name="obalY2Q2StackExp">Obal!$E$306:$N$306</definedName>
    <definedName name="obalY2Q2TrustExp">Obal!$E$292:$N$292</definedName>
    <definedName name="obalY2Q3BrandIntExp">Obal!$E$319:$N$319</definedName>
    <definedName name="obalY2Q3COS">Obal!$E$235:$N$235</definedName>
    <definedName name="obalY2Q3CSGExp">Obal!$E$313:$N$313</definedName>
    <definedName name="obalY2Q3ExternalSalesExp">Obal!$E$337:$N$337</definedName>
    <definedName name="obalY2Q3FullREExp">Obal!$E$281:$N$281</definedName>
    <definedName name="obalY2Q3GAExp">Obal!$E$258:$N$258</definedName>
    <definedName name="obalY2Q3GAMigrationExp">Obal!$E$287:$N$287</definedName>
    <definedName name="obalY2Q3HarmExp">Obal!$E$269:$N$269</definedName>
    <definedName name="obalY2Q3ITExp">Obal!$E$275:$N$275</definedName>
    <definedName name="obalY2Q3LeadPassExp">Obal!$E$325:$N$325</definedName>
    <definedName name="obalY2Q3MSExp">Obal!$E$246:$N$246</definedName>
    <definedName name="obalY2Q3Org62Exp">Obal!$E$301:$N$301</definedName>
    <definedName name="obalY2Q3PackagingPricingExp">Obal!$E$331:$N$331</definedName>
    <definedName name="obalY2Q3RDExp">Obal!$E$252:$N$252</definedName>
    <definedName name="obalY2Q3Rev">Obal!$E$228:$N$228</definedName>
    <definedName name="obalY2Q3RevWriteDownExp">Obal!$E$343:$N$343</definedName>
    <definedName name="obalY2Q3StackExp">Obal!$E$307:$N$307</definedName>
    <definedName name="obalY2Q3TrustExp">Obal!$E$293:$N$293</definedName>
    <definedName name="obalY2Q4BrandIntExp">Obal!$E$320:$N$320</definedName>
    <definedName name="obalY2Q4COS">Obal!$E$236:$N$236</definedName>
    <definedName name="obalY2Q4CSGExp">Obal!$E$314:$N$314</definedName>
    <definedName name="obalY2Q4ExternalSalesExp">Obal!$E$338:$N$338</definedName>
    <definedName name="obalY2Q4FullREExp">Obal!$E$282:$N$282</definedName>
    <definedName name="obalY2Q4GAExp">Obal!$E$259:$N$259</definedName>
    <definedName name="obalY2Q4GAMigrationExp">Obal!$E$288:$N$288</definedName>
    <definedName name="obalY2Q4HarmExp">Obal!$E$270:$N$270</definedName>
    <definedName name="obalY2Q4ITExp">Obal!$E$276:$N$276</definedName>
    <definedName name="obalY2Q4LeadPassExp">Obal!$E$326:$N$326</definedName>
    <definedName name="obalY2Q4MSExp">Obal!$E$247:$N$247</definedName>
    <definedName name="obalY2Q4Org62Exp">Obal!$E$302:$N$302</definedName>
    <definedName name="obalY2Q4PackagingPricingExp">Obal!$E$332:$N$332</definedName>
    <definedName name="obalY2Q4RDExp">Obal!$E$253:$N$253</definedName>
    <definedName name="obalY2Q4Rev">Obal!$E$229:$N$229</definedName>
    <definedName name="obalY2Q4RevWriteDownExp">Obal!$E$344:$N$344</definedName>
    <definedName name="obalY2Q4StackExp">Obal!$E$308:$N$308</definedName>
    <definedName name="obalY2Q4TrustExp">Obal!$E$294:$N$294</definedName>
    <definedName name="obalY5AnnualCOS">Obal!$E$375:$N$375</definedName>
    <definedName name="obalY5AnnualGAExp">Obal!$E$398:$N$398</definedName>
    <definedName name="obalY5AnnualGrossMargin">Obal!$E$378:$N$378</definedName>
    <definedName name="obalY5AnnualGrossProfit">Obal!$E$377:$N$377</definedName>
    <definedName name="obalY5AnnualMSExp">Obal!$E$386:$N$386</definedName>
    <definedName name="obalY5AnnualOpMargin">Obal!$E$401:$N$401</definedName>
    <definedName name="obalY5AnnualOpProfit">Obal!$E$400:$N$400</definedName>
    <definedName name="obalY5AnnualRDExp">Obal!$E$392:$N$392</definedName>
    <definedName name="obalY5AnnualRev">Obal!$E$368:$N$368</definedName>
    <definedName name="obalY5Q1COS">Obal!$E$371:$N$371</definedName>
    <definedName name="obalY5Q1GAExp">Obal!$E$394:$N$394</definedName>
    <definedName name="obalY5Q1MSExp">Obal!$E$382:$N$382</definedName>
    <definedName name="obalY5Q1RDExp">Obal!$E$388:$N$388</definedName>
    <definedName name="obalY5Q1Rev">Obal!$E$364:$N$364</definedName>
    <definedName name="obalY5Q2COS">Obal!$E$372:$N$372</definedName>
    <definedName name="obalY5Q2GAExp">Obal!$E$395:$N$395</definedName>
    <definedName name="obalY5Q2MSExp">Obal!$E$383:$N$383</definedName>
    <definedName name="obalY5Q2RDExp">Obal!$E$389:$N$389</definedName>
    <definedName name="obalY5Q2Rev">Obal!$E$365:$N$365</definedName>
    <definedName name="obalY5Q3COS">Obal!$E$373:$N$373</definedName>
    <definedName name="obalY5Q3GAExp">Obal!$E$396:$N$396</definedName>
    <definedName name="obalY5Q3MSExp">Obal!$E$384:$N$384</definedName>
    <definedName name="obalY5Q3RDExp">Obal!$E$390:$N$390</definedName>
    <definedName name="obalY5Q3Rev">Obal!$E$366:$N$366</definedName>
    <definedName name="obalY5Q4COS">Obal!$E$374:$N$374</definedName>
    <definedName name="obalY5Q4GAExp">Obal!$E$397:$N$397</definedName>
    <definedName name="obalY5Q4MSExp">Obal!$E$385:$N$385</definedName>
    <definedName name="obalY5Q4RDExp">Obal!$E$391:$N$391</definedName>
    <definedName name="obalY5Q4Rev">Obal!$E$367:$N$367</definedName>
    <definedName name="paramACVGrowthBaseline">param!$E$21:$N$21</definedName>
    <definedName name="paramACVGrowthStack">param!$E$22:$N$22</definedName>
    <definedName name="paramCOS">param!$E$16:$N$16</definedName>
    <definedName name="paramDelayImpact">param!$E$26:$N$26</definedName>
    <definedName name="paramDepreciationTimeline">param!$E$25:$N$25</definedName>
    <definedName name="paramDisruption">param!$E$10:$N$10</definedName>
    <definedName name="paramESAT">param!$E$9:$N$9</definedName>
    <definedName name="paramESAT_1">param!$E$13:$N$13</definedName>
    <definedName name="paramExecVelocity">param!$E$10:$I$10</definedName>
    <definedName name="paramHarmonization">param!$E$15:$N$15</definedName>
    <definedName name="paramITExp">param!$E$17:$N$17</definedName>
    <definedName name="paramNPS">param!$E$12:$N$12</definedName>
    <definedName name="paramOrg62Impacts">param!$E$27:$N$27</definedName>
    <definedName name="paramOrg62Migration">param!$E$18:$N$18</definedName>
    <definedName name="paramRiskIndex">param!$E$11:$N$11</definedName>
    <definedName name="paramScaleEffect">param!$E$19:$N$19</definedName>
    <definedName name="paramScenarioCost">param!$E$5:$I$5</definedName>
    <definedName name="paramScenarioCostY1">param!$E$5:$N$5</definedName>
    <definedName name="paramScenarioCostY2">param!$E$6:$N$6</definedName>
    <definedName name="paramScenarioFTEs">param!$E$7:$N$7</definedName>
    <definedName name="row2buttons_visible">frmNavControls!$C$76,frmNavControls!$E$76,frmNavControls!$G$76,frmNavControls!$C$116,frmNavControls!$E$116,frmNavControls!$G$116,frmNavControls!$C$156,frmNavControls!$E$156,frmNavControls!$G$156,frmNavControls!$C$196,frmNavControls!$E$196,frmNavControls!$G$196,frmNavControls!$C$236,frmNavControls!$E$236,frmNavControls!$G$236,frmNavControls!$C$276,frmNavControls!$E$276,frmNavControls!$G$276,frmNavControls!$C$316,frmNavControls!$E$316,frmNavControls!$G$316,frmNavControls!$C$356,frmNavControls!$E$356,frmNavControls!$G$356</definedName>
    <definedName name="row3buttons_visible">frmNavControls!$C$368,frmNavControls!$E$368,frmNavControls!$G$368,frmNavControls!$C$328,frmNavControls!$E$328,frmNavControls!$G$328,frmNavControls!$C$288,frmNavControls!$E$288,frmNavControls!$G$288,frmNavControls!$C$248,frmNavControls!$E$248,frmNavControls!$G$248,frmNavControls!$C$208,frmNavControls!$E$208,frmNavControls!$G$208,frmNavControls!$C$168,frmNavControls!$E$168,frmNavControls!$G$168,frmNavControls!$C$128,frmNavControls!$E$128,frmNavControls!$G$128,frmNavControls!$C$88,frmNavControls!$E$88,frmNavControls!$G$88</definedName>
    <definedName name="RowCalibrateAnalysis1">Analysis!$A$5:$A$14</definedName>
    <definedName name="rowCount">frmNavControls!$C$43</definedName>
    <definedName name="Screen" localSheetId="16">tlGTM!$V$2</definedName>
    <definedName name="Screen" localSheetId="15">tlIT!$V$2</definedName>
    <definedName name="Screen" localSheetId="14">tlPeople!$V$2</definedName>
    <definedName name="Screen" localSheetId="17">tlProduct!$V$2</definedName>
    <definedName name="Screen" localSheetId="19">tlScenarios!$P$2</definedName>
    <definedName name="Screen" localSheetId="18">tlTimeline!$V$2</definedName>
    <definedName name="Screen" localSheetId="13">tlV2MOM!$K$2</definedName>
    <definedName name="Screen">tlIntro!$T$2</definedName>
    <definedName name="sheet_tab1_row1">frmNavControls!$A$54:$A$65</definedName>
    <definedName name="sheet_tab1_row2">frmNavControls!$A$66:$A$77</definedName>
    <definedName name="sheet_tab1_row3">frmNavControls!$A$78:$A$88</definedName>
    <definedName name="sheet_tab2_row1">frmNavControls!$A$94:$A$105</definedName>
    <definedName name="sheet_tab2_row2">frmNavControls!$A$106:$A$117</definedName>
    <definedName name="sheet_tab2_row3">frmNavControls!$A$118:$A$128</definedName>
    <definedName name="sheet_tab3_row1">frmNavControls!$A$134:$A$145</definedName>
    <definedName name="sheet_tab3_row2">frmNavControls!$A$146:$A$157</definedName>
    <definedName name="sheet_tab3_row3">frmNavControls!$A$158:$A$168</definedName>
    <definedName name="sheet_tab4_row1">frmNavControls!$A$174:$A$185</definedName>
    <definedName name="sheet_tab4_row2">frmNavControls!$A$186:$A$197</definedName>
    <definedName name="sheet_tab4_row3">frmNavControls!$A$198:$A$208</definedName>
    <definedName name="sheet_tab5_row1">frmNavControls!$A$214:$A$225</definedName>
    <definedName name="sheet_tab5_row2">frmNavControls!$A$226:$A$237</definedName>
    <definedName name="sheet_tab5_row3">frmNavControls!$A$238:$A$248</definedName>
    <definedName name="sheet_tab6_row1">frmNavControls!$A$254:$A$265</definedName>
    <definedName name="sheet_tab6_row2">frmNavControls!$A$266:$A$277</definedName>
    <definedName name="sheet_tab6_row3">frmNavControls!$A$278:$A$288</definedName>
    <definedName name="sheet_tab7_row1">frmNavControls!$A$294:$A$305</definedName>
    <definedName name="sheet_tab7_row2">frmNavControls!$A$306:$A$317</definedName>
    <definedName name="sheet_tab7_row23">frmNavControls!$A$306:$A$317</definedName>
    <definedName name="sheet_tab7_row3">frmNavControls!$A$318:$A$328</definedName>
    <definedName name="sheet_tab8_row1">frmNavControls!$A$334:$A$345</definedName>
    <definedName name="sheet_tab8_row2">frmNavControls!$A$346:$A$356</definedName>
    <definedName name="sheet_tab8_row3">frmNavControls!$A$358:$A$368</definedName>
    <definedName name="sim_OnResetGoTo">Controls!$D$25</definedName>
    <definedName name="SimpleCSVCalibrateR1Data">SimpleCSV_Data!$F$1:$O$1</definedName>
    <definedName name="SimpleCSVLookup">SimpleCSV_Import!$A:$AZ</definedName>
    <definedName name="SimpleCSVNumofAdmins">SimpleCSV_Config!$C$34</definedName>
    <definedName name="SimpleCSVNumofTeams">SimpleCSV_Config!$C$31</definedName>
    <definedName name="SimpleCSVR1BrandIntegration">SimpleCSV_Data!$F$56:$O$56</definedName>
    <definedName name="SimpleCSVR1BuildOutSiteInfrastructure">SimpleCSV_Data!$F$50:$O$50</definedName>
    <definedName name="SimpleCSVR1CSGPostSales">SimpleCSV_Data!$F$55:$O$55</definedName>
    <definedName name="SimpleCSVR1ExternalSalesTeam">SimpleCSV_Data!$F$54:$O$54</definedName>
    <definedName name="SimpleCSVR1IntegrationLevel">SimpleCSV_Data!$F$42:$O$42</definedName>
    <definedName name="SimpleCSVR1ITTimeline">SimpleCSV_Data!$F$41:$O$41</definedName>
    <definedName name="SimpleCSVR1KeyTalentPercentage">SimpleCSV_Data!$F$38:$O$38</definedName>
    <definedName name="SimpleCSVR1LeadPass">SimpleCSV_Data!$F$57:$O$57</definedName>
    <definedName name="SimpleCSVR1LookupNumber">SimpleCSV_Data!$F$15:$O$15</definedName>
    <definedName name="SimpleCSVR1Name">SimpleCSV_Data!#REF!</definedName>
    <definedName name="SimpleCSVR1NonKeyTalentPercentage">SimpleCSV_Data!$F$39:$O$39</definedName>
    <definedName name="SimpleCSVR1Number">SimpleCSV_Data!#REF!</definedName>
    <definedName name="SimpleCSVR1ORg62MigrationTimeline">SimpleCSV_Data!$F$53:$O$53</definedName>
    <definedName name="SimpleCSVR1P0RiskMitigation">SimpleCSV_Data!$F$47:$O$47</definedName>
    <definedName name="SimpleCSVR1P1RiskMitigation">SimpleCSV_Data!$F$48:$O$48</definedName>
    <definedName name="SimpleCSVR1P2RiskMitigation">SimpleCSV_Data!$F$49:$O$49</definedName>
    <definedName name="SimpleCSVR1PeopleTimeline">SimpleCSV_Data!$F$37:$O$37</definedName>
    <definedName name="SimpleCSVR1ProductRestrictions">SimpleCSV_Data!$F$51:$O$51</definedName>
    <definedName name="SimpleCSVR1ProductTimeline">SimpleCSV_Data!$F$59:$O$59</definedName>
    <definedName name="SimpleCSVR1RealEstateStrategy">SimpleCSV_Data!$F$43:$O$43</definedName>
    <definedName name="SimpleCSVR1RiskTimeline">SimpleCSV_Data!$F$46:$O$46</definedName>
    <definedName name="SimpleCSVR1StackFeatureFocus">SimpleCSV_Data!$F$60:$O$60</definedName>
    <definedName name="SimpleCSVR1Stackvs.FeatureFocus">SimpleCSV_Data!$F$60:$O$60</definedName>
    <definedName name="SimpleCSVR1TeamName">SimpleCSV_Data!$F$16:$O$16</definedName>
    <definedName name="SimpleCSVR1ValuePercentageCSAT">SimpleCSV_Data!$F$24:$O$24</definedName>
    <definedName name="SimpleCSVR1ValuePercentageESAT">SimpleCSV_Data!$F$26:$O$26</definedName>
    <definedName name="SimpleCSVR1ValuePercentageOpMargin">SimpleCSV_Data!$F$30:$O$30</definedName>
    <definedName name="SimpleCSVR1ValuePercentageRevGrowth">SimpleCSV_Data!$F$22:$O$22</definedName>
    <definedName name="SimpleCSVR1ValuePercentageTrust">SimpleCSV_Data!$F$28:$O$28</definedName>
    <definedName name="SimpleCSVR1ValueRationaleCSAT">SimpleCSV_Data!$F$25:$O$25</definedName>
    <definedName name="SimpleCSVR1ValueRationaleESAT">SimpleCSV_Data!$F$27:$O$27</definedName>
    <definedName name="SimpleCSVR1ValueRationaleOpMargin">SimpleCSV_Data!$F$31:$O$31</definedName>
    <definedName name="SimpleCSVR1ValueRationaleRevGrowth">SimpleCSV_Data!$F$23:$O$23</definedName>
    <definedName name="SimpleCSVR1ValueRationaleTrust">SimpleCSV_Data!$F$29:$O$29</definedName>
    <definedName name="SimpleCSVR1VisionStatement">SimpleCSV_Data!$F$21:$O$21</definedName>
    <definedName name="tab1_row1_visible">frmNavControls!$C$64,frmNavControls!$E$64,frmNavControls!$G$64</definedName>
    <definedName name="tab1_row2_visible">frmNavControls!$C$76,frmNavControls!$E$76,frmNavControls!$G$76</definedName>
    <definedName name="tab1_row3_visible">frmNavControls!$C$88,frmNavControls!$E$88,frmNavControls!$G$88</definedName>
    <definedName name="tab1_rows">frmNavControls!$I$52</definedName>
    <definedName name="tab1_text">frmNavControls!$C$50</definedName>
    <definedName name="tab1_visible">frmNavControls!$C$52</definedName>
    <definedName name="tab2_row1_visible">frmNavControls!$C$104,frmNavControls!$E$104,frmNavControls!$G$104</definedName>
    <definedName name="tab2_row2_visible">frmNavControls!$C$116,frmNavControls!$E$116,frmNavControls!$G$116</definedName>
    <definedName name="tab2_row3_visible">frmNavControls!$C$128,frmNavControls!$E$128,frmNavControls!$G$128</definedName>
    <definedName name="tab2_rows">frmNavControls!$I$92</definedName>
    <definedName name="tab2_text">frmNavControls!$C$90</definedName>
    <definedName name="tab2_visible">frmNavControls!$C$92</definedName>
    <definedName name="tab3_row1_visible">frmNavControls!$C$144,frmNavControls!$E$144,frmNavControls!$G$144</definedName>
    <definedName name="tab3_row2_visible">frmNavControls!$C$156,frmNavControls!$E$156,frmNavControls!$G$156</definedName>
    <definedName name="tab3_row3_visible">frmNavControls!$C$168,frmNavControls!$E$168,frmNavControls!$G$168</definedName>
    <definedName name="tab3_rows">frmNavControls!$I$132</definedName>
    <definedName name="tab3_text">frmNavControls!$C$130</definedName>
    <definedName name="tab3_visible">frmNavControls!$C$132</definedName>
    <definedName name="tab4_row1_visible">frmNavControls!$C$184,frmNavControls!$E$184,frmNavControls!$G$184</definedName>
    <definedName name="tab4_row2_visible">frmNavControls!$C$196,frmNavControls!$E$196,frmNavControls!$G$196</definedName>
    <definedName name="tab4_row3_visible">frmNavControls!$C$208,frmNavControls!$E$208,frmNavControls!$G$208</definedName>
    <definedName name="tab4_rows">frmNavControls!$I$172</definedName>
    <definedName name="tab4_text">frmNavControls!$C$170</definedName>
    <definedName name="tab4_visible">frmNavControls!$C$172</definedName>
    <definedName name="tab4buttons_visible">frmNavControls!$C$184,frmNavControls!$E$184,frmNavControls!$G$184,frmNavControls!$G$196,frmNavControls!$E$196,frmNavControls!$C$196,frmNavControls!$C$208,frmNavControls!$E$208,frmNavControls!$G$208</definedName>
    <definedName name="tab5_row1_visible">frmNavControls!$C$224,frmNavControls!$E$224,frmNavControls!$G$224</definedName>
    <definedName name="tab5_row2_visible">frmNavControls!$C$236,frmNavControls!$E$236,frmNavControls!$G$236</definedName>
    <definedName name="tab5_row3_visible">frmNavControls!$C$248,frmNavControls!$E$248,frmNavControls!$G$248</definedName>
    <definedName name="tab5_rows">frmNavControls!$I$212</definedName>
    <definedName name="tab5_text">frmNavControls!$C$210</definedName>
    <definedName name="tab5_visible">frmNavControls!$C$212</definedName>
    <definedName name="tab5buttons_visible">frmNavControls!$C$224,frmNavControls!$E$224,frmNavControls!$G$224,frmNavControls!$G$236,frmNavControls!$E$236,frmNavControls!$C$236,frmNavControls!$C$248,frmNavControls!$E$248,frmNavControls!$G$248</definedName>
    <definedName name="tab6_row1_visible">frmNavControls!$C$264,frmNavControls!$E$264,frmNavControls!$G$264</definedName>
    <definedName name="tab6_row2_visible">frmNavControls!$C$276,frmNavControls!$E$276,frmNavControls!$G$276</definedName>
    <definedName name="tab6_row3_visible">frmNavControls!$C$288,frmNavControls!$E$288,frmNavControls!$G$288</definedName>
    <definedName name="tab6_rows">frmNavControls!$I$252</definedName>
    <definedName name="tab6_text">frmNavControls!$C$250</definedName>
    <definedName name="tab6_visible">frmNavControls!$C$252</definedName>
    <definedName name="tab6buttons_visible">frmNavControls!$C$264,frmNavControls!$E$264,frmNavControls!$G$264,frmNavControls!$G$276,frmNavControls!$E$276,frmNavControls!$C$276,frmNavControls!$C$288,frmNavControls!$E$288,frmNavControls!$G$288</definedName>
    <definedName name="tab7_row1_visible">frmNavControls!$C$304,frmNavControls!$E$304,frmNavControls!$G$304</definedName>
    <definedName name="tab7_row2_visible">frmNavControls!$C$316,frmNavControls!$E$316,frmNavControls!$G$316</definedName>
    <definedName name="tab7_row3_visible">frmNavControls!$C$328,frmNavControls!$E$328,frmNavControls!$G$328</definedName>
    <definedName name="tab7_rows">frmNavControls!$I$292</definedName>
    <definedName name="tab7_text">frmNavControls!$C$290</definedName>
    <definedName name="tab7_visible">frmNavControls!$C$292</definedName>
    <definedName name="tab7buttons_visible">frmNavControls!$C$304,frmNavControls!$E$304,frmNavControls!$G$304,frmNavControls!$G$316,frmNavControls!$E$316,frmNavControls!$C$316,frmNavControls!$C$328,frmNavControls!$E$328,frmNavControls!$G$328</definedName>
    <definedName name="tab8_row1_visible">frmNavControls!$C$344,frmNavControls!$E$344,frmNavControls!$G$344</definedName>
    <definedName name="tab8_row2_visible">frmNavControls!$C$356,frmNavControls!$E$356,frmNavControls!$G$356</definedName>
    <definedName name="tab8_row3_visible">frmNavControls!$G$368,frmNavControls!$E$368,frmNavControls!$C$368</definedName>
    <definedName name="tab8_rows">frmNavControls!$I$332</definedName>
    <definedName name="tab8_text">frmNavControls!$C$330</definedName>
    <definedName name="tab8_visible">frmNavControls!$C$332</definedName>
    <definedName name="tab8buttons_visible">frmNavControls!$C$344,frmNavControls!$E$345,frmNavControls!$E$344,frmNavControls!$G$344,frmNavControls!$G$356,frmNavControls!$E$356,frmNavControls!$C$356,frmNavControls!$C$368,frmNavControls!$E$368,frmNavControls!$G$368</definedName>
    <definedName name="tabCount">frmNavControls!$C$41</definedName>
    <definedName name="tlExternalSalesTitle">tlGTM!$K$9</definedName>
    <definedName name="tlInputBudgetValidationY1">tlTimeline!$Z$12</definedName>
    <definedName name="tlInputBudgetValidationY2">tlTimeline!$Z$13</definedName>
    <definedName name="tlInputGTMBrandIntegration">tlGTM!$E$13</definedName>
    <definedName name="tlInputGTMCSGPostSales">tlGTM!$E$11</definedName>
    <definedName name="tlInputGTMExternalSales">tlGTM!$M$9</definedName>
    <definedName name="tlInputGTMLeadPass">tlGTM!$M$11</definedName>
    <definedName name="tlInputGTMOrg62Timeline">tlGTM!$E$9</definedName>
    <definedName name="tlInputGTMPackagingIntegration">tlProduct!$M$9</definedName>
    <definedName name="tlInputITIntegrationLevel">tlIT!$E$13</definedName>
    <definedName name="tlInputITOfficePlan">tlIT!$E$18</definedName>
    <definedName name="tlInputITTimeline">tlIT!$E$10</definedName>
    <definedName name="tlInputPeopleHarmonizationLevel">tlPeople!$E$12</definedName>
    <definedName name="tlInputPeopleNonKeyHarmonizationLevel">tlPeople!$I$12</definedName>
    <definedName name="tlInputPeopleTimeline">tlPeople!$E$9</definedName>
    <definedName name="tlInputProductStackFocus">tlProduct!$X$9</definedName>
    <definedName name="tlInputProductTimeline">tlProduct!$E$9</definedName>
    <definedName name="tlInputRound">tlTimeline!$Z$10</definedName>
    <definedName name="tlInputScenario1">tlScenarios!$C$10</definedName>
    <definedName name="tlInputScenario2">tlScenarios!$C$12</definedName>
    <definedName name="tlInputScenario3">tlScenarios!$C$14</definedName>
    <definedName name="tlInputScenario4">tlScenarios!$C$16</definedName>
    <definedName name="tlInputScenario5">tlScenarios!$C$18</definedName>
    <definedName name="tlInputScenario6">tlScenarios!$C$20</definedName>
    <definedName name="tlInputScenario7">tlScenarios!$C$22</definedName>
    <definedName name="tlInputScenario8">tlScenarios!$C$24</definedName>
    <definedName name="tlInputSecurityBuildSiteInfrastructure">tlIT!$O$18</definedName>
    <definedName name="tlInputSecurityP0RiskMitigation">tlIT!$K$15</definedName>
    <definedName name="tlInputSecurityP1RiskMitigation">tlIT!$M$15</definedName>
    <definedName name="tlInputSecurityP2RiskMitigation">tlIT!$O$15</definedName>
    <definedName name="tlInputSecurityP3RiskMitigation">tlIT!$O$15</definedName>
    <definedName name="tlInputSecurityProductRestrictions">tlIT!$O$20</definedName>
    <definedName name="tlInputSecurityTimeline">tlIT!$O$10</definedName>
    <definedName name="tlInputTeamName">tlIntro!$C$9</definedName>
    <definedName name="tlInputTeamNumber">tlIntro!$C$6</definedName>
    <definedName name="tlInputTextButton1">InfoButton!$D$30</definedName>
    <definedName name="tlInputTextButton10">InfoButton!$D$39</definedName>
    <definedName name="tlInputTextButton11">InfoButton!$D$40</definedName>
    <definedName name="tlInputTextButton12">InfoButton!$D$41</definedName>
    <definedName name="tlInputTextButton13">InfoButton!$D$42</definedName>
    <definedName name="tlInputTextButton14">InfoButton!$D$43</definedName>
    <definedName name="tlInputTextButton15">InfoButton!$D$44</definedName>
    <definedName name="tlInputTextButton16">InfoButton!$D$45</definedName>
    <definedName name="tlInputTextButton2">InfoButton!$D$31</definedName>
    <definedName name="tlInputTextButton3">InfoButton!$D$32</definedName>
    <definedName name="tlInputTextButton4">InfoButton!$D$33</definedName>
    <definedName name="tlInputTextButton5">InfoButton!$D$34</definedName>
    <definedName name="tlInputTextButton6">InfoButton!$D$35</definedName>
    <definedName name="tlInputTextButton7">InfoButton!$D$36</definedName>
    <definedName name="tlInputTextButton8">InfoButton!$D$37</definedName>
    <definedName name="tlInputTextButton9">InfoButton!$D$38</definedName>
    <definedName name="tlInputTimelineBudget">tlTimeline!$Z$41</definedName>
    <definedName name="tlInputTimeOptions">Graphs!$G$18:$G$23</definedName>
    <definedName name="tlInputTimeValues">Graphs!$H$18:$H$23</definedName>
    <definedName name="tlInputV2MOMRisk1">tlV2MOM!$C$29</definedName>
    <definedName name="tlInputV2MOMRisk2">tlV2MOM!$C$31</definedName>
    <definedName name="tlInputV2MOMRisk3">tlV2MOM!$C$33</definedName>
    <definedName name="TLInputV2MOMValue1">tlV2MOM!$C$20</definedName>
    <definedName name="TLInputV2MOMValue1Desc">tlV2MOM!$H$20</definedName>
    <definedName name="tlInputV2MOMValue1Rank">tlV2MOM!$E$20</definedName>
    <definedName name="TLInputV2MOMValue2">tlV2MOM!$C$16</definedName>
    <definedName name="TLInputV2MOMValue2Desc">tlV2MOM!$H$16</definedName>
    <definedName name="tlInputV2MOMValue2Rank">tlV2MOM!$E$16</definedName>
    <definedName name="TLInputV2MOMValue3">tlV2MOM!$C$18</definedName>
    <definedName name="TLInputV2MOMValue3Desc">tlV2MOM!$H$18</definedName>
    <definedName name="tlInputV2MOMValue3Rank">tlV2MOM!$E$18</definedName>
    <definedName name="TLInputV2MOMValue4">tlV2MOM!$C$22</definedName>
    <definedName name="TLInputV2MOMValue4Desc">tlV2MOM!$H$22</definedName>
    <definedName name="tlInputV2MOMValue4Rank">tlV2MOM!$E$22</definedName>
    <definedName name="TLInputV2MOMValue5">tlV2MOM!$C$24</definedName>
    <definedName name="TLInputV2MOMValue5Desc">tlV2MOM!$H$24</definedName>
    <definedName name="tlInputV2MOMValue5Rank">tlV2MOM!$E$24</definedName>
    <definedName name="TlInputV2MOMVision">tlV2MOM!$C$10</definedName>
    <definedName name="tlInputValuesSubmitted">tlV2MOM!$L$43</definedName>
    <definedName name="tlInputWobbler1">tlTimeline!$AC$9</definedName>
    <definedName name="tlInputWobbler10">tlTimeline!$AC$18</definedName>
    <definedName name="tlInputWobbler2">tlTimeline!$AC$10</definedName>
    <definedName name="tlInputWobbler3">tlTimeline!$AC$11</definedName>
    <definedName name="tlInputWobbler4">tlTimeline!$AC$12</definedName>
    <definedName name="tlInputWobbler5">tlTimeline!$AC$13</definedName>
    <definedName name="tlInputWobbler6">tlTimeline!$AC$14</definedName>
    <definedName name="tlInputWobbler7">tlTimeline!$AC$15</definedName>
    <definedName name="tlInputWobbler8">tlTimeline!$AC$16</definedName>
    <definedName name="tlInputWobbler9">tlTimeline!$AC$17</definedName>
    <definedName name="tlIOutputFullBrandIntExp">tlGTM!$G$13</definedName>
    <definedName name="tlOuputSecurityFullCostTitle">tlIT!$R$13</definedName>
    <definedName name="tlOuputSecurityP0Title">tlIT!$K$13</definedName>
    <definedName name="tlOuputSecurityP1Title">tlIT!$M$13</definedName>
    <definedName name="tlOuputSecurityP2Title">tlIT!$O$13</definedName>
    <definedName name="tlOuputSecurityTitle">tlIT!$K$8</definedName>
    <definedName name="tlOutput3Risklbl">tlV2MOM!$E$27</definedName>
    <definedName name="tlOutputACVScen1">tlScenarios!$L$10</definedName>
    <definedName name="tlOutputACVScen2">tlScenarios!$L$12</definedName>
    <definedName name="tlOutputACVScen3">tlScenarios!$L$14</definedName>
    <definedName name="tlOutputACVScen4">tlScenarios!$L$16</definedName>
    <definedName name="tlOutputACVScen5">tlScenarios!$L$18</definedName>
    <definedName name="tlOutputACVScen6">tlScenarios!$L$20</definedName>
    <definedName name="tlOutputACVScen7">tlScenarios!$L$22</definedName>
    <definedName name="tlOutputACVScen8">tlScenarios!$L$24</definedName>
    <definedName name="tlOutputBrandIntTitle">tlGTM!$C$13</definedName>
    <definedName name="tlOutputBudgetLeft">Graphs!$C$9</definedName>
    <definedName name="tlOutputBudgetScen1">tlScenarios!$M$10</definedName>
    <definedName name="tlOutputBudgetScen2">tlScenarios!$M$12</definedName>
    <definedName name="tlOutputBudgetScen3">tlScenarios!$M$14</definedName>
    <definedName name="tlOutputBudgetScen4">tlScenarios!$M$16</definedName>
    <definedName name="tlOutputBudgetScen5">tlScenarios!$M$18</definedName>
    <definedName name="tlOutputBudgetScen6">tlScenarios!$M$20</definedName>
    <definedName name="tlOutputBudgetScen7">tlScenarios!$M$22</definedName>
    <definedName name="tlOutputBudgetScen8">tlScenarios!$M$24</definedName>
    <definedName name="tlOutputBudgetValidationY1">tlTimeline!$Z$12</definedName>
    <definedName name="tlOutputBudgetValidationY2">tlTimeline!$Z$13</definedName>
    <definedName name="tlOutputCostBO">Graphs!$C$6</definedName>
    <definedName name="tlOutputCostEvents">Graphs!$C$8</definedName>
    <definedName name="tlOutputCostGTM">Graphs!$C$4</definedName>
    <definedName name="tlOutputCostPeople">Graphs!$C$5</definedName>
    <definedName name="tlOutputCostProduct">Graphs!$C$3</definedName>
    <definedName name="tlOutputCostTrust">Graphs!$C$7</definedName>
    <definedName name="tlOutputCSATScen1">tlScenarios!$K$10</definedName>
    <definedName name="tlOutputCSATScen2">tlScenarios!$K$12</definedName>
    <definedName name="tlOutputCSATScen3">tlScenarios!$K$14</definedName>
    <definedName name="tlOutputCSATScen4">tlScenarios!$K$16</definedName>
    <definedName name="tlOutputCSATScen5">tlScenarios!$K$18</definedName>
    <definedName name="tlOutputCSATScen6">tlScenarios!$K$20</definedName>
    <definedName name="tlOutputCSATScen7">tlScenarios!$K$22</definedName>
    <definedName name="tlOutputCSATScen8">tlScenarios!$K$24</definedName>
    <definedName name="tlOutputCSGTitle">tlGTM!$C$11</definedName>
    <definedName name="tlOutputDash1Title1">Dashboard!$C$26</definedName>
    <definedName name="tlOutputDash1Title2">Dashboard!$C$27</definedName>
    <definedName name="tlOutputDash1Title3">Dashboard!$C$28</definedName>
    <definedName name="tlOutputDash2Title1">Dashboard!$C$40</definedName>
    <definedName name="tlOutputDash2Title2">Dashboard!$C$41</definedName>
    <definedName name="tlOutputDash2Title3">Dashboard!$C$42</definedName>
    <definedName name="tlOutputDash3Title1">Dashboard!$C$54</definedName>
    <definedName name="tlOutputDash3Title2">Dashboard!$C$55</definedName>
    <definedName name="tlOutputDash3Title3">Dashboard!$C$56</definedName>
    <definedName name="tlOutputDashCSAT">Dashboard!$F$54</definedName>
    <definedName name="tlOutputDashDisrupt">Dashboard!$F$40</definedName>
    <definedName name="tlOutputDashESAT">Dashboard!$F$55</definedName>
    <definedName name="tlOutputDashGrowth">Dashboard!$F$27</definedName>
    <definedName name="tlOutputDashOpMargin">Dashboard!$F$28</definedName>
    <definedName name="tlOutputDashRev">Dashboard!$F$26</definedName>
    <definedName name="tlOutputDashTrust">Dashboard!$F$56</definedName>
    <definedName name="tlOutputDashY1Budget">Dashboard!$F$41</definedName>
    <definedName name="tlOutputDashY2Budget">Dashboard!$F$42</definedName>
    <definedName name="tlOutputDescr1">tlScenarios!$E$10</definedName>
    <definedName name="tlOutputDescr2">tlScenarios!$E$12</definedName>
    <definedName name="tlOutputDescr3">tlScenarios!$E$14</definedName>
    <definedName name="tlOutputDescr4">tlScenarios!$E$16</definedName>
    <definedName name="tlOutputDescr5">tlScenarios!$E$18</definedName>
    <definedName name="tlOutputDescr6">tlScenarios!$E$20</definedName>
    <definedName name="tlOutputDescr7">tlScenarios!$E$22</definedName>
    <definedName name="tlOutputDescr8">tlScenarios!$E$24</definedName>
    <definedName name="tlOutputDisruptionScen1">tlScenarios!$H$10</definedName>
    <definedName name="tlOutputDisruptionScen2">tlScenarios!$H$12</definedName>
    <definedName name="tlOutputDisruptionScen3">tlScenarios!$H$14</definedName>
    <definedName name="tlOutputDisruptionScen4">tlScenarios!$H$16</definedName>
    <definedName name="tlOutputDisruptionScen5">tlScenarios!$H$18</definedName>
    <definedName name="tlOutputDisruptionScen6">tlScenarios!$H$20</definedName>
    <definedName name="tlOutputDisruptionScen7">tlScenarios!$H$22</definedName>
    <definedName name="tlOutputDisruptionScen8">tlScenarios!$H$24</definedName>
    <definedName name="tlOutputEngagement">Graphs!$B$16</definedName>
    <definedName name="tlOutputESATScen1">tlScenarios!$I$10</definedName>
    <definedName name="tlOutputESATScen2">tlScenarios!$I$12</definedName>
    <definedName name="tlOutputESATScen3">tlScenarios!$I$14</definedName>
    <definedName name="tlOutputESATScen4">tlScenarios!$I$16</definedName>
    <definedName name="tlOutputESATScen5">tlScenarios!$I$18</definedName>
    <definedName name="tlOutputESATScen6">tlScenarios!$I$20</definedName>
    <definedName name="tlOutputESATScen7">tlScenarios!$I$22</definedName>
    <definedName name="tlOutputESATScen8">tlScenarios!$I$24</definedName>
    <definedName name="tlOutputFeatureEnhanceTitle">tlProduct!$M$12</definedName>
    <definedName name="tlOutputFormatDash1Part1">Dashboard!$K$26</definedName>
    <definedName name="tlOutputFormatDash1Part2">Dashboard!$K$27</definedName>
    <definedName name="tlOutputFormatDash1Part3">Dashboard!$K$28</definedName>
    <definedName name="tlOutputFormatDash2Part1">Dashboard!$K$40</definedName>
    <definedName name="tlOutputFormatDash2Part2">Dashboard!$K$41</definedName>
    <definedName name="tlOutputFormatDash2Part3">Dashboard!$K$42</definedName>
    <definedName name="tlOutputFormatDash3Part1">Dashboard!$K$54</definedName>
    <definedName name="tlOutputFormatDash3Part2">Dashboard!$K$55</definedName>
    <definedName name="tlOutputFormatDash3Part3">Dashboard!$K$56</definedName>
    <definedName name="tlOutputFullCSGExp">tlGTM!$G$11</definedName>
    <definedName name="tlOutputFullExternalSalesExp">tlGTM!$O$9</definedName>
    <definedName name="tlOutputFullITExp">tlIT!$G$13</definedName>
    <definedName name="tlOutputFullITExpTitle">tlIT!$G$12</definedName>
    <definedName name="tlOutputFullLeadPassExp">tlGTM!$O$11</definedName>
    <definedName name="tlOutputFullOrg62Exp">tlGTM!$G$9</definedName>
    <definedName name="tlOutputFullStackExp">tlProduct!$O$12</definedName>
    <definedName name="tlOutputGTMIntPlanning">tlGTM!$C$6</definedName>
    <definedName name="tlOutputGTMLtCTimeTitle">tlGTM!$C$9</definedName>
    <definedName name="tlOutputGTMQ1ACV">tlGTM!$G$16</definedName>
    <definedName name="tlOutputGTMQ1ConsOpMargin">tlGTM!$G$30</definedName>
    <definedName name="tlOutputGTMQ1GrossMargin">tlGTM!$G$20</definedName>
    <definedName name="tlOutputGTMQ1GrossProfit">tlGTM!$G$19</definedName>
    <definedName name="tlOutputGTMQ1Harm">tlGTM!$G$25</definedName>
    <definedName name="tlOutputGTMQ1IntCost">tlGTM!$G$26</definedName>
    <definedName name="tlOutputGTMQ1IntCosts">tlGTM!$G$27</definedName>
    <definedName name="tlOutputGTMQ1OpEx">tlGTM!$G$21</definedName>
    <definedName name="tlOutputGTMQ1OpMargin">tlGTM!$G$23</definedName>
    <definedName name="tlOutputGTMQ1OpProfit">tlGTM!$G$22</definedName>
    <definedName name="tlOutputGTMQ1OpProfitCons">tlGTM!$G$29</definedName>
    <definedName name="tlOutputGTMQ1Revenue">tlGTM!$G$17</definedName>
    <definedName name="tlOutputGTMQ1Title">tlGTM!$G$15</definedName>
    <definedName name="tlOutputGTMQ2ACV">tlGTM!$I$16</definedName>
    <definedName name="tlOutputGTMQ2ConsOpMargin">tlGTM!$I$30</definedName>
    <definedName name="tlOutputGTMQ2GrossMargin">tlGTM!$I$20</definedName>
    <definedName name="tlOutputGTMQ2GrossProfit">tlGTM!$I$19</definedName>
    <definedName name="tlOutputGTMQ2Harm">tlGTM!$I$25</definedName>
    <definedName name="tlOutputGTMQ2IntCost">tlGTM!$I$26</definedName>
    <definedName name="tlOutputGTMQ2IntCosts">tlGTM!$I$27</definedName>
    <definedName name="tlOutputGTMQ2OpEx">tlGTM!$I$21</definedName>
    <definedName name="tlOutputGTMQ2OpMargin">tlGTM!$I$23</definedName>
    <definedName name="tlOutputGTMQ2OpProfit">tlGTM!$I$22</definedName>
    <definedName name="tlOutputGTMQ2OpProfitCons">tlGTM!$I$29</definedName>
    <definedName name="tlOutputGTMQ2Revenue">tlGTM!$I$17</definedName>
    <definedName name="tlOutputGTMQ2Title">tlGTM!$I$15</definedName>
    <definedName name="tlOutputGTMQ3ACV">tlGTM!$K$16</definedName>
    <definedName name="tlOutputGTMQ3ConsOpMargin">tlGTM!$K$30</definedName>
    <definedName name="tlOutputGTMQ3GrossMargin">tlGTM!$K$20</definedName>
    <definedName name="tlOutputGTMQ3GrossProfit">tlGTM!$K$19</definedName>
    <definedName name="tlOutputGTMQ3Harm">tlGTM!$K$25</definedName>
    <definedName name="tlOutputGTMQ3IntCost">tlGTM!$K$26</definedName>
    <definedName name="tlOutputGTMQ3IntCosts">tlGTM!$K$27</definedName>
    <definedName name="tlOutputGTMQ3OpEx">tlGTM!$K$21</definedName>
    <definedName name="tlOutputGTMQ3OpMargin">tlGTM!$K$23</definedName>
    <definedName name="tlOutputGTMQ3OpProfit">tlGTM!$K$22</definedName>
    <definedName name="tlOutputGTMQ3OpProfitCons">tlGTM!$K$29</definedName>
    <definedName name="tlOutputGTMQ3Revenue">tlGTM!$K$17</definedName>
    <definedName name="tlOutputGTMQ3Title">tlGTM!$K$15</definedName>
    <definedName name="tlOutputGTMQ4ACV">tlGTM!$M$16</definedName>
    <definedName name="tlOutputGTMQ4ConsOpMargin">tlGTM!$M$30</definedName>
    <definedName name="tlOutputGTMQ4GrossMargin">tlGTM!$M$20</definedName>
    <definedName name="tlOutputGTMQ4GrossProfit">tlGTM!$M$19</definedName>
    <definedName name="tlOutputGTMQ4Harm">tlGTM!$M$25</definedName>
    <definedName name="tlOutputGTMQ4IntCost">tlGTM!$M$26</definedName>
    <definedName name="tlOutputGTMQ4IntCosts">tlGTM!$M$27</definedName>
    <definedName name="tlOutputGTMQ4OpEx">tlGTM!$M$21</definedName>
    <definedName name="tlOutputGTMQ4OpMargin">tlGTM!$M$23</definedName>
    <definedName name="tlOutputGTMQ4OpProfit">tlGTM!$M$22</definedName>
    <definedName name="tlOutputGTMQ4OpProfitCons">tlGTM!$M$29</definedName>
    <definedName name="tlOutputGTMQ4Revenue">tlGTM!$M$17</definedName>
    <definedName name="tlOutputGTMQ4Title">tlGTM!$M$15</definedName>
    <definedName name="tlOutputGTMTitleACV">tlGTM!$C$16</definedName>
    <definedName name="tlOutputGTMTitleConsOpMargin">tlGTM!$C$30</definedName>
    <definedName name="tlOutputGTMTitleFinancials">tlGTM!$C$15</definedName>
    <definedName name="tlOutputGTMTitleGrossMargin">tlGTM!$C$20</definedName>
    <definedName name="tlOutputGTMTitleGrossProfit">tlGTM!$C$19</definedName>
    <definedName name="tlOutputGTMTitleHarm">tlGTM!$C$25</definedName>
    <definedName name="tlOutputGTMTitleIntCosts">tlGTM!$C$26</definedName>
    <definedName name="tlOutputGTMTitleIntCostTitle">tlGTM!$C$24</definedName>
    <definedName name="tlOutputGTMTitleIntOpProfit">tlGTM!$C$29</definedName>
    <definedName name="tlOutputGTMTitleOpEx">tlGTM!$C$21</definedName>
    <definedName name="tlOutputGTMTitleOpMargin">tlGTM!$C$23</definedName>
    <definedName name="tlOutputGTMTitleOpProfit">tlGTM!$C$22</definedName>
    <definedName name="tlOutputGTMTitleRevenue">tlGTM!$C$17</definedName>
    <definedName name="tlOutputGTMTitleTotalIntCosts">tlGTM!$C$27</definedName>
    <definedName name="tlOutputGTMY0ACV">tlGTM!$E$16</definedName>
    <definedName name="tlOutputGTMY0ConsOpMargin">tlGTM!$E$30</definedName>
    <definedName name="tlOutputGTMY0GrossMargin">tlGTM!$E$20</definedName>
    <definedName name="tlOutputGTMY0GrossProfit">tlGTM!$E$19</definedName>
    <definedName name="tlOutputGTMY0Harm">tlGTM!$E$25</definedName>
    <definedName name="tlOutputGTMY0IntCost">tlGTM!$E$26</definedName>
    <definedName name="tlOutputGTMY0IntCosts">tlGTM!$E$27</definedName>
    <definedName name="tlOutputGTMY0OpEx">tlGTM!$E$21</definedName>
    <definedName name="tlOutputGTMY0OpMargin">tlGTM!$E$23</definedName>
    <definedName name="tlOutputGTMY0OpProfit">tlGTM!$E$22</definedName>
    <definedName name="tlOutputGTMY0OpProfitCons">tlGTM!$E$29</definedName>
    <definedName name="tlOutputGTMY0Revenue">tlGTM!$E$17</definedName>
    <definedName name="tlOutputGTMY0Title">tlGTM!$E$15</definedName>
    <definedName name="tlOutputGTMY1ACV">tlGTM!$O$16</definedName>
    <definedName name="tlOutputGTMY1ConsOpMargin">tlGTM!$O$30</definedName>
    <definedName name="tlOutputGTMY1GrossMargin">tlGTM!$O$20</definedName>
    <definedName name="tlOutputGTMY1GrossProfit">tlGTM!$O$19</definedName>
    <definedName name="tlOutputGTMY1Harm">tlGTM!$O$25</definedName>
    <definedName name="tlOutputGTMY1IntCost">tlGTM!$O$26</definedName>
    <definedName name="tlOutputGTMY1IntCosts">tlGTM!$O$27</definedName>
    <definedName name="tlOutputGTMY1OpEx">tlGTM!$O$21</definedName>
    <definedName name="tlOutputGTMY1OpMargin">tlGTM!$O$23</definedName>
    <definedName name="tlOutputGTMY1OpProfit">tlGTM!$O$22</definedName>
    <definedName name="tlOutputGTMY1OpProfitCons">tlGTM!$O$29</definedName>
    <definedName name="tlOutputGTMY1Revenue">tlGTM!$O$17</definedName>
    <definedName name="tlOutputGTMY1Title">tlGTM!$O$15</definedName>
    <definedName name="tlOutputGTMY2ACV">tlGTM!$R$16</definedName>
    <definedName name="tlOutputGTMY2ConsOpMargin">tlGTM!$R$30</definedName>
    <definedName name="tlOutputGTMY2GrossMargin">tlGTM!$R$20</definedName>
    <definedName name="tlOutputGTMY2GrossProfit">tlGTM!$R$19</definedName>
    <definedName name="tlOutputGTMY2Harm">tlGTM!$R$25</definedName>
    <definedName name="tlOutputGTMY2IntCost">tlGTM!$R$26</definedName>
    <definedName name="tlOutputGTMY2IntCosts">tlGTM!$R$27</definedName>
    <definedName name="tlOutputGTMY2OpEx">tlGTM!$R$21</definedName>
    <definedName name="tlOutputGTMY2OpMargin">tlGTM!$R$23</definedName>
    <definedName name="tlOutputGTMY2OpProfit">tlGTM!$R$22</definedName>
    <definedName name="tlOutputGTMY2OpProfitCons">tlGTM!$R$29</definedName>
    <definedName name="tlOutputGTMY2Revenue">tlGTM!$R$17</definedName>
    <definedName name="tlOutputGTMY2Title">tlGTM!$R$15</definedName>
    <definedName name="tlOutputGTMY5ACV">tlGTM!$T$16</definedName>
    <definedName name="tlOutputGTMY5ConsOpMargin">tlGTM!$T$30</definedName>
    <definedName name="tlOutputGTMY5GrossMargin">tlGTM!$T$20</definedName>
    <definedName name="tlOutputGTMY5GrossProfit">tlGTM!$T$19</definedName>
    <definedName name="tlOutputGTMY5Harm">tlGTM!$T$25</definedName>
    <definedName name="tlOutputGTMY5IntCost">tlGTM!$T$26</definedName>
    <definedName name="tlOutputGTMY5IntCosts">tlGTM!$T$27</definedName>
    <definedName name="tlOutputGTMY5OpEx">tlGTM!$T$21</definedName>
    <definedName name="tlOutputGTMY5OpMargin">tlGTM!$T$23</definedName>
    <definedName name="tlOutputGTMY5OpProfit">tlGTM!$T$22</definedName>
    <definedName name="tlOutputGTMY5OpProfitCons">tlGTM!$T$29</definedName>
    <definedName name="tlOutputGTMY5Revenue">tlGTM!$T$17</definedName>
    <definedName name="tlOutputGTMY5Title">tlGTM!$T$15</definedName>
    <definedName name="tlOutputHarmLevelTitle">tlPeople!$C$12</definedName>
    <definedName name="tlOutputImmediateSecurityCost">tlIT!$R$15</definedName>
    <definedName name="tlOutputIntLevel1">tlIT!$C$16</definedName>
    <definedName name="tlOutputIntLevel2">tlIT!$E$16</definedName>
    <definedName name="tlOutputIntLevel3">tlIT!$G$16</definedName>
    <definedName name="tlOutputIntLevel4">tlIT!$I$16</definedName>
    <definedName name="tlOutputITBackOfficeTimelineTitle">tlIT!$C$10</definedName>
    <definedName name="tlOutputITBackOfficeTitle">tlIT!$C$8</definedName>
    <definedName name="tlOutputITEmpIntTitle">tlIT!$C$13</definedName>
    <definedName name="tlOutputITIntPlanning">tlIT!$C$6</definedName>
    <definedName name="tlOutputITIntSpecificsTitle">tlIT!$C$15</definedName>
    <definedName name="tlOutputITQ1ACV">tlIT!$G$23</definedName>
    <definedName name="tlOutputITQ1ConsOpMargin">tlIT!$G$37</definedName>
    <definedName name="tlOutputITQ1GrossMargin">tlIT!$G$27</definedName>
    <definedName name="tlOutputITQ1GrossProfit">tlIT!$G$26</definedName>
    <definedName name="tlOutputITQ1Harm">tlIT!$G$32</definedName>
    <definedName name="tlOutputITQ1IntCost">tlIT!$G$33</definedName>
    <definedName name="tlOutputITQ1IntCosts">tlIT!$G$34</definedName>
    <definedName name="tlOutputITQ1OpEx">tlIT!$G$28</definedName>
    <definedName name="tlOutputITQ1OpMargin">tlIT!$G$30</definedName>
    <definedName name="tlOutputITQ1OpProfit">tlIT!$G$29</definedName>
    <definedName name="tlOutputITQ1OpProfitCons">tlIT!$G$36</definedName>
    <definedName name="tlOutputITQ1Revenue">tlIT!$G$24</definedName>
    <definedName name="tlOutputITQ1Title">tlIT!$G$22</definedName>
    <definedName name="tlOutputITQ2ACV">tlIT!$I$23</definedName>
    <definedName name="tlOutputITQ2ConsOpMargin">tlIT!$I$37</definedName>
    <definedName name="tlOutputITQ2GrossMargin">tlIT!$I$27</definedName>
    <definedName name="tlOutputITQ2GrossProfit">tlIT!$I$26</definedName>
    <definedName name="tlOutputITQ2Harm">tlIT!$I$32</definedName>
    <definedName name="tlOutputITQ2IntCost">tlIT!$I$33</definedName>
    <definedName name="tlOutputITQ2IntCosts">tlIT!$I$34</definedName>
    <definedName name="tlOutputITQ2OpEx">tlIT!$I$28</definedName>
    <definedName name="tlOutputITQ2OpMargin">tlIT!$I$30</definedName>
    <definedName name="tlOutputITQ2OpProfit">tlIT!$I$29</definedName>
    <definedName name="tlOutputITQ2OpProfitCons">tlIT!$I$36</definedName>
    <definedName name="tlOutputITQ2Revenue">tlIT!$I$24</definedName>
    <definedName name="tlOutputITQ2Title">tlIT!$I$22</definedName>
    <definedName name="tlOutputITQ3ACV">tlIT!$K$23</definedName>
    <definedName name="tlOutputITQ3ConsOpMargin">tlIT!$K$37</definedName>
    <definedName name="tlOutputITQ3GrossMargin">tlIT!$K$27</definedName>
    <definedName name="tlOutputITQ3GrossProfit">tlIT!$K$26</definedName>
    <definedName name="tlOutputITQ3Harm">tlIT!$K$32</definedName>
    <definedName name="tlOutputITQ3IntCost">tlIT!$K$33</definedName>
    <definedName name="tlOutputITQ3IntCosts">tlIT!$K$34</definedName>
    <definedName name="tlOutputITQ3OpEx">tlIT!$K$28</definedName>
    <definedName name="tlOutputITQ3OpMargin">tlIT!$K$30</definedName>
    <definedName name="tlOutputITQ3OpProfit">tlIT!$K$29</definedName>
    <definedName name="tlOutputITQ3OpProfitCons">tlIT!$K$36</definedName>
    <definedName name="tlOutputITQ3Revenue">tlIT!$K$24</definedName>
    <definedName name="tlOutputITQ3Title">tlIT!$K$22</definedName>
    <definedName name="tlOutputITQ4ACV">tlIT!$M$23</definedName>
    <definedName name="tlOutputITQ4ConsOpMargin">tlIT!$M$37</definedName>
    <definedName name="tlOutputITQ4GrossMargin">tlIT!$M$27</definedName>
    <definedName name="tlOutputITQ4GrossProfit">tlIT!$M$26</definedName>
    <definedName name="tlOutputITQ4Harm">tlIT!$M$32</definedName>
    <definedName name="tlOutputITQ4IntCost">tlIT!$M$33</definedName>
    <definedName name="tlOutputITQ4IntCosts">tlIT!$M$34</definedName>
    <definedName name="tlOutputITQ4OpEx">tlIT!$M$28</definedName>
    <definedName name="tlOutputITQ4OpMargin">tlIT!$M$30</definedName>
    <definedName name="tlOutputITQ4OpProfit">tlIT!$M$29</definedName>
    <definedName name="tlOutputITQ4OpProfitCons">tlIT!$M$36</definedName>
    <definedName name="tlOutputITQ4Revenue">tlIT!$M$24</definedName>
    <definedName name="tlOutputITQ4Title">tlIT!$M$22</definedName>
    <definedName name="tlOutputITTitleACV">tlIT!$C$23</definedName>
    <definedName name="tlOutputITTitleConsOpMargin">tlIT!$C$37</definedName>
    <definedName name="tlOutputITTitleFinancials">tlIT!$C$22</definedName>
    <definedName name="tlOutputITTitleGrossMargin">tlIT!$C$27</definedName>
    <definedName name="tlOutputITTitleGrossProfit">tlIT!$C$26</definedName>
    <definedName name="tlOutputITTitleHarm">tlIT!$C$32</definedName>
    <definedName name="tlOutputITTitleIntCosts">tlIT!$C$33</definedName>
    <definedName name="tlOutputITTitleIntCostTitle">tlIT!$C$31</definedName>
    <definedName name="tlOutputITTitleIntOpProfit">tlIT!$C$36</definedName>
    <definedName name="tlOutputITTitleOpEx">tlIT!$C$28</definedName>
    <definedName name="tlOutputITTitleOpMargin">tlIT!$C$30</definedName>
    <definedName name="tlOutputITTitleOpProfit">tlIT!$C$29</definedName>
    <definedName name="tlOutputITTitleRevenue">tlIT!$C$24</definedName>
    <definedName name="tlOutputITTitleTotalIntCosts">tlIT!$C$34</definedName>
    <definedName name="tlOutputITY0ACV">tlIT!$E$23</definedName>
    <definedName name="tlOutputITY0ConsOpMargin">tlIT!$E$37</definedName>
    <definedName name="tlOutputITY0GrossMargin">tlIT!$E$27</definedName>
    <definedName name="tlOutputITY0GrossProfit">tlIT!$E$26</definedName>
    <definedName name="tlOutputITY0Harm">tlIT!$E$32</definedName>
    <definedName name="tlOutputITY0IntCost">tlIT!$E$33</definedName>
    <definedName name="tlOutputITY0IntCosts">tlIT!$E$34</definedName>
    <definedName name="tlOutputITY0OpEx">tlIT!$E$28</definedName>
    <definedName name="tlOutputITY0OpMargin">tlIT!$E$30</definedName>
    <definedName name="tlOutputITY0OpProfit">tlIT!$E$29</definedName>
    <definedName name="tlOutputITY0OpProfitCons">tlIT!$E$36</definedName>
    <definedName name="tlOutputITY0Revenue">tlIT!$E$24</definedName>
    <definedName name="tlOutputITY0Title">tlIT!$E$22</definedName>
    <definedName name="tlOutputITY1ACV">tlIT!$O$23</definedName>
    <definedName name="tlOutputITY1ConsOpMargin">tlIT!$O$37</definedName>
    <definedName name="tlOutputITY1GrossMargin">tlIT!$O$27</definedName>
    <definedName name="tlOutputITY1GrossProfit">tlIT!$O$26</definedName>
    <definedName name="tlOutputITY1Harm">tlIT!$O$32</definedName>
    <definedName name="tlOutputITY1IntCost">tlIT!$O$33</definedName>
    <definedName name="tlOutputITY1IntCosts">tlIT!$O$34</definedName>
    <definedName name="tlOutputITY1OpEx">tlIT!$O$28</definedName>
    <definedName name="tlOutputITY1OpMargin">tlIT!$O$30</definedName>
    <definedName name="tlOutputITY1OpProfit">tlIT!$O$29</definedName>
    <definedName name="tlOutputITY1OpProfitCons">tlIT!$O$36</definedName>
    <definedName name="tlOutputITY1Revenue">tlIT!$O$24</definedName>
    <definedName name="tlOutputITY1Title">tlIT!$O$22</definedName>
    <definedName name="tlOutputITY2ACV">tlIT!$R$23</definedName>
    <definedName name="tlOutputITY2ConsOpMargin">tlIT!$R$37</definedName>
    <definedName name="tlOutputITY2GrossMargin">tlIT!$R$27</definedName>
    <definedName name="tlOutputITY2GrossProfit">tlIT!$R$26</definedName>
    <definedName name="tlOutputITY2Harm">tlIT!$R$32</definedName>
    <definedName name="tlOutputITY2IntCost">tlIT!$R$33</definedName>
    <definedName name="tlOutputITY2IntCosts">tlIT!$R$34</definedName>
    <definedName name="tlOutputITY2OpEx">tlIT!$R$28</definedName>
    <definedName name="tlOutputITY2OpMargin">tlIT!$R$30</definedName>
    <definedName name="tlOutputITY2OpProfit">tlIT!$R$29</definedName>
    <definedName name="tlOutputITY2OpProfitCons">tlIT!$R$36</definedName>
    <definedName name="tlOutputITY2Revenue">tlIT!$R$24</definedName>
    <definedName name="tlOutputITY2Title">tlIT!$R$22</definedName>
    <definedName name="tlOutputITY5ACV">tlIT!$T$23</definedName>
    <definedName name="tlOutputITY5ConsOpMargin">tlIT!$T$37</definedName>
    <definedName name="tlOutputITY5GrossMargin">tlIT!$T$27</definedName>
    <definedName name="tlOutputITY5GrossProfit">tlIT!$T$26</definedName>
    <definedName name="tlOutputITY5Harm">tlIT!$T$32</definedName>
    <definedName name="tlOutputITY5IntCost">tlIT!$T$33</definedName>
    <definedName name="tlOutputITY5IntCosts">tlIT!$T$34</definedName>
    <definedName name="tlOutputITY5OpEx">tlIT!$T$28</definedName>
    <definedName name="tlOutputITY5OpMargin">tlIT!$T$30</definedName>
    <definedName name="tlOutputITY5OpProfit">tlIT!$T$29</definedName>
    <definedName name="tlOutputITY5OpProfitCons">tlIT!$T$36</definedName>
    <definedName name="tlOutputITY5Revenue">tlIT!$T$24</definedName>
    <definedName name="tlOutputITY5Title">tlIT!$T$22</definedName>
    <definedName name="tlOutputKeyHarmExp">tlPeople!$E$14</definedName>
    <definedName name="tlOutputLeadPassTitle">tlGTM!$K$11</definedName>
    <definedName name="tlOutputNonKeyHarmExp">tlPeople!$I$14</definedName>
    <definedName name="tlOutputNonKeyHarmLevelTitle">tlPeople!$G$12</definedName>
    <definedName name="tlOutputOpeningRev">Dashboard!$L$27</definedName>
    <definedName name="tlOutputPeopleCostlbl">tlPeople!$C$14</definedName>
    <definedName name="tlOutputPeopleDash1">tlPeople!$C$3</definedName>
    <definedName name="tlOutputPeopleDash2">tlPeople!$C$4</definedName>
    <definedName name="tlOutputPeopleDash3">tlPeople!$C$5</definedName>
    <definedName name="tlOutputPeopleHarmonizationLevelTitle">tlPeople!$C$11</definedName>
    <definedName name="tlOutputPeopleIntPlanning">tlPeople!$C$6</definedName>
    <definedName name="tlOutputPeopleQ1ACV">tlPeople!$G$17</definedName>
    <definedName name="tlOutputPeopleQ1ConsOpMargin">tlPeople!$G$31</definedName>
    <definedName name="tlOutputPeopleQ1GrossMargin">tlPeople!$G$21</definedName>
    <definedName name="tlOutputPeopleQ1GrossProfit">tlPeople!$G$20</definedName>
    <definedName name="tlOutputPeopleQ1Harm">tlPeople!$G$26</definedName>
    <definedName name="tlOutputPeopleQ1IntCost">tlPeople!$G$27</definedName>
    <definedName name="tlOutputPeopleQ1IntCosts">tlPeople!$G$28</definedName>
    <definedName name="tlOutputPeopleQ1OpEx">tlPeople!$G$22</definedName>
    <definedName name="tlOutputPeopleQ1OpMargin">tlPeople!$G$24</definedName>
    <definedName name="tlOutputPeopleQ1OpProfit">tlPeople!$G$23</definedName>
    <definedName name="tlOutputPeopleQ1OpProfitCons">tlPeople!$G$30</definedName>
    <definedName name="tlOutputPeopleQ1Revenue">tlPeople!$G$18</definedName>
    <definedName name="tlOutputPeopleQ1Title">tlPeople!$G$16</definedName>
    <definedName name="tlOutputPeopleQ2ACV">tlPeople!$I$17</definedName>
    <definedName name="tlOutputPeopleQ2ConsOpMargin">tlPeople!$I$31</definedName>
    <definedName name="tlOutputPeopleQ2GrossMargin">tlPeople!$I$21</definedName>
    <definedName name="tlOutputPeopleQ2GrossProfit">tlPeople!$I$20</definedName>
    <definedName name="tlOutputPeopleQ2Harm">tlPeople!$I$26</definedName>
    <definedName name="tlOutputPeopleQ2IntCost">tlPeople!$I$27</definedName>
    <definedName name="tlOutputPeopleQ2IntCosts">tlPeople!$I$28</definedName>
    <definedName name="tlOutputPeopleQ2OpEx">tlPeople!$I$22</definedName>
    <definedName name="tlOutputPeopleQ2OpMargin">tlPeople!$I$24</definedName>
    <definedName name="tlOutputPeopleQ2OpProfit">tlPeople!$I$23</definedName>
    <definedName name="tlOutputPeopleQ2OpProfitCons">tlPeople!$I$30</definedName>
    <definedName name="tlOutputPeopleQ2Revenue">tlPeople!$I$18</definedName>
    <definedName name="tlOutputPeopleQ2Title">tlPeople!$I$16</definedName>
    <definedName name="tlOutputPeopleQ3ACV">tlPeople!$K$17</definedName>
    <definedName name="tlOutputPeopleQ3ConsOpMargin">tlPeople!$K$31</definedName>
    <definedName name="tlOutputPeopleQ3GrossMargin">tlPeople!$K$21</definedName>
    <definedName name="tlOutputPeopleQ3GrossProfit">tlPeople!$K$20</definedName>
    <definedName name="tlOutputPeopleQ3Harm">tlPeople!$K$26</definedName>
    <definedName name="tlOutputPeopleQ3IntCost">tlPeople!$K$27</definedName>
    <definedName name="tlOutputPeopleQ3IntCosts">tlPeople!$K$28</definedName>
    <definedName name="tlOutputPeopleQ3OpEx">tlPeople!$K$22</definedName>
    <definedName name="tlOutputPeopleQ3OpMargin">tlPeople!$K$24</definedName>
    <definedName name="tlOutputPeopleQ3OpProfit">tlPeople!$K$23</definedName>
    <definedName name="tlOutputPeopleQ3OpProfitCons">tlPeople!$K$30</definedName>
    <definedName name="tlOutputPeopleQ3Revenue">tlPeople!$K$18</definedName>
    <definedName name="tlOutputPeopleQ3Title">tlPeople!$K$16</definedName>
    <definedName name="tlOutputPeopleQ4ACV">tlPeople!$M$17</definedName>
    <definedName name="tlOutputPeopleQ4ConsOpMargin">tlPeople!$M$31</definedName>
    <definedName name="tlOutputPeopleQ4GrossMargin">tlPeople!$M$21</definedName>
    <definedName name="tlOutputPeopleQ4GrossProfit">tlPeople!$M$20</definedName>
    <definedName name="tlOutputPeopleQ4Harm">tlPeople!$M$26</definedName>
    <definedName name="tlOutputPeopleQ4IntCost">tlPeople!$M$27</definedName>
    <definedName name="tlOutputPeopleQ4IntCosts">tlPeople!$M$28</definedName>
    <definedName name="tlOutputPeopleQ4OpEx">tlPeople!$M$22</definedName>
    <definedName name="tlOutputPeopleQ4OpMargin">tlPeople!$M$24</definedName>
    <definedName name="tlOutputPeopleQ4OpProfit">tlPeople!$M$23</definedName>
    <definedName name="tlOutputPeopleQ4OpProfitCons">tlPeople!$M$30</definedName>
    <definedName name="tlOutputPeopleQ4Revenue">tlPeople!$M$18</definedName>
    <definedName name="tlOutputPeopleQ4Title">tlPeople!$M$16</definedName>
    <definedName name="tlOutputPeopleTimelineTitle">tlPeople!$C$9</definedName>
    <definedName name="tlOutputPeopleTitleACV">tlPeople!$C$17</definedName>
    <definedName name="tlOutputPeopleTitleConsOpMargin">tlPeople!$C$31</definedName>
    <definedName name="tlOutputPeopleTitleFinancials">tlPeople!$C$16</definedName>
    <definedName name="tlOutputPeopleTitleGrossMargin">tlPeople!$C$21</definedName>
    <definedName name="tlOutputPeopleTitleGrossProfit">tlPeople!$C$20</definedName>
    <definedName name="tlOutputPeopleTitleHarm">tlPeople!$C$26</definedName>
    <definedName name="tlOutputPeopleTitleIntCosts">tlPeople!$C$27</definedName>
    <definedName name="tlOutputPeopleTitleIntCostTitle">tlPeople!$C$25</definedName>
    <definedName name="tlOutputPeopleTitleIntOpProfit">tlPeople!$C$30</definedName>
    <definedName name="tlOutputPeopleTitleOpEx">tlPeople!$C$22</definedName>
    <definedName name="tlOutputPeopleTitleOpMargin">tlPeople!$C$24</definedName>
    <definedName name="tlOutputPeopleTitleOpProfit">tlPeople!$C$23</definedName>
    <definedName name="tlOutputPeopleTitleRevenue">tlPeople!$C$18</definedName>
    <definedName name="tlOutputPeopleTitleTotalIntCosts">tlPeople!$C$28</definedName>
    <definedName name="tlOutputPeopleY0ACV">tlPeople!$E$17</definedName>
    <definedName name="tlOutputPeopleY0ConsOpMargin">tlPeople!$E$31</definedName>
    <definedName name="tlOutputPeopleY0GrossMargin">tlPeople!$E$21</definedName>
    <definedName name="tlOutputPeopleY0GrossProfit">tlPeople!$E$20</definedName>
    <definedName name="tlOutputPeopleY0Harm">tlPeople!$E$26</definedName>
    <definedName name="tlOutputPeopleY0IntCost">tlPeople!$E$27</definedName>
    <definedName name="tlOutputPeopleY0IntCosts">tlPeople!$E$28</definedName>
    <definedName name="tlOutputPeopleY0OpEx">tlPeople!$E$22</definedName>
    <definedName name="tlOutputPeopleY0OpMargin">tlPeople!$E$24</definedName>
    <definedName name="tlOutputPeopleY0OpProfit">tlPeople!$E$23</definedName>
    <definedName name="tlOutputPeopleY0OpProfitCons">tlPeople!$E$30</definedName>
    <definedName name="tlOutputPeopleY0Revenue">tlPeople!$E$18</definedName>
    <definedName name="tlOutputPeopleY0Title">tlPeople!$E$16</definedName>
    <definedName name="tlOutputPeopleY1ACV">tlPeople!$O$17</definedName>
    <definedName name="tlOutputPeopleY1ConsOpMargin">tlPeople!$O$31</definedName>
    <definedName name="tlOutputPeopleY1GrossMargin">tlPeople!$O$21</definedName>
    <definedName name="tlOutputPeopleY1GrossProfit">tlPeople!$O$20</definedName>
    <definedName name="tlOutputPeopleY1Harm">tlPeople!$O$26</definedName>
    <definedName name="tlOutputPeopleY1IntCost">tlPeople!$O$27</definedName>
    <definedName name="tlOutputPeopleY1IntCosts">tlPeople!$O$28</definedName>
    <definedName name="tlOutputPeopleY1OpEx">tlPeople!$O$22</definedName>
    <definedName name="tlOutputPeopleY1OpMargin">tlPeople!$O$24</definedName>
    <definedName name="tlOutputPeopleY1OpProfit">tlPeople!$O$23</definedName>
    <definedName name="tlOutputPeopleY1OpProfitCons">tlPeople!$O$30</definedName>
    <definedName name="tlOutputPeopleY1Revenue">tlPeople!$O$18</definedName>
    <definedName name="tlOutputPeopleY1Title">tlPeople!$O$16</definedName>
    <definedName name="tlOutputPeopleY2ACV">tlPeople!$R$17</definedName>
    <definedName name="tlOutputPeopleY2ConsOpMargin">tlPeople!$R$31</definedName>
    <definedName name="tlOutputPeopleY2GrossMargin">tlPeople!$R$21</definedName>
    <definedName name="tlOutputPeopleY2GrossProfit">tlPeople!$R$20</definedName>
    <definedName name="tlOutputPeopleY2Harm">tlPeople!$R$26</definedName>
    <definedName name="tlOutputPeopleY2IntCost">tlPeople!$R$27</definedName>
    <definedName name="tlOutputPeopleY2IntCosts">tlPeople!$R$28</definedName>
    <definedName name="tlOutputPeopleY2OpEx">tlPeople!$R$22</definedName>
    <definedName name="tlOutputPeopleY2OpMargin">tlPeople!$R$24</definedName>
    <definedName name="tlOutputPeopleY2OpProfit">tlPeople!$R$23</definedName>
    <definedName name="tlOutputPeopleY2OpProfitCons">tlPeople!$R$30</definedName>
    <definedName name="tlOutputPeopleY2Revenue">tlPeople!$R$18</definedName>
    <definedName name="tlOutputPeopleY2Title">tlPeople!$R$16</definedName>
    <definedName name="tlOutputPeopleY5ACV">tlPeople!$T$17</definedName>
    <definedName name="tlOutputPeopleY5ConsOpMargin">tlPeople!$T$31</definedName>
    <definedName name="tlOutputPeopleY5GrossMargin">tlPeople!$T$21</definedName>
    <definedName name="tlOutputPeopleY5GrossProfit">tlPeople!$T$20</definedName>
    <definedName name="tlOutputPeopleY5Harm">tlPeople!$T$26</definedName>
    <definedName name="tlOutputPeopleY5IntCost">tlPeople!$T$27</definedName>
    <definedName name="tlOutputPeopleY5IntCosts">tlPeople!$T$28</definedName>
    <definedName name="tlOutputPeopleY5OpEx">tlPeople!$T$22</definedName>
    <definedName name="tlOutputPeopleY5OpMargin">tlPeople!$T$24</definedName>
    <definedName name="tlOutputPeopleY5OpProfit">tlPeople!$T$23</definedName>
    <definedName name="tlOutputPeopleY5OpProfitCons">tlPeople!$T$30</definedName>
    <definedName name="tlOutputPeopleY5Revenue">tlPeople!$T$18</definedName>
    <definedName name="tlOutputPeopleY5Title">tlPeople!$T$16</definedName>
    <definedName name="tlOutputProdFocusTitle">tlProduct!$C$11</definedName>
    <definedName name="tlOutputProdIntTitle">tlProduct!$C$9</definedName>
    <definedName name="tlOutputProductIntPlanning">tlProduct!$C$6</definedName>
    <definedName name="tlOutputProductQ1ACV">tlProduct!$G$15</definedName>
    <definedName name="tlOutputProductQ1ConsOpMargin">tlProduct!$G$29</definedName>
    <definedName name="tlOutputProductQ1GrossMargin">tlProduct!$G$19</definedName>
    <definedName name="tlOutputProductQ1GrossProfit">tlProduct!$G$18</definedName>
    <definedName name="tlOutputProductQ1Harm">tlProduct!$G$24</definedName>
    <definedName name="tlOutputProductQ1IntCost">tlProduct!$G$25</definedName>
    <definedName name="tlOutputProductQ1IntCosts">tlProduct!$G$26</definedName>
    <definedName name="tlOutputProductQ1OpEx">tlProduct!$G$20</definedName>
    <definedName name="tlOutputProductQ1OpMargin">tlProduct!$G$22</definedName>
    <definedName name="tlOutputProductQ1OpProfit">tlProduct!$G$21</definedName>
    <definedName name="tlOutputProductQ1OpProfitCons">tlProduct!$G$28</definedName>
    <definedName name="tlOutputProductQ1Revenue">tlProduct!$G$16</definedName>
    <definedName name="tlOutputProductQ1Title">tlProduct!$G$14</definedName>
    <definedName name="tlOutputProductQ2ACV">tlProduct!$I$15</definedName>
    <definedName name="tlOutputProductQ2ConsOpMargin">tlProduct!$I$29</definedName>
    <definedName name="tlOutputProductQ2GrossMargin">tlProduct!$I$19</definedName>
    <definedName name="tlOutputProductQ2GrossProfit">tlProduct!$I$18</definedName>
    <definedName name="tlOutputProductQ2Harm">tlProduct!$I$24</definedName>
    <definedName name="tlOutputProductQ2IntCost">tlProduct!$I$25</definedName>
    <definedName name="tlOutputProductQ2IntCosts">tlProduct!$I$26</definedName>
    <definedName name="tlOutputProductQ2OpEx">tlProduct!$I$20</definedName>
    <definedName name="tlOutputProductQ2OpMargin">tlProduct!$I$22</definedName>
    <definedName name="tlOutputProductQ2OpProfit">tlProduct!$I$21</definedName>
    <definedName name="tlOutputProductQ2OpProfitCons">tlProduct!$I$28</definedName>
    <definedName name="tlOutputProductQ2Revenue">tlProduct!$I$16</definedName>
    <definedName name="tlOutputProductQ2Title">tlProduct!$I$14</definedName>
    <definedName name="tlOutputProductQ3ACV">tlProduct!$K$15</definedName>
    <definedName name="tlOutputProductQ3ConsOpMargin">tlProduct!$K$29</definedName>
    <definedName name="tlOutputProductQ3GrossMargin">tlProduct!$K$19</definedName>
    <definedName name="tlOutputProductQ3GrossProfit">tlProduct!$K$18</definedName>
    <definedName name="tlOutputProductQ3Harm">tlProduct!$K$24</definedName>
    <definedName name="tlOutputProductQ3IntCost">tlProduct!$K$25</definedName>
    <definedName name="tlOutputProductQ3IntCosts">tlProduct!$K$26</definedName>
    <definedName name="tlOutputProductQ3OpEx">tlProduct!$K$20</definedName>
    <definedName name="tlOutputProductQ3OpMargin">tlProduct!$K$22</definedName>
    <definedName name="tlOutputProductQ3OpProfit">tlProduct!$K$21</definedName>
    <definedName name="tlOutputProductQ3OpProfitCons">tlProduct!$K$28</definedName>
    <definedName name="tlOutputProductQ3Revenue">tlProduct!$K$16</definedName>
    <definedName name="tlOutputProductQ3Title">tlProduct!$K$14</definedName>
    <definedName name="tlOutputProductQ4ACV">tlProduct!$M$15</definedName>
    <definedName name="tlOutputProductQ4ConsOpMargin">tlProduct!$M$29</definedName>
    <definedName name="tlOutputProductQ4GrossMargin">tlProduct!$M$19</definedName>
    <definedName name="tlOutputProductQ4GrossProfit">tlProduct!$M$18</definedName>
    <definedName name="tlOutputProductQ4Harm">tlProduct!$M$24</definedName>
    <definedName name="tlOutputProductQ4IntCost">tlProduct!$M$25</definedName>
    <definedName name="tlOutputProductQ4IntCosts">tlProduct!$M$26</definedName>
    <definedName name="tlOutputProductQ4OpEx">tlProduct!$M$20</definedName>
    <definedName name="tlOutputProductQ4OpMargin">tlProduct!$M$22</definedName>
    <definedName name="tlOutputProductQ4OpProfit">tlProduct!$M$21</definedName>
    <definedName name="tlOutputProductQ4OpProfitCons">tlProduct!$M$28</definedName>
    <definedName name="tlOutputProductQ4Revenue">tlProduct!$M$16</definedName>
    <definedName name="tlOutputProductQ4Title">tlProduct!$M$14</definedName>
    <definedName name="tlOutputProductRestricitionTitle">tlIT!$M$20</definedName>
    <definedName name="tlOutputProductTitleACV">tlProduct!$C$15</definedName>
    <definedName name="tlOutputProductTitleConsOpMargin">tlProduct!$C$29</definedName>
    <definedName name="tlOutputProductTitleFinancials">tlProduct!$C$14</definedName>
    <definedName name="tlOutputProductTitleGrossMargin">tlProduct!$C$19</definedName>
    <definedName name="tlOutputProductTitleGrossProfit">tlProduct!$C$18</definedName>
    <definedName name="tlOutputProductTitleHarm">tlProduct!$C$24</definedName>
    <definedName name="tlOutputProductTitleIntCosts">tlProduct!$C$25</definedName>
    <definedName name="tlOutputProductTitleIntCostTitle">tlProduct!$C$23</definedName>
    <definedName name="tlOutputProductTitleIntOpProfit">tlProduct!$C$28</definedName>
    <definedName name="tlOutputProductTitleOpEx">tlProduct!$C$20</definedName>
    <definedName name="tlOutputProductTitleOpMargin">tlProduct!$C$22</definedName>
    <definedName name="tlOutputProductTitleOpProfit">tlProduct!$C$21</definedName>
    <definedName name="tlOutputProductTitleRevenue">tlProduct!$C$16</definedName>
    <definedName name="tlOutputProductTitleTotalIntCosts">tlProduct!$C$26</definedName>
    <definedName name="tlOutputProductY0ACV">tlProduct!$E$15</definedName>
    <definedName name="tlOutputProductY0ConsOpMargin">tlProduct!$E$29</definedName>
    <definedName name="tlOutputProductY0GrossMargin">tlProduct!$E$19</definedName>
    <definedName name="tlOutputProductY0GrossProfit">tlProduct!$E$18</definedName>
    <definedName name="tlOutputProductY0Harm">tlProduct!$E$24</definedName>
    <definedName name="tlOutputProductY0IntCost">tlProduct!$E$25</definedName>
    <definedName name="tlOutputProductY0IntCosts">tlProduct!$E$26</definedName>
    <definedName name="tlOutputProductY0OpEx">tlProduct!$E$20</definedName>
    <definedName name="tlOutputProductY0OpMargin">tlProduct!$E$22</definedName>
    <definedName name="tlOutputProductY0OpProfit">tlProduct!$E$21</definedName>
    <definedName name="tlOutputProductY0OpProfitCons">tlProduct!$E$28</definedName>
    <definedName name="tlOutputProductY0Revenue">tlProduct!$E$16</definedName>
    <definedName name="tlOutputProductY0Title">tlProduct!$E$14</definedName>
    <definedName name="tlOutputProductY1ACV">tlProduct!$O$15</definedName>
    <definedName name="tlOutputProductY1ConsOpMargin">tlProduct!$O$29</definedName>
    <definedName name="tlOutputProductY1GrossMargin">tlProduct!$O$19</definedName>
    <definedName name="tlOutputProductY1GrossProfit">tlProduct!$O$18</definedName>
    <definedName name="tlOutputProductY1Harm">tlProduct!$O$24</definedName>
    <definedName name="tlOutputProductY1IntCost">tlProduct!$O$25</definedName>
    <definedName name="tlOutputProductY1IntCosts">tlProduct!$O$26</definedName>
    <definedName name="tlOutputProductY1OpEx">tlProduct!$O$20</definedName>
    <definedName name="tlOutputProductY1OpMargin">tlProduct!$O$22</definedName>
    <definedName name="tlOutputProductY1OpProfit">tlProduct!$O$21</definedName>
    <definedName name="tlOutputProductY1OpProfitCons">tlProduct!$O$28</definedName>
    <definedName name="tlOutputProductY1Revenue">tlProduct!$O$16</definedName>
    <definedName name="tlOutputProductY1Title">tlProduct!$O$14</definedName>
    <definedName name="tlOutputProductY2ACV">tlProduct!$R$15</definedName>
    <definedName name="tlOutputProductY2ConsOpMargin">tlProduct!$R$29</definedName>
    <definedName name="tlOutputProductY2GrossMargin">tlProduct!$R$19</definedName>
    <definedName name="tlOutputProductY2GrossProfit">tlProduct!$R$18</definedName>
    <definedName name="tlOutputProductY2Harm">tlProduct!$R$24</definedName>
    <definedName name="tlOutputProductY2IntCost">tlProduct!$R$25</definedName>
    <definedName name="tlOutputProductY2IntCosts">tlProduct!$R$26</definedName>
    <definedName name="tlOutputProductY2OpEx">tlProduct!$R$20</definedName>
    <definedName name="tlOutputProductY2OpMargin">tlProduct!$R$22</definedName>
    <definedName name="tlOutputProductY2OpProfit">tlProduct!$R$21</definedName>
    <definedName name="tlOutputProductY2OpProfitCons">tlProduct!$R$28</definedName>
    <definedName name="tlOutputProductY2Revenue">tlProduct!$R$16</definedName>
    <definedName name="tlOutputProductY2Title">tlProduct!$R$14</definedName>
    <definedName name="tlOutputProductY5ACV">tlProduct!$T$15</definedName>
    <definedName name="tlOutputProductY5ConsOpMargin">tlProduct!$T$29</definedName>
    <definedName name="tlOutputProductY5GrossMargin">tlProduct!$T$19</definedName>
    <definedName name="tlOutputProductY5GrossProfit">tlProduct!$T$18</definedName>
    <definedName name="tlOutputProductY5Harm">tlProduct!$T$24</definedName>
    <definedName name="tlOutputProductY5IntCost">tlProduct!$T$25</definedName>
    <definedName name="tlOutputProductY5IntCosts">tlProduct!$T$26</definedName>
    <definedName name="tlOutputProductY5OpEx">tlProduct!$T$20</definedName>
    <definedName name="tlOutputProductY5OpMargin">tlProduct!$T$22</definedName>
    <definedName name="tlOutputProductY5OpProfit">tlProduct!$T$21</definedName>
    <definedName name="tlOutputProductY5OpProfitCons">tlProduct!$T$28</definedName>
    <definedName name="tlOutputProductY5Revenue">tlProduct!$T$16</definedName>
    <definedName name="tlOutputProductY5Title">tlProduct!$T$14</definedName>
    <definedName name="tlOutputRanklbl">tlV2MOM!$G$15</definedName>
    <definedName name="tlOutputRationalelbl">tlV2MOM!$H$15</definedName>
    <definedName name="tlOutputRealEstateCost">tlIT!$G$18</definedName>
    <definedName name="tlOutputRealEstateTitle">tlIT!$C$18</definedName>
    <definedName name="tlOutputResourceBO">Graphs!$B$6</definedName>
    <definedName name="tlOutputResourceBudgetLeft">Graphs!$B$9</definedName>
    <definedName name="tlOutputResourceGTM">Graphs!$B$4</definedName>
    <definedName name="tlOutputResourcePeople">Graphs!$B$5</definedName>
    <definedName name="tlOutputResourceProduct">Graphs!$B$3</definedName>
    <definedName name="tlOutputResourceTrust">Graphs!$B$7</definedName>
    <definedName name="tlOutputRisklbl">tlIT!$L$12</definedName>
    <definedName name="tlOutputRiskTitle">tlV2MOM!$C$27</definedName>
    <definedName name="tlOutputRound">tlIntro!$I$2</definedName>
    <definedName name="tlOutputRound1Title">tlV2MOM!$C$5</definedName>
    <definedName name="tlOutputSecurityP0Cost">tlIT!$Z$15</definedName>
    <definedName name="tlOutputSecurityP1Cost">tlIT!$Z$16</definedName>
    <definedName name="tlOutputSecurityP2Cost">tlIT!$Z$17</definedName>
    <definedName name="tlOutputSecurityQuarterlbl">tlIT!$O$9</definedName>
    <definedName name="tlOutputSecurityTimelineTitle">tlIT!$M$10</definedName>
    <definedName name="tlOutputSiteInfrastructureBuildOutCost">tlIT!$R$18</definedName>
    <definedName name="tlOutputSiteInfrastructureBuildOuttitle">tlIT!$M$18</definedName>
    <definedName name="tlOutputStackInttitle">tlProduct!$C$12</definedName>
    <definedName name="tlOutputStartingEngagement">Graphs!$B$15</definedName>
    <definedName name="tlOutputStratAlignPercValidation">tlV2MOM!$L$24</definedName>
    <definedName name="tlOutputTeamNumber">tlIntro!$C$6</definedName>
    <definedName name="tlOutputTimelineBrand">Graphs!$C$26</definedName>
    <definedName name="tlOutputTimelineCSG">Graphs!$C$25</definedName>
    <definedName name="tlOutputTimelineExternal">Graphs!$C$24</definedName>
    <definedName name="tlOutputTimelineFullIntTitle">tlTimeline!$C$8</definedName>
    <definedName name="tlOutputTimelineGraphBrand">Graphs!$B$26</definedName>
    <definedName name="tlOutputTimelineGraphCSG">Graphs!$B$25</definedName>
    <definedName name="tlOutputTimelineGraphExternalSales">Graphs!$B$24</definedName>
    <definedName name="tlOutputTimelineGraphGTM">Graphs!$B$22</definedName>
    <definedName name="tlOutputTimelineGraphIT">Graphs!$B$20</definedName>
    <definedName name="tlOutputTimelineGraphPeople">Graphs!$B$19</definedName>
    <definedName name="tlOutputTimelineGraphProduct">Graphs!$B$23</definedName>
    <definedName name="tlOutputTimelineGraphSecurity">Graphs!$B$21</definedName>
    <definedName name="tlOutputTimelineGTM">Graphs!$C$22</definedName>
    <definedName name="tlOutputTimelineHarm">Graphs!$C$19</definedName>
    <definedName name="tlOutputTimelineIntBudgetTitle">tlTimeline!$I$8</definedName>
    <definedName name="tlOutputTimelineIntPlanning">tlTimeline!$C$6</definedName>
    <definedName name="tlOutputTimelineIT">Graphs!$C$20</definedName>
    <definedName name="tlOutputTimelineProduct">Graphs!$C$23</definedName>
    <definedName name="tlOutputTimelineQ1ACV">tlTimeline!$G$22</definedName>
    <definedName name="tlOutputTimelineQ1COGs">tlTimeline!$G$46</definedName>
    <definedName name="tlOutputTimelineQ1ConsOpMargin">tlTimeline!$G$36</definedName>
    <definedName name="tlOutputTimelineQ1GAExp">tlTimeline!$G$51</definedName>
    <definedName name="tlOutputTimelineQ1GrossMargin">tlTimeline!$G$26</definedName>
    <definedName name="tlOutputTimelineQ1GrossProfit">tlTimeline!$G$25</definedName>
    <definedName name="tlOutputTimelineQ1Harm">tlTimeline!$G$31</definedName>
    <definedName name="tlOutputTimelineQ1IntCost">tlTimeline!$G$32</definedName>
    <definedName name="tlOutputTimelineQ1IntCosts">tlTimeline!$G$33</definedName>
    <definedName name="tlOutputTimelineQ1MSExp">tlTimeline!$G$49</definedName>
    <definedName name="tlOutputTimelineQ1OpEx">tlTimeline!$G$27</definedName>
    <definedName name="tlOutputTimelineQ1OpMargin">tlTimeline!$G$29</definedName>
    <definedName name="tlOutputTimelineQ1OpProfit">tlTimeline!$G$28</definedName>
    <definedName name="tlOutputTimelineQ1OpProfitCons">tlTimeline!$G$35</definedName>
    <definedName name="tlOutputTimelineQ1RDExp">tlTimeline!$G$50</definedName>
    <definedName name="tlOutputTimelineQ1Revenue">tlTimeline!$G$23</definedName>
    <definedName name="tlOutputTimelineQ1Title">tlTimeline!$G$21</definedName>
    <definedName name="tlOutputTimelineQ2ACV">tlTimeline!$I$22</definedName>
    <definedName name="tlOutputTimelineQ2COGs">tlTimeline!$I$46</definedName>
    <definedName name="tlOutputTimelineQ2ConsOpMargin">tlTimeline!$I$36</definedName>
    <definedName name="tlOutputTimelineQ2GAExp">tlTimeline!$I$51</definedName>
    <definedName name="tlOutputTimelineQ2GrossMargin">tlTimeline!$I$26</definedName>
    <definedName name="tlOutputTimelineQ2GrossProfit">tlTimeline!$I$25</definedName>
    <definedName name="tlOutputTimelineQ2Harm">tlTimeline!$I$31</definedName>
    <definedName name="tlOutputTimelineQ2IntCost">tlTimeline!$I$32</definedName>
    <definedName name="tlOutputTimelineQ2IntCosts">tlTimeline!$I$33</definedName>
    <definedName name="tlOutputTimelineQ2MSExp">tlTimeline!$I$49</definedName>
    <definedName name="tlOutputTimelineQ2OpEx">tlTimeline!$I$27</definedName>
    <definedName name="tlOutputTimelineQ2OpMargin">tlTimeline!$I$29</definedName>
    <definedName name="tlOutputTimelineQ2OpProfit">tlTimeline!$I$28</definedName>
    <definedName name="tlOutputTimelineQ2OpProfitCons">tlTimeline!$I$35</definedName>
    <definedName name="tlOutputTimelineQ2RDExp">tlTimeline!$I$50</definedName>
    <definedName name="tlOutputTimelineQ2Revenue">tlTimeline!$I$23</definedName>
    <definedName name="tlOutputTimelineQ2Title">tlTimeline!$I$21</definedName>
    <definedName name="tlOutputTimelineQ3ACV">tlTimeline!$K$22</definedName>
    <definedName name="tlOutputTimelineQ3COGs">tlTimeline!$K$46</definedName>
    <definedName name="tlOutputTimelineQ3ConsOpMargin">tlTimeline!$K$36</definedName>
    <definedName name="tlOutputTimelineQ3GAExp">tlTimeline!$K$51</definedName>
    <definedName name="tlOutputTimelineQ3GrossMargin">tlTimeline!$K$26</definedName>
    <definedName name="tlOutputTimelineQ3GrossProfit">tlTimeline!$K$25</definedName>
    <definedName name="tlOutputTimelineQ3Harm">tlTimeline!$K$31</definedName>
    <definedName name="tlOutputTimelineQ3IntCost">tlTimeline!$K$32</definedName>
    <definedName name="tlOutputTimelineQ3IntCosts">tlTimeline!$K$33</definedName>
    <definedName name="tlOutputTimelineQ3MSExp">tlTimeline!$K$49</definedName>
    <definedName name="tlOutputTimelineQ3OpEx">tlTimeline!$K$27</definedName>
    <definedName name="tlOutputTimelineQ3OpMargin">tlTimeline!$K$29</definedName>
    <definedName name="tlOutputTimelineQ3OpProfit">tlTimeline!$K$28</definedName>
    <definedName name="tlOutputTimelineQ3OpProfitCons">tlTimeline!$K$35</definedName>
    <definedName name="tlOutputTimelineQ3RDExp">tlTimeline!$K$50</definedName>
    <definedName name="tlOutputTimelineQ3Revenue">tlTimeline!$K$23</definedName>
    <definedName name="tlOutputTimelineQ3Title">tlTimeline!$K$21</definedName>
    <definedName name="tlOutputTimelineQ4ACV">tlTimeline!$M$22</definedName>
    <definedName name="tlOutputTimelineQ4COGs">tlTimeline!$M$46</definedName>
    <definedName name="tlOutputTimelineQ4ConsOpMargin">tlTimeline!$M$36</definedName>
    <definedName name="tlOutputTimelineQ4GAExp">tlTimeline!$M$51</definedName>
    <definedName name="tlOutputTimelineQ4GrossMargin">tlTimeline!$M$26</definedName>
    <definedName name="tlOutputTimelineQ4GrossProfit">tlTimeline!$M$25</definedName>
    <definedName name="tlOutputTimelineQ4Harm">tlTimeline!$M$31</definedName>
    <definedName name="tlOutputTimelineQ4IntCost">tlTimeline!$M$32</definedName>
    <definedName name="tlOutputTimelineQ4IntCosts">tlTimeline!$M$33</definedName>
    <definedName name="tlOutputTimelineQ4MSExp">tlTimeline!$M$49</definedName>
    <definedName name="tlOutputTimelineQ4OpEx">tlTimeline!$M$27</definedName>
    <definedName name="tlOutputTimelineQ4OpMargin">tlTimeline!$M$29</definedName>
    <definedName name="tlOutputTimelineQ4OpProfit">tlTimeline!$M$28</definedName>
    <definedName name="tlOutputTimelineQ4OpProfitCons">tlTimeline!$M$35</definedName>
    <definedName name="tlOutputTimelineQ4RDExp">tlTimeline!$M$50</definedName>
    <definedName name="tlOutputTimelineQ4Revenue">tlTimeline!$M$23</definedName>
    <definedName name="tlOutputTimelineQ4Title">tlTimeline!$M$21</definedName>
    <definedName name="tlOutputTimelineTitleACV">tlTimeline!$C$22</definedName>
    <definedName name="tlOutputTimelineTitleConsOpMargin">tlTimeline!$C$36</definedName>
    <definedName name="tlOutputTimelineTitleFinancials">tlTimeline!$C$21</definedName>
    <definedName name="tlOutputTimelineTitleGrossMargin">tlTimeline!$C$26</definedName>
    <definedName name="tlOutputTimelineTitleGrossProfit">tlTimeline!$C$25</definedName>
    <definedName name="tlOutputTimelineTitleHarm">tlTimeline!$C$31</definedName>
    <definedName name="tlOutputTimelineTitleIntCosts">tlTimeline!$C$32</definedName>
    <definedName name="tlOutputTimelineTitleIntCostTitle">tlTimeline!$C$30</definedName>
    <definedName name="tlOutputTimelineTitleIntOpProfit">tlTimeline!$C$35</definedName>
    <definedName name="tlOutputTimelineTitleOpEx">tlTimeline!$C$27</definedName>
    <definedName name="tlOutputTimelineTitleOpMargin">tlTimeline!$C$29</definedName>
    <definedName name="tlOutputTimelineTitleOpProfit">tlTimeline!$C$28</definedName>
    <definedName name="tlOutputTimelineTitleRevenue">tlTimeline!$C$23</definedName>
    <definedName name="tlOutputTimelineTitleTotalIntCosts">tlTimeline!$C$33</definedName>
    <definedName name="tlOutputTimelineTrust">Graphs!$C$21</definedName>
    <definedName name="tlOutputTimelineY0ACV">tlTimeline!$E$22</definedName>
    <definedName name="tlOutputTimelineY0COGs">tlTimeline!$E$46</definedName>
    <definedName name="tlOutputTimelineY0ConsOpMargin">tlTimeline!$E$36</definedName>
    <definedName name="tlOutputTimelineY0GAExp">tlTimeline!$E$51</definedName>
    <definedName name="tlOutputTimelineY0GrossMargin">tlTimeline!$E$26</definedName>
    <definedName name="tlOutputTimelineY0GrossProfit">tlTimeline!$E$25</definedName>
    <definedName name="tlOutputTimelineY0Harm">tlTimeline!$E$31</definedName>
    <definedName name="tlOutputTimelineY0IntCost">tlTimeline!$E$32</definedName>
    <definedName name="tlOutputTimelineY0IntCosts">tlTimeline!$E$33</definedName>
    <definedName name="tlOutputTimelineY0MSExp">tlTimeline!$E$49</definedName>
    <definedName name="tlOutputTimelineY0OpEx">tlTimeline!$E$27</definedName>
    <definedName name="tlOutputTimelineY0OpMargin">tlTimeline!$E$29</definedName>
    <definedName name="tlOutputTimelineY0OpProfit">tlTimeline!$E$28</definedName>
    <definedName name="tlOutputTimelineY0OpProfitCons">tlTimeline!$E$35</definedName>
    <definedName name="tlOutputTimelineY0RDExp">tlTimeline!$E$50</definedName>
    <definedName name="tlOutputTimelineY0Revenue">tlTimeline!$E$23</definedName>
    <definedName name="tlOutputTimelineY0Title">tlTimeline!$E$21</definedName>
    <definedName name="tlOutputTimelineY1ACV">tlTimeline!$O$22</definedName>
    <definedName name="tlOutputTimelineY1COGs">tlTimeline!$O$46</definedName>
    <definedName name="tlOutputTimelineY1ConsOpMargin">tlTimeline!$O$36</definedName>
    <definedName name="tlOutputTimelineY1GAExp">tlTimeline!$O$51</definedName>
    <definedName name="tlOutputTimelineY1GrossMargin">tlTimeline!$O$26</definedName>
    <definedName name="tlOutputTimelineY1GrossProfit">tlTimeline!$O$25</definedName>
    <definedName name="tlOutputTimelineY1Harm">tlTimeline!$O$31</definedName>
    <definedName name="tlOutputTimelineY1IntCost">tlTimeline!$O$32</definedName>
    <definedName name="tlOutputTimelineY1IntCosts">tlTimeline!$O$33</definedName>
    <definedName name="tlOutputTimelineY1MSExp">tlTimeline!$O$49</definedName>
    <definedName name="tlOutputTimelineY1OpEx">tlTimeline!$O$27</definedName>
    <definedName name="tlOutputTimelineY1OpMargin">tlTimeline!$O$29</definedName>
    <definedName name="tlOutputTimelineY1OpProfit">tlTimeline!$O$28</definedName>
    <definedName name="tlOutputTimelineY1OpProfitCons">tlTimeline!$O$35</definedName>
    <definedName name="tlOutputTimelineY1RDExp">tlTimeline!$O$50</definedName>
    <definedName name="tlOutputTimelineY1Revenue">tlTimeline!$O$23</definedName>
    <definedName name="tlOutputTimelineY1Title">tlTimeline!$O$21</definedName>
    <definedName name="tlOutputTimelineY2ACV">tlTimeline!$R$22</definedName>
    <definedName name="tlOutputTimelineY2COGs">tlTimeline!$R$46</definedName>
    <definedName name="tlOutputTimelineY2ConsOpMargin">tlTimeline!$R$36</definedName>
    <definedName name="tlOutputTimelineY2GAExp">tlTimeline!$R$51</definedName>
    <definedName name="tlOutputTimelineY2GrossMargin">tlTimeline!$R$26</definedName>
    <definedName name="tlOutputTimelineY2GrossProfit">tlTimeline!$R$25</definedName>
    <definedName name="tlOutputTimelineY2Harm">tlTimeline!$R$31</definedName>
    <definedName name="tlOutputTimelineY2IntCost">tlTimeline!$R$32</definedName>
    <definedName name="tlOutputTimelineY2IntCosts">tlTimeline!$R$33</definedName>
    <definedName name="tlOutputTimelineY2MSExp">tlTimeline!$R$49</definedName>
    <definedName name="tlOutputTimelineY2OpEx">tlTimeline!$R$27</definedName>
    <definedName name="tlOutputTimelineY2OpMargin">tlTimeline!$R$29</definedName>
    <definedName name="tlOutputTimelineY2OpProfit">tlTimeline!$R$28</definedName>
    <definedName name="tlOutputTimelineY2OpProfitCons">tlTimeline!$R$35</definedName>
    <definedName name="tlOutputTimelineY2RDExp">tlTimeline!$R$50</definedName>
    <definedName name="tlOutputTimelineY2Revenue">tlTimeline!$R$23</definedName>
    <definedName name="tlOutputTimelineY2Title">tlTimeline!$R$21</definedName>
    <definedName name="tlOutputTimelineY5ACV">tlTimeline!$T$22</definedName>
    <definedName name="tlOutputTimelineY5COGs">tlTimeline!$T$46</definedName>
    <definedName name="tlOutputTimelineY5ConsOpMargin">tlTimeline!$T$36</definedName>
    <definedName name="tlOutputTimelineY5GAExp">tlTimeline!$T$51</definedName>
    <definedName name="tlOutputTimelineY5GrossMargin">tlTimeline!$T$26</definedName>
    <definedName name="tlOutputTimelineY5GrossProfit">tlTimeline!$T$25</definedName>
    <definedName name="tlOutputTimelineY5Harm">tlTimeline!$T$31</definedName>
    <definedName name="tlOutputTimelineY5IntCost">tlTimeline!$T$32</definedName>
    <definedName name="tlOutputTimelineY5IntCosts">tlTimeline!$T$33</definedName>
    <definedName name="tlOutputTimelineY5MSExp">tlTimeline!$T$49</definedName>
    <definedName name="tlOutputTimelineY5OpEx">tlTimeline!$T$27</definedName>
    <definedName name="tlOutputTimelineY5OpMargin">tlTimeline!$T$29</definedName>
    <definedName name="tlOutputTimelineY5OpProfit">tlTimeline!$T$28</definedName>
    <definedName name="tlOutputTimelineY5OpProfitCons">tlTimeline!$T$35</definedName>
    <definedName name="tlOutputTimelineY5RDExp">tlTimeline!$T$50</definedName>
    <definedName name="tlOutputTimelineY5Revenue">tlTimeline!$T$23</definedName>
    <definedName name="tlOutputTimelineY5Title">tlTimeline!$T$21</definedName>
    <definedName name="tlOutputTotalBudget">Graphs!$C$2</definedName>
    <definedName name="tlOutputTotalRanks">tlV2MOM!$K$16:$K$20</definedName>
    <definedName name="tlOutputTrustScen1">tlScenarios!$J$10</definedName>
    <definedName name="tlOutputTrustScen2">tlScenarios!$J$12</definedName>
    <definedName name="tlOutputTrustScen3">tlScenarios!$J$14</definedName>
    <definedName name="tlOutputTrustScen4">tlScenarios!$J$16</definedName>
    <definedName name="tlOutputTrustScen5">tlScenarios!$J$18</definedName>
    <definedName name="tlOutputTrustScen6">tlScenarios!$J$20</definedName>
    <definedName name="tlOutputTrustScen7">tlScenarios!$J$22</definedName>
    <definedName name="tlOutputTrustScen8">tlScenarios!$J$24</definedName>
    <definedName name="tlOutputValue1Rank">tlV2MOM!$G$20</definedName>
    <definedName name="tlOutputValue2Rank">tlV2MOM!$G$16</definedName>
    <definedName name="tlOutputValue3Rank">tlV2MOM!$G$18</definedName>
    <definedName name="tlOutputValue4Rank">tlV2MOM!$G$22</definedName>
    <definedName name="tlOutputValue5Rank">tlV2MOM!$G$24</definedName>
    <definedName name="tlOutputValueEmphasislbl">tlV2MOM!$E$15</definedName>
    <definedName name="tlOutputValueTitle">tlV2MOM!$C$13</definedName>
    <definedName name="tlOutputVisionTitle">tlV2MOM!$C$7</definedName>
    <definedName name="tlOutputY1BO">Graphs!$D$6</definedName>
    <definedName name="tlOutputY1Budget">Graphs!$D$9</definedName>
    <definedName name="tlOutputY1Events">Graphs!$D$8</definedName>
    <definedName name="tlOutputY1GTM">Graphs!$D$4</definedName>
    <definedName name="tlOutputY1People">Graphs!$D$5</definedName>
    <definedName name="tlOutputY1Product">Graphs!$D$3</definedName>
    <definedName name="tlOutputY1Trust">Graphs!$D$7</definedName>
    <definedName name="tlOutputY2BO">Graphs!$E$6</definedName>
    <definedName name="tlOutputY2Budget">Graphs!$E$9</definedName>
    <definedName name="tlOutputY2Events">Graphs!$E$8</definedName>
    <definedName name="tlOutputY2GTM">Graphs!$E$4</definedName>
    <definedName name="tlOutputY2People">Graphs!$E$5</definedName>
    <definedName name="tlOutputY2Product">Graphs!$E$3</definedName>
    <definedName name="tlOutputY2Trust">Graphs!$E$7</definedName>
    <definedName name="ValuesTotalAvailable">tlV2MOM!$O$39</definedName>
    <definedName name="ValuesWorksheetName">tlV2MOM!$N$39</definedName>
    <definedName name="vbaPopupMenu1ItemNumber">PopUp!$E$31</definedName>
    <definedName name="vbaPopupMenu1ListFaceID">PopUp!$L$10:$L$25</definedName>
    <definedName name="vbaPopupMenu1ListLevel">PopUp!$E$10:$E$25</definedName>
    <definedName name="vbaPopupMenu1ListMacro">PopUp!$K$10:$K$25</definedName>
    <definedName name="vbaPopupMenu1ListTitle">PopUp!$F$10:$F$25</definedName>
    <definedName name="vbaPopupMenu1Lvl1ItemNumber">PopUp!$E$29</definedName>
    <definedName name="vbaPopupMenu1Lvl2ItemNumber">PopUp!$E$30</definedName>
    <definedName name="vbaPopupMenuActive">PopUp!$E$4</definedName>
    <definedName name="vbaPopupMenuName">PopUp!$E$3</definedName>
    <definedName name="Wobbler_Round">Wobbler!$C$15</definedName>
    <definedName name="Wobbler_Sim0Tool1">Wobbler!$C$16</definedName>
    <definedName name="Wobbler_TeamName">Wobbler!$C$14</definedName>
    <definedName name="Wobbler_Timer">Wobbler!$C$17</definedName>
    <definedName name="xxBudgetLeftValidation">tlTimeline!$Z$11</definedName>
    <definedName name="xxColorLocked">Controls!$D$50</definedName>
    <definedName name="xxCurrentRound">tlTimeline!$Z$10</definedName>
    <definedName name="xxDashGrowth">Dashboard!$F$27</definedName>
    <definedName name="xxDashOpMargin">Dashboard!$F$28</definedName>
    <definedName name="xxDashRevenue">Dashboard!$F$26</definedName>
    <definedName name="xxDecisionsSubmit">tlTimeline!$Z$9</definedName>
    <definedName name="xxIndexTeam">Controls!$D$21</definedName>
    <definedName name="xxNumOfTeams">Controls!$D$13</definedName>
    <definedName name="xxPopupWobblerCurrent">Wobbler!$C$20</definedName>
    <definedName name="xxPopupWobblerDecMinDiff">Wobbler!$R$49</definedName>
    <definedName name="xxPopupWobblerDecRange">Wobbler!$S$49</definedName>
    <definedName name="xxPopupWobblerDescription">Wobbler!$E$49</definedName>
    <definedName name="xxPopupWobblerExplain1Next">Wobbler!$K$49</definedName>
    <definedName name="xxPopupWobblerExplain1Text">Wobbler!$J$49</definedName>
    <definedName name="xxPopupWobblerExplain2Next">Wobbler!$M$49</definedName>
    <definedName name="xxPopupWobblerExplain2Text">Wobbler!$L$49</definedName>
    <definedName name="xxPopupWobblerExplain3Next">Wobbler!$O$49</definedName>
    <definedName name="xxPopupWobblerExplain3Text">Wobbler!$N$49</definedName>
    <definedName name="xxPopupWobblerExplain4Next">Wobbler!$Q$49</definedName>
    <definedName name="xxPopupWobblerExplain4Text">Wobbler!$P$49</definedName>
    <definedName name="xxPopupWobblerMax">Wobbler!$C$19</definedName>
    <definedName name="xxPopupWobblerNumber">Wobbler!$B$49</definedName>
    <definedName name="xxPopupWobblerOption1Text">Wobbler!$F$49</definedName>
    <definedName name="xxPopupWobblerOption2Text">Wobbler!$G$49</definedName>
    <definedName name="xxPopupWobblerOption3Text">Wobbler!$H$49</definedName>
    <definedName name="xxPopupWobblerOption4Text">Wobbler!$I$49</definedName>
    <definedName name="xxPopupWobblerStartY1">Wobbler!$F$20</definedName>
    <definedName name="xxPopupWobblerStartY2">Wobbler!$G$20</definedName>
    <definedName name="xxPopupWobblerStartY3">Wobbler!$H$20</definedName>
    <definedName name="xxPopupWobblerStartY4">Wobbler!$I$20</definedName>
    <definedName name="xxPopupWobblerTitle">Wobbler!$D$49</definedName>
    <definedName name="xxPopupWobblerValid">Wobbler!$E$152:$H$173</definedName>
    <definedName name="xxPreName">SimpleCSV_Data!$F$10</definedName>
    <definedName name="xxProductRestrictionACVHit">Calc!$Q$872</definedName>
    <definedName name="xxProductRestrictionACVIncrease">Calc!$R$872</definedName>
    <definedName name="xxRound">Controls!$D$17</definedName>
    <definedName name="xxScenario1Run">tlScenarios!$Q$10</definedName>
    <definedName name="xxScenario2Run">tlScenarios!$Q$12</definedName>
    <definedName name="xxScenario3Run">tlScenarios!$Q$14</definedName>
    <definedName name="xxScenario4Run">tlScenarios!$Q$16</definedName>
    <definedName name="xxScenario5Run">tlScenarios!$Q$18</definedName>
    <definedName name="xxScenario6Run">tlScenarios!$Q$20</definedName>
    <definedName name="xxScenario7Run">tlScenarios!$Q$22</definedName>
    <definedName name="xxScenario8Run">tlScenarios!$Q$24</definedName>
    <definedName name="xxSim0Tool1">Controls!$D$19</definedName>
    <definedName name="xxStratAlignPercValidation">tlV2MOM!$L$24</definedName>
    <definedName name="xxToolPrefix">Controls!$D$27</definedName>
  </definedNames>
  <calcPr calcId="171027"/>
</workbook>
</file>

<file path=xl/calcChain.xml><?xml version="1.0" encoding="utf-8"?>
<calcChain xmlns="http://schemas.openxmlformats.org/spreadsheetml/2006/main">
  <c r="G9" i="4" l="1"/>
  <c r="G10" i="4"/>
  <c r="G11" i="4"/>
  <c r="G12" i="4"/>
  <c r="G13" i="4"/>
  <c r="G14" i="4"/>
  <c r="G15" i="4"/>
  <c r="G16" i="4"/>
  <c r="G17" i="4"/>
  <c r="G19" i="4"/>
  <c r="G21" i="4"/>
  <c r="G22" i="4"/>
  <c r="G23" i="4"/>
  <c r="G25" i="4"/>
  <c r="G26" i="4"/>
  <c r="G27" i="4"/>
  <c r="G29" i="4"/>
  <c r="G30" i="4"/>
  <c r="G31" i="4"/>
  <c r="G34" i="4"/>
  <c r="G35" i="4"/>
  <c r="G36" i="4"/>
  <c r="G37" i="4"/>
  <c r="G38" i="4"/>
  <c r="G39" i="4"/>
  <c r="G41" i="4"/>
  <c r="G42" i="4"/>
  <c r="G43" i="4"/>
  <c r="G44" i="4"/>
  <c r="G45" i="4"/>
  <c r="G47" i="4"/>
  <c r="G48" i="4"/>
  <c r="O18" i="51"/>
  <c r="N18" i="51"/>
  <c r="M18" i="51"/>
  <c r="L18" i="51"/>
  <c r="K18" i="51"/>
  <c r="J18" i="51"/>
  <c r="I18" i="51"/>
  <c r="H18" i="51"/>
  <c r="G18" i="51"/>
  <c r="F18" i="51"/>
  <c r="B792" i="14" l="1"/>
  <c r="B796" i="14"/>
  <c r="B800" i="14" s="1"/>
  <c r="B754" i="14"/>
  <c r="B758" i="14"/>
  <c r="B762" i="14"/>
  <c r="B766" i="14"/>
  <c r="B771" i="14"/>
  <c r="B775" i="14"/>
  <c r="B779" i="14"/>
  <c r="B783" i="14"/>
  <c r="K19" i="32"/>
  <c r="K18" i="32"/>
  <c r="K17" i="32"/>
  <c r="K16" i="32"/>
  <c r="D28" i="44"/>
  <c r="E31" i="4"/>
  <c r="E354" i="14" s="1"/>
  <c r="E137" i="14" s="1"/>
  <c r="E353" i="14"/>
  <c r="E355" i="14" s="1"/>
  <c r="Q25" i="23"/>
  <c r="E25" i="23" s="1"/>
  <c r="Q6" i="23"/>
  <c r="E6" i="23" s="1"/>
  <c r="E162" i="14" s="1"/>
  <c r="E8" i="34" s="1"/>
  <c r="E15" i="14"/>
  <c r="E16" i="14"/>
  <c r="E56" i="4"/>
  <c r="E87" i="24" s="1"/>
  <c r="E89" i="24" s="1"/>
  <c r="Q13" i="23" s="1"/>
  <c r="E13" i="23" s="1"/>
  <c r="E55" i="4"/>
  <c r="E54" i="4"/>
  <c r="E61" i="24" s="1"/>
  <c r="E53" i="4"/>
  <c r="E52" i="4"/>
  <c r="E51" i="4"/>
  <c r="E50" i="4"/>
  <c r="E9" i="24" s="1"/>
  <c r="P60" i="51"/>
  <c r="P59" i="51"/>
  <c r="P57" i="51"/>
  <c r="P56" i="51"/>
  <c r="P55" i="51"/>
  <c r="P54" i="51"/>
  <c r="P53" i="51"/>
  <c r="P51" i="51"/>
  <c r="P50" i="51"/>
  <c r="P49" i="51"/>
  <c r="P48" i="51"/>
  <c r="P47" i="51"/>
  <c r="P46" i="51"/>
  <c r="P43" i="51"/>
  <c r="P42" i="51"/>
  <c r="P41" i="51"/>
  <c r="P39" i="51"/>
  <c r="P38" i="51"/>
  <c r="P37" i="51"/>
  <c r="P31" i="51"/>
  <c r="P29" i="51"/>
  <c r="P27" i="51"/>
  <c r="P25" i="51"/>
  <c r="P23" i="51"/>
  <c r="P30" i="51"/>
  <c r="P28" i="51"/>
  <c r="P26" i="51"/>
  <c r="P24" i="51"/>
  <c r="P22" i="51"/>
  <c r="P21" i="51"/>
  <c r="P16" i="51"/>
  <c r="I2" i="2"/>
  <c r="D59" i="47"/>
  <c r="C32" i="47"/>
  <c r="C33" i="47"/>
  <c r="C34" i="47" s="1"/>
  <c r="C35" i="47" s="1"/>
  <c r="C36" i="47" s="1"/>
  <c r="C37" i="47" s="1"/>
  <c r="C38" i="47" s="1"/>
  <c r="C39" i="47" s="1"/>
  <c r="C40" i="47" s="1"/>
  <c r="C41" i="47" s="1"/>
  <c r="C42" i="47" s="1"/>
  <c r="C43" i="47" s="1"/>
  <c r="C44" i="47" s="1"/>
  <c r="C45" i="47" s="1"/>
  <c r="C46" i="47" s="1"/>
  <c r="C47" i="47" s="1"/>
  <c r="C31" i="47"/>
  <c r="N16" i="4"/>
  <c r="M16" i="4"/>
  <c r="L16" i="4"/>
  <c r="K16" i="4"/>
  <c r="J16" i="4"/>
  <c r="I16" i="4"/>
  <c r="H16" i="4"/>
  <c r="F16" i="4"/>
  <c r="E16" i="4"/>
  <c r="N14" i="4"/>
  <c r="M14" i="4"/>
  <c r="L14" i="4"/>
  <c r="K14" i="4"/>
  <c r="J14" i="4"/>
  <c r="I14" i="4"/>
  <c r="H14" i="4"/>
  <c r="F14" i="4"/>
  <c r="E14" i="4"/>
  <c r="N12" i="4"/>
  <c r="M12" i="4"/>
  <c r="L12" i="4"/>
  <c r="K12" i="4"/>
  <c r="J12" i="4"/>
  <c r="I12" i="4"/>
  <c r="H12" i="4"/>
  <c r="F12" i="4"/>
  <c r="E12" i="4"/>
  <c r="N10" i="4"/>
  <c r="M10" i="4"/>
  <c r="L10" i="4"/>
  <c r="K10" i="4"/>
  <c r="J10" i="4"/>
  <c r="I10" i="4"/>
  <c r="H10" i="4"/>
  <c r="F10" i="4"/>
  <c r="E10" i="4"/>
  <c r="N48" i="4"/>
  <c r="M48" i="4"/>
  <c r="L48" i="4"/>
  <c r="K48" i="4"/>
  <c r="J48" i="4"/>
  <c r="I48" i="4"/>
  <c r="H48" i="4"/>
  <c r="F48" i="4"/>
  <c r="E48" i="4"/>
  <c r="N37" i="4"/>
  <c r="M37" i="4"/>
  <c r="L37" i="4"/>
  <c r="K37" i="4"/>
  <c r="J37" i="4"/>
  <c r="I37" i="4"/>
  <c r="H37" i="4"/>
  <c r="F37" i="4"/>
  <c r="E37" i="4"/>
  <c r="N36" i="4"/>
  <c r="M36" i="4"/>
  <c r="L36" i="4"/>
  <c r="K36" i="4"/>
  <c r="J36" i="4"/>
  <c r="I36" i="4"/>
  <c r="H36" i="4"/>
  <c r="F36" i="4"/>
  <c r="E36" i="4"/>
  <c r="N35" i="4"/>
  <c r="M35" i="4"/>
  <c r="L35" i="4"/>
  <c r="K35" i="4"/>
  <c r="J35" i="4"/>
  <c r="I35" i="4"/>
  <c r="H35" i="4"/>
  <c r="F35" i="4"/>
  <c r="E35" i="4"/>
  <c r="N30" i="4"/>
  <c r="M30" i="4"/>
  <c r="L30" i="4"/>
  <c r="K30" i="4"/>
  <c r="J30" i="4"/>
  <c r="I30" i="4"/>
  <c r="H30" i="4"/>
  <c r="F30" i="4"/>
  <c r="E30" i="4"/>
  <c r="N27" i="4"/>
  <c r="M27" i="4"/>
  <c r="L27" i="4"/>
  <c r="K27" i="4"/>
  <c r="J27" i="4"/>
  <c r="I27" i="4"/>
  <c r="H27" i="4"/>
  <c r="F27" i="4"/>
  <c r="E27" i="4"/>
  <c r="N26" i="4"/>
  <c r="M26" i="4"/>
  <c r="L26" i="4"/>
  <c r="K26" i="4"/>
  <c r="J26" i="4"/>
  <c r="I26" i="4"/>
  <c r="H26" i="4"/>
  <c r="F26" i="4"/>
  <c r="E26" i="4"/>
  <c r="P57" i="4"/>
  <c r="P56" i="4"/>
  <c r="P55" i="4"/>
  <c r="P54" i="4"/>
  <c r="P53" i="4"/>
  <c r="P52" i="4"/>
  <c r="P51" i="4"/>
  <c r="P50" i="4"/>
  <c r="N57" i="4"/>
  <c r="M57" i="4"/>
  <c r="L57" i="4"/>
  <c r="K57" i="4"/>
  <c r="J57" i="4"/>
  <c r="I57" i="4"/>
  <c r="H57" i="4"/>
  <c r="G57" i="4"/>
  <c r="F57" i="4"/>
  <c r="F100" i="24" s="1"/>
  <c r="E57" i="4"/>
  <c r="E100" i="24" s="1"/>
  <c r="N56" i="4"/>
  <c r="N87" i="24"/>
  <c r="M56" i="4"/>
  <c r="M87" i="24" s="1"/>
  <c r="L56" i="4"/>
  <c r="L87" i="24"/>
  <c r="K56" i="4"/>
  <c r="K87" i="24" s="1"/>
  <c r="J56" i="4"/>
  <c r="J87" i="24"/>
  <c r="J97" i="24" s="1"/>
  <c r="I56" i="4"/>
  <c r="I87" i="24" s="1"/>
  <c r="H56" i="4"/>
  <c r="H87" i="24"/>
  <c r="G56" i="4"/>
  <c r="G87" i="24" s="1"/>
  <c r="F56" i="4"/>
  <c r="F87" i="24"/>
  <c r="F98" i="24" s="1"/>
  <c r="N55" i="4"/>
  <c r="N74" i="24" s="1"/>
  <c r="N76" i="24" s="1"/>
  <c r="M55" i="4"/>
  <c r="M74" i="24"/>
  <c r="L55" i="4"/>
  <c r="L74" i="24" s="1"/>
  <c r="L76" i="24" s="1"/>
  <c r="X12" i="23" s="1"/>
  <c r="L12" i="23" s="1"/>
  <c r="L40" i="14" s="1"/>
  <c r="K55" i="4"/>
  <c r="K74" i="24"/>
  <c r="J55" i="4"/>
  <c r="J74" i="24" s="1"/>
  <c r="I55" i="4"/>
  <c r="I74" i="24"/>
  <c r="H55" i="4"/>
  <c r="H74" i="24" s="1"/>
  <c r="G55" i="4"/>
  <c r="G74" i="24"/>
  <c r="F55" i="4"/>
  <c r="F74" i="24" s="1"/>
  <c r="N54" i="4"/>
  <c r="N61" i="24" s="1"/>
  <c r="M54" i="4"/>
  <c r="M61" i="24" s="1"/>
  <c r="L54" i="4"/>
  <c r="L61" i="24" s="1"/>
  <c r="K54" i="4"/>
  <c r="K61" i="24"/>
  <c r="J54" i="4"/>
  <c r="J61" i="24" s="1"/>
  <c r="I54" i="4"/>
  <c r="I61" i="24" s="1"/>
  <c r="H54" i="4"/>
  <c r="H61" i="24" s="1"/>
  <c r="G54" i="4"/>
  <c r="G61" i="24"/>
  <c r="F54" i="4"/>
  <c r="F61" i="24" s="1"/>
  <c r="N53" i="4"/>
  <c r="N48" i="24"/>
  <c r="M53" i="4"/>
  <c r="M48" i="24"/>
  <c r="L53" i="4"/>
  <c r="L48" i="24"/>
  <c r="K53" i="4"/>
  <c r="K48" i="24"/>
  <c r="J53" i="4"/>
  <c r="J48" i="24"/>
  <c r="I53" i="4"/>
  <c r="I48" i="24"/>
  <c r="H53" i="4"/>
  <c r="H48" i="24"/>
  <c r="G53" i="4"/>
  <c r="G48" i="24"/>
  <c r="G59" i="24" s="1"/>
  <c r="F53" i="4"/>
  <c r="F48" i="24"/>
  <c r="E48" i="24"/>
  <c r="N52" i="4"/>
  <c r="N35" i="24" s="1"/>
  <c r="N38" i="24" s="1"/>
  <c r="M52" i="4"/>
  <c r="M35" i="24"/>
  <c r="L52" i="4"/>
  <c r="L35" i="24" s="1"/>
  <c r="K52" i="4"/>
  <c r="K35" i="24"/>
  <c r="J52" i="4"/>
  <c r="J35" i="24" s="1"/>
  <c r="J38" i="24" s="1"/>
  <c r="I52" i="4"/>
  <c r="I35" i="24"/>
  <c r="H52" i="4"/>
  <c r="H35" i="24" s="1"/>
  <c r="H38" i="24" s="1"/>
  <c r="G52" i="4"/>
  <c r="G35" i="24"/>
  <c r="F52" i="4"/>
  <c r="F35" i="24" s="1"/>
  <c r="F38" i="24" s="1"/>
  <c r="E35" i="24"/>
  <c r="N51" i="4"/>
  <c r="M51" i="4"/>
  <c r="L51" i="4"/>
  <c r="K51" i="4"/>
  <c r="J51" i="4"/>
  <c r="I51" i="4"/>
  <c r="H51" i="4"/>
  <c r="G51" i="4"/>
  <c r="F51" i="4"/>
  <c r="N50" i="4"/>
  <c r="N9" i="24" s="1"/>
  <c r="M50" i="4"/>
  <c r="M9" i="24"/>
  <c r="L50" i="4"/>
  <c r="L9" i="24" s="1"/>
  <c r="K50" i="4"/>
  <c r="K9" i="24"/>
  <c r="J50" i="4"/>
  <c r="J9" i="24" s="1"/>
  <c r="I50" i="4"/>
  <c r="I9" i="24"/>
  <c r="H50" i="4"/>
  <c r="H9" i="24" s="1"/>
  <c r="G50" i="4"/>
  <c r="G9" i="24"/>
  <c r="F50" i="4"/>
  <c r="F9" i="24" s="1"/>
  <c r="P29" i="23"/>
  <c r="P28" i="23"/>
  <c r="P27" i="23"/>
  <c r="P26" i="23"/>
  <c r="P25" i="23"/>
  <c r="P24" i="23"/>
  <c r="P23" i="23"/>
  <c r="P22" i="23"/>
  <c r="P21" i="23"/>
  <c r="P20" i="23"/>
  <c r="P19" i="23"/>
  <c r="P18" i="23"/>
  <c r="P17" i="23"/>
  <c r="P16" i="23"/>
  <c r="P15" i="23"/>
  <c r="P14" i="23"/>
  <c r="P13" i="23"/>
  <c r="P12" i="23"/>
  <c r="P11" i="23"/>
  <c r="P10" i="23"/>
  <c r="P9" i="23"/>
  <c r="P8" i="23"/>
  <c r="P7" i="23"/>
  <c r="P6" i="23"/>
  <c r="P5" i="23"/>
  <c r="P4" i="23"/>
  <c r="Z29" i="23"/>
  <c r="N29" i="23" s="1"/>
  <c r="Y29" i="23"/>
  <c r="X29" i="23"/>
  <c r="W29" i="23"/>
  <c r="K29" i="23" s="1"/>
  <c r="V29" i="23"/>
  <c r="J29" i="23" s="1"/>
  <c r="U29" i="23"/>
  <c r="T29" i="23"/>
  <c r="S29" i="23"/>
  <c r="G29" i="23" s="1"/>
  <c r="R29" i="23"/>
  <c r="F29" i="23" s="1"/>
  <c r="Q29" i="23"/>
  <c r="Z28" i="23"/>
  <c r="Y28" i="23"/>
  <c r="M28" i="23" s="1"/>
  <c r="X28" i="23"/>
  <c r="L28" i="23" s="1"/>
  <c r="W28" i="23"/>
  <c r="V28" i="23"/>
  <c r="J28" i="23" s="1"/>
  <c r="U28" i="23"/>
  <c r="I28" i="23" s="1"/>
  <c r="T28" i="23"/>
  <c r="H28" i="23" s="1"/>
  <c r="S28" i="23"/>
  <c r="R28" i="23"/>
  <c r="Q28" i="23"/>
  <c r="E28" i="23" s="1"/>
  <c r="Z25" i="23"/>
  <c r="Y25" i="23"/>
  <c r="X25" i="23"/>
  <c r="W25" i="23"/>
  <c r="K25" i="23" s="1"/>
  <c r="V25" i="23"/>
  <c r="J25" i="23" s="1"/>
  <c r="U25" i="23"/>
  <c r="T25" i="23"/>
  <c r="S25" i="23"/>
  <c r="G25" i="23" s="1"/>
  <c r="R25" i="23"/>
  <c r="F25" i="23" s="1"/>
  <c r="Z24" i="23"/>
  <c r="Y24" i="23"/>
  <c r="M24" i="23" s="1"/>
  <c r="X24" i="23"/>
  <c r="L24" i="23" s="1"/>
  <c r="W24" i="23"/>
  <c r="K24" i="23" s="1"/>
  <c r="V24" i="23"/>
  <c r="U24" i="23"/>
  <c r="T24" i="23"/>
  <c r="H24" i="23" s="1"/>
  <c r="S24" i="23"/>
  <c r="G24" i="23" s="1"/>
  <c r="R24" i="23"/>
  <c r="Q24" i="23"/>
  <c r="Z23" i="23"/>
  <c r="N23" i="23" s="1"/>
  <c r="Y23" i="23"/>
  <c r="M23" i="23" s="1"/>
  <c r="X23" i="23"/>
  <c r="W23" i="23"/>
  <c r="K23" i="23" s="1"/>
  <c r="V23" i="23"/>
  <c r="J23" i="23" s="1"/>
  <c r="U23" i="23"/>
  <c r="I23" i="23" s="1"/>
  <c r="T23" i="23"/>
  <c r="S23" i="23"/>
  <c r="G23" i="23" s="1"/>
  <c r="R23" i="23"/>
  <c r="F23" i="23" s="1"/>
  <c r="Q23" i="23"/>
  <c r="E23" i="23" s="1"/>
  <c r="Z20" i="23"/>
  <c r="Y20" i="23"/>
  <c r="M20" i="23" s="1"/>
  <c r="X20" i="23"/>
  <c r="L20" i="23" s="1"/>
  <c r="W20" i="23"/>
  <c r="K20" i="23" s="1"/>
  <c r="V20" i="23"/>
  <c r="U20" i="23"/>
  <c r="T20" i="23"/>
  <c r="H20" i="23" s="1"/>
  <c r="S20" i="23"/>
  <c r="G20" i="23" s="1"/>
  <c r="R20" i="23"/>
  <c r="Q20" i="23"/>
  <c r="Z19" i="23"/>
  <c r="N19" i="23" s="1"/>
  <c r="Y19" i="23"/>
  <c r="M19" i="23" s="1"/>
  <c r="X19" i="23"/>
  <c r="W19" i="23"/>
  <c r="K19" i="23" s="1"/>
  <c r="V19" i="23"/>
  <c r="J19" i="23" s="1"/>
  <c r="U19" i="23"/>
  <c r="I19" i="23" s="1"/>
  <c r="T19" i="23"/>
  <c r="S19" i="23"/>
  <c r="R19" i="23"/>
  <c r="F19" i="23" s="1"/>
  <c r="Q19" i="23"/>
  <c r="E19" i="23" s="1"/>
  <c r="Z18" i="23"/>
  <c r="Y18" i="23"/>
  <c r="M18" i="23" s="1"/>
  <c r="X18" i="23"/>
  <c r="L18" i="23" s="1"/>
  <c r="W18" i="23"/>
  <c r="K18" i="23" s="1"/>
  <c r="V18" i="23"/>
  <c r="U18" i="23"/>
  <c r="T18" i="23"/>
  <c r="H18" i="23" s="1"/>
  <c r="S18" i="23"/>
  <c r="G18" i="23" s="1"/>
  <c r="R18" i="23"/>
  <c r="Q18" i="23"/>
  <c r="Z17" i="23"/>
  <c r="N17" i="23" s="1"/>
  <c r="Y17" i="23"/>
  <c r="M17" i="23" s="1"/>
  <c r="X17" i="23"/>
  <c r="W17" i="23"/>
  <c r="V17" i="23"/>
  <c r="J17" i="23" s="1"/>
  <c r="U17" i="23"/>
  <c r="I17" i="23" s="1"/>
  <c r="T17" i="23"/>
  <c r="S17" i="23"/>
  <c r="G17" i="23" s="1"/>
  <c r="R17" i="23"/>
  <c r="F17" i="23" s="1"/>
  <c r="Q17" i="23"/>
  <c r="E17" i="23" s="1"/>
  <c r="Z16" i="23"/>
  <c r="Y16" i="23"/>
  <c r="M16" i="23" s="1"/>
  <c r="X16" i="23"/>
  <c r="L16" i="23" s="1"/>
  <c r="W16" i="23"/>
  <c r="K16" i="23" s="1"/>
  <c r="V16" i="23"/>
  <c r="U16" i="23"/>
  <c r="T16" i="23"/>
  <c r="H16" i="23" s="1"/>
  <c r="S16" i="23"/>
  <c r="G16" i="23" s="1"/>
  <c r="G193" i="14" s="1"/>
  <c r="G195" i="14" s="1"/>
  <c r="R16" i="23"/>
  <c r="F16" i="23" s="1"/>
  <c r="Q16" i="23"/>
  <c r="E16" i="23" s="1"/>
  <c r="Z15" i="23"/>
  <c r="Y15" i="23"/>
  <c r="X15" i="23"/>
  <c r="W15" i="23"/>
  <c r="V15" i="23"/>
  <c r="U15" i="23"/>
  <c r="T15" i="23"/>
  <c r="S15" i="23"/>
  <c r="R15" i="23"/>
  <c r="Q15" i="23"/>
  <c r="Z14" i="23"/>
  <c r="Y14" i="23"/>
  <c r="X14" i="23"/>
  <c r="L14" i="23" s="1"/>
  <c r="W14" i="23"/>
  <c r="K14" i="23" s="1"/>
  <c r="V14" i="23"/>
  <c r="U14" i="23"/>
  <c r="T14" i="23"/>
  <c r="H14" i="23" s="1"/>
  <c r="S14" i="23"/>
  <c r="G14" i="23" s="1"/>
  <c r="R14" i="23"/>
  <c r="Q14" i="23"/>
  <c r="Z8" i="23"/>
  <c r="N8" i="23" s="1"/>
  <c r="Y8" i="23"/>
  <c r="X8" i="23"/>
  <c r="W8" i="23"/>
  <c r="K8" i="23" s="1"/>
  <c r="V8" i="23"/>
  <c r="J8" i="23" s="1"/>
  <c r="U8" i="23"/>
  <c r="I8" i="23" s="1"/>
  <c r="T8" i="23"/>
  <c r="S8" i="23"/>
  <c r="G8" i="23" s="1"/>
  <c r="R8" i="23"/>
  <c r="F8" i="23" s="1"/>
  <c r="Q8" i="23"/>
  <c r="E8" i="23" s="1"/>
  <c r="Z6" i="23"/>
  <c r="Y6" i="23"/>
  <c r="X6" i="23"/>
  <c r="L6" i="23" s="1"/>
  <c r="L162" i="14" s="1"/>
  <c r="W6" i="23"/>
  <c r="K6" i="23" s="1"/>
  <c r="K162" i="14" s="1"/>
  <c r="V6" i="23"/>
  <c r="U6" i="23"/>
  <c r="T6" i="23"/>
  <c r="H6" i="23" s="1"/>
  <c r="H162" i="14" s="1"/>
  <c r="S6" i="23"/>
  <c r="G6" i="23" s="1"/>
  <c r="G162" i="14" s="1"/>
  <c r="R6" i="23"/>
  <c r="Z4" i="23"/>
  <c r="N4" i="23" s="1"/>
  <c r="Y4" i="23"/>
  <c r="M4" i="23" s="1"/>
  <c r="X4" i="23"/>
  <c r="L4" i="23" s="1"/>
  <c r="W4" i="23"/>
  <c r="V4" i="23"/>
  <c r="J4" i="23" s="1"/>
  <c r="U4" i="23"/>
  <c r="I4" i="23" s="1"/>
  <c r="T4" i="23"/>
  <c r="H4" i="23" s="1"/>
  <c r="S4" i="23"/>
  <c r="R4" i="23"/>
  <c r="Q4" i="23"/>
  <c r="E4" i="23" s="1"/>
  <c r="AM46" i="20"/>
  <c r="AK46" i="20"/>
  <c r="AH46" i="20"/>
  <c r="AF46" i="20"/>
  <c r="AD46" i="20"/>
  <c r="AB46" i="20"/>
  <c r="Z46" i="20"/>
  <c r="AM51" i="20"/>
  <c r="AK51" i="20"/>
  <c r="AH51" i="20"/>
  <c r="AF51" i="20"/>
  <c r="AD51" i="20"/>
  <c r="AB51" i="20"/>
  <c r="Z51" i="20"/>
  <c r="AM50" i="20"/>
  <c r="AK50" i="20"/>
  <c r="AH50" i="20"/>
  <c r="AF50" i="20"/>
  <c r="AD50" i="20"/>
  <c r="AB50" i="20"/>
  <c r="Z50" i="20"/>
  <c r="AM47" i="20"/>
  <c r="AK47" i="20"/>
  <c r="AH47" i="20"/>
  <c r="AF47" i="20"/>
  <c r="AD47" i="20"/>
  <c r="AB47" i="20"/>
  <c r="Z47" i="20"/>
  <c r="AM49" i="20"/>
  <c r="AK49" i="20"/>
  <c r="AH49" i="20"/>
  <c r="AF49" i="20"/>
  <c r="AD49" i="20"/>
  <c r="AB49" i="20"/>
  <c r="Z49" i="20"/>
  <c r="E33" i="20"/>
  <c r="E26" i="41"/>
  <c r="E27" i="31"/>
  <c r="E34" i="29"/>
  <c r="F23" i="45"/>
  <c r="F24" i="44"/>
  <c r="N45" i="4"/>
  <c r="M45" i="4"/>
  <c r="L45" i="4"/>
  <c r="K45" i="4"/>
  <c r="J45" i="4"/>
  <c r="I45" i="4"/>
  <c r="I231" i="37"/>
  <c r="H45" i="4"/>
  <c r="F45" i="4"/>
  <c r="E45" i="4"/>
  <c r="M17" i="14"/>
  <c r="I478" i="14"/>
  <c r="I480" i="14"/>
  <c r="E478" i="14"/>
  <c r="E480" i="14"/>
  <c r="O12" i="41" s="1"/>
  <c r="N47" i="4"/>
  <c r="M47" i="4"/>
  <c r="L47" i="4"/>
  <c r="L69" i="14" s="1"/>
  <c r="K47" i="4"/>
  <c r="J47" i="4"/>
  <c r="I47" i="4"/>
  <c r="H47" i="4"/>
  <c r="H118" i="14" s="1"/>
  <c r="G118" i="14"/>
  <c r="F47" i="4"/>
  <c r="F118" i="14" s="1"/>
  <c r="E47" i="4"/>
  <c r="B23" i="34"/>
  <c r="C23" i="34" s="1"/>
  <c r="N44" i="4"/>
  <c r="M44" i="4"/>
  <c r="L44" i="4"/>
  <c r="K44" i="4"/>
  <c r="J44" i="4"/>
  <c r="I44" i="4"/>
  <c r="H44" i="4"/>
  <c r="F44" i="4"/>
  <c r="F853" i="14" s="1"/>
  <c r="E44" i="4"/>
  <c r="N43" i="4"/>
  <c r="M43" i="4"/>
  <c r="L43" i="4"/>
  <c r="K43" i="4"/>
  <c r="J43" i="4"/>
  <c r="I43" i="4"/>
  <c r="H43" i="4"/>
  <c r="F43" i="4"/>
  <c r="E43" i="4"/>
  <c r="N42" i="4"/>
  <c r="M42" i="4"/>
  <c r="M622" i="14" s="1"/>
  <c r="L42" i="4"/>
  <c r="K42" i="4"/>
  <c r="K622" i="14"/>
  <c r="J42" i="4"/>
  <c r="I42" i="4"/>
  <c r="I622" i="14" s="1"/>
  <c r="H42" i="4"/>
  <c r="H68" i="8" s="1"/>
  <c r="G622" i="14"/>
  <c r="F42" i="4"/>
  <c r="F628" i="14"/>
  <c r="E42" i="4"/>
  <c r="E622" i="14"/>
  <c r="N41" i="4"/>
  <c r="M41" i="4"/>
  <c r="L41" i="4"/>
  <c r="L438" i="14"/>
  <c r="K41" i="4"/>
  <c r="K120" i="14"/>
  <c r="J41" i="4"/>
  <c r="J438" i="14"/>
  <c r="I41" i="4"/>
  <c r="H41" i="4"/>
  <c r="H438" i="14" s="1"/>
  <c r="G65" i="14"/>
  <c r="F41" i="4"/>
  <c r="F67" i="8"/>
  <c r="E41" i="4"/>
  <c r="E65" i="14"/>
  <c r="N39" i="4"/>
  <c r="M39" i="4"/>
  <c r="L39" i="4"/>
  <c r="K39" i="4"/>
  <c r="J39" i="4"/>
  <c r="I39" i="4"/>
  <c r="I1019" i="14" s="1"/>
  <c r="H39" i="4"/>
  <c r="F39" i="4"/>
  <c r="E39" i="4"/>
  <c r="N38" i="4"/>
  <c r="N229" i="37" s="1"/>
  <c r="M38" i="4"/>
  <c r="L38" i="4"/>
  <c r="K38" i="4"/>
  <c r="J38" i="4"/>
  <c r="I38" i="4"/>
  <c r="H38" i="4"/>
  <c r="F38" i="4"/>
  <c r="E38" i="4"/>
  <c r="N61" i="8"/>
  <c r="K61" i="8"/>
  <c r="J61" i="8"/>
  <c r="N34" i="4"/>
  <c r="N398" i="14"/>
  <c r="M34" i="4"/>
  <c r="M109" i="14"/>
  <c r="L34" i="4"/>
  <c r="L116" i="14"/>
  <c r="K34" i="4"/>
  <c r="J34" i="4"/>
  <c r="J116" i="14" s="1"/>
  <c r="I34" i="4"/>
  <c r="I398" i="14" s="1"/>
  <c r="H34" i="4"/>
  <c r="H398" i="14" s="1"/>
  <c r="G116" i="14"/>
  <c r="G94" i="14" s="1"/>
  <c r="F34" i="4"/>
  <c r="F851" i="14" s="1"/>
  <c r="F403" i="14" s="1"/>
  <c r="E34" i="4"/>
  <c r="N31" i="4"/>
  <c r="N16" i="14" s="1"/>
  <c r="M31" i="4"/>
  <c r="M16" i="14" s="1"/>
  <c r="M28" i="46" s="1"/>
  <c r="L31" i="4"/>
  <c r="L16" i="14"/>
  <c r="K31" i="4"/>
  <c r="K16" i="14"/>
  <c r="J31" i="4"/>
  <c r="J16" i="14"/>
  <c r="I31" i="4"/>
  <c r="I16" i="14"/>
  <c r="I28" i="46" s="1"/>
  <c r="H31" i="4"/>
  <c r="H16" i="14" s="1"/>
  <c r="G16" i="14"/>
  <c r="G28" i="46" s="1"/>
  <c r="F31" i="4"/>
  <c r="F16" i="14"/>
  <c r="N29" i="4"/>
  <c r="M29" i="4"/>
  <c r="M117" i="14" s="1"/>
  <c r="L29" i="4"/>
  <c r="L117" i="14"/>
  <c r="K29" i="4"/>
  <c r="J29" i="4"/>
  <c r="J850" i="14" s="1"/>
  <c r="I29" i="4"/>
  <c r="H29" i="4"/>
  <c r="H850" i="14" s="1"/>
  <c r="H321" i="14" s="1"/>
  <c r="G220" i="37"/>
  <c r="F29" i="4"/>
  <c r="E29" i="4"/>
  <c r="B20" i="34"/>
  <c r="C20" i="34" s="1"/>
  <c r="M55" i="8"/>
  <c r="I270" i="14"/>
  <c r="E270" i="14"/>
  <c r="E14" i="28"/>
  <c r="N25" i="4"/>
  <c r="N848" i="14"/>
  <c r="N276" i="14" s="1"/>
  <c r="M25" i="4"/>
  <c r="L25" i="4"/>
  <c r="K25" i="4"/>
  <c r="J25" i="4"/>
  <c r="J48" i="14" s="1"/>
  <c r="J60" i="46" s="1"/>
  <c r="J119" i="14"/>
  <c r="I25" i="4"/>
  <c r="I119" i="14"/>
  <c r="H25" i="4"/>
  <c r="G29" i="14"/>
  <c r="G10" i="14" s="1"/>
  <c r="G22" i="46" s="1"/>
  <c r="F25" i="4"/>
  <c r="F848" i="14"/>
  <c r="F276" i="14" s="1"/>
  <c r="E25" i="4"/>
  <c r="N23" i="4"/>
  <c r="M23" i="4"/>
  <c r="L23" i="4"/>
  <c r="K23" i="4"/>
  <c r="K214" i="37" s="1"/>
  <c r="J23" i="4"/>
  <c r="J214" i="37" s="1"/>
  <c r="I23" i="4"/>
  <c r="H23" i="4"/>
  <c r="F23" i="4"/>
  <c r="F214" i="37" s="1"/>
  <c r="E23" i="4"/>
  <c r="N22" i="4"/>
  <c r="M22" i="4"/>
  <c r="M213" i="37" s="1"/>
  <c r="L22" i="4"/>
  <c r="L213" i="37" s="1"/>
  <c r="K22" i="4"/>
  <c r="J22" i="4"/>
  <c r="I22" i="4"/>
  <c r="I213" i="37" s="1"/>
  <c r="H22" i="4"/>
  <c r="H213" i="37" s="1"/>
  <c r="F22" i="4"/>
  <c r="E22" i="4"/>
  <c r="E213" i="37"/>
  <c r="N21" i="4"/>
  <c r="N212" i="37"/>
  <c r="M21" i="4"/>
  <c r="L21" i="4"/>
  <c r="K21" i="4"/>
  <c r="K212" i="37"/>
  <c r="J21" i="4"/>
  <c r="J212" i="37"/>
  <c r="I21" i="4"/>
  <c r="H21" i="4"/>
  <c r="F21" i="4"/>
  <c r="F212" i="37"/>
  <c r="E21" i="4"/>
  <c r="N19" i="4"/>
  <c r="M19" i="4"/>
  <c r="M44" i="8"/>
  <c r="L19" i="4"/>
  <c r="L44" i="8"/>
  <c r="K19" i="4"/>
  <c r="J19" i="4"/>
  <c r="I19" i="4"/>
  <c r="H19" i="4"/>
  <c r="H44" i="8" s="1"/>
  <c r="F19" i="4"/>
  <c r="E19" i="4"/>
  <c r="E44" i="8"/>
  <c r="N17" i="4"/>
  <c r="N37" i="37"/>
  <c r="M17" i="4"/>
  <c r="L17" i="4"/>
  <c r="K17" i="4"/>
  <c r="K210" i="37"/>
  <c r="J17" i="4"/>
  <c r="J37" i="37"/>
  <c r="I17" i="4"/>
  <c r="H17" i="4"/>
  <c r="G210" i="37"/>
  <c r="F17" i="4"/>
  <c r="F37" i="37" s="1"/>
  <c r="E17" i="4"/>
  <c r="K209" i="37"/>
  <c r="G209" i="37"/>
  <c r="N15" i="4"/>
  <c r="N36" i="37"/>
  <c r="M15" i="4"/>
  <c r="L15" i="4"/>
  <c r="K15" i="4"/>
  <c r="K36" i="37"/>
  <c r="J15" i="4"/>
  <c r="J36" i="37"/>
  <c r="I15" i="4"/>
  <c r="H15" i="4"/>
  <c r="G36" i="37"/>
  <c r="F15" i="4"/>
  <c r="F36" i="37" s="1"/>
  <c r="E15" i="4"/>
  <c r="K39" i="8"/>
  <c r="G39" i="8"/>
  <c r="N13" i="4"/>
  <c r="N206" i="37"/>
  <c r="M13" i="4"/>
  <c r="L13" i="4"/>
  <c r="K13" i="4"/>
  <c r="K206" i="37"/>
  <c r="J13" i="4"/>
  <c r="J35" i="37"/>
  <c r="I13" i="4"/>
  <c r="H13" i="4"/>
  <c r="F13" i="4"/>
  <c r="F35" i="37"/>
  <c r="E13" i="4"/>
  <c r="K37" i="8"/>
  <c r="K17" i="10" s="1"/>
  <c r="G37" i="8"/>
  <c r="N11" i="4"/>
  <c r="N204" i="37"/>
  <c r="M11" i="4"/>
  <c r="L11" i="4"/>
  <c r="K11" i="4"/>
  <c r="K204" i="37"/>
  <c r="J11" i="4"/>
  <c r="J36" i="8"/>
  <c r="I11" i="4"/>
  <c r="H11" i="4"/>
  <c r="G204" i="37"/>
  <c r="F11" i="4"/>
  <c r="F36" i="8" s="1"/>
  <c r="E11" i="4"/>
  <c r="N9" i="4"/>
  <c r="N202" i="37"/>
  <c r="M9" i="4"/>
  <c r="M202" i="37"/>
  <c r="L9" i="4"/>
  <c r="L202" i="37"/>
  <c r="K9" i="4"/>
  <c r="J9" i="4"/>
  <c r="I9" i="4"/>
  <c r="I202" i="37"/>
  <c r="H9" i="4"/>
  <c r="H202" i="37"/>
  <c r="F9" i="4"/>
  <c r="F34" i="8"/>
  <c r="F33" i="37" s="1"/>
  <c r="E9" i="4"/>
  <c r="E202" i="37" s="1"/>
  <c r="J6" i="4"/>
  <c r="D41" i="1"/>
  <c r="G6" i="4" s="1"/>
  <c r="M6" i="4"/>
  <c r="E317" i="14"/>
  <c r="E319" i="14"/>
  <c r="G13" i="29" s="1"/>
  <c r="E37" i="14"/>
  <c r="E49" i="46" s="1"/>
  <c r="E38" i="14"/>
  <c r="E50" i="46" s="1"/>
  <c r="E51" i="24"/>
  <c r="Q27" i="23" s="1"/>
  <c r="E27" i="23" s="1"/>
  <c r="E50" i="24"/>
  <c r="E852" i="14"/>
  <c r="E853" i="14"/>
  <c r="B26" i="34"/>
  <c r="C26" i="34" s="1"/>
  <c r="E872" i="14"/>
  <c r="E921" i="14"/>
  <c r="E970" i="14"/>
  <c r="E1019" i="14"/>
  <c r="E272" i="14"/>
  <c r="E398" i="14"/>
  <c r="Z16" i="29" s="1"/>
  <c r="E624" i="14"/>
  <c r="O9" i="31" s="1"/>
  <c r="E551" i="14"/>
  <c r="E592" i="14"/>
  <c r="E87" i="22"/>
  <c r="E595" i="14"/>
  <c r="E88" i="22"/>
  <c r="E598" i="14"/>
  <c r="E89" i="22"/>
  <c r="E601" i="14"/>
  <c r="E90" i="22"/>
  <c r="F317" i="14"/>
  <c r="F319" i="14"/>
  <c r="F850" i="14"/>
  <c r="F51" i="24"/>
  <c r="F77" i="24"/>
  <c r="R21" i="23" s="1"/>
  <c r="F21" i="23" s="1"/>
  <c r="F872" i="14"/>
  <c r="F921" i="14"/>
  <c r="F970" i="14"/>
  <c r="F1019" i="14"/>
  <c r="F270" i="14"/>
  <c r="F272" i="14"/>
  <c r="F398" i="14"/>
  <c r="F478" i="14"/>
  <c r="F480" i="14" s="1"/>
  <c r="F377" i="14"/>
  <c r="G317" i="14"/>
  <c r="G319" i="14" s="1"/>
  <c r="G36" i="14"/>
  <c r="G48" i="46" s="1"/>
  <c r="G37" i="14"/>
  <c r="G38" i="14"/>
  <c r="G77" i="24"/>
  <c r="G628" i="14"/>
  <c r="G852" i="14"/>
  <c r="G853" i="14"/>
  <c r="G592" i="14" s="1"/>
  <c r="G872" i="14"/>
  <c r="G921" i="14"/>
  <c r="G970" i="14"/>
  <c r="G1019" i="14"/>
  <c r="G270" i="14"/>
  <c r="G272" i="14"/>
  <c r="G478" i="14"/>
  <c r="G480" i="14" s="1"/>
  <c r="G624" i="14"/>
  <c r="G631" i="14" s="1"/>
  <c r="G551" i="14"/>
  <c r="H317" i="14"/>
  <c r="H319" i="14"/>
  <c r="H37" i="14"/>
  <c r="H852" i="14"/>
  <c r="H270" i="14"/>
  <c r="H272" i="14"/>
  <c r="H851" i="14"/>
  <c r="H403" i="14" s="1"/>
  <c r="H478" i="14"/>
  <c r="H480" i="14" s="1"/>
  <c r="H352" i="14"/>
  <c r="H25" i="23"/>
  <c r="H377" i="14" s="1"/>
  <c r="H551" i="14"/>
  <c r="I317" i="14"/>
  <c r="I319" i="14"/>
  <c r="I850" i="14"/>
  <c r="I118" i="14"/>
  <c r="I36" i="14"/>
  <c r="I48" i="46"/>
  <c r="I37" i="14"/>
  <c r="I38" i="14"/>
  <c r="I120" i="14"/>
  <c r="I50" i="24"/>
  <c r="U22" i="23" s="1"/>
  <c r="I22" i="23" s="1"/>
  <c r="I76" i="24"/>
  <c r="U12" i="23" s="1"/>
  <c r="I12" i="23" s="1"/>
  <c r="I40" i="14" s="1"/>
  <c r="I52" i="46" s="1"/>
  <c r="I447" i="14"/>
  <c r="I1824" i="14" s="1"/>
  <c r="I1829" i="14"/>
  <c r="I849" i="14"/>
  <c r="I628" i="14"/>
  <c r="I852" i="14"/>
  <c r="I853" i="14"/>
  <c r="I592" i="14" s="1"/>
  <c r="I872" i="14"/>
  <c r="I970" i="14"/>
  <c r="I16" i="23"/>
  <c r="I189" i="14" s="1"/>
  <c r="I191" i="14" s="1"/>
  <c r="I272" i="14"/>
  <c r="I399" i="14"/>
  <c r="I851" i="14"/>
  <c r="I403" i="14"/>
  <c r="I25" i="23"/>
  <c r="I377" i="14" s="1"/>
  <c r="I624" i="14"/>
  <c r="I551" i="14"/>
  <c r="I65" i="14"/>
  <c r="J317" i="14"/>
  <c r="J319" i="14"/>
  <c r="J38" i="14"/>
  <c r="J50" i="24"/>
  <c r="V22" i="23" s="1"/>
  <c r="J22" i="23" s="1"/>
  <c r="J77" i="24"/>
  <c r="J853" i="14"/>
  <c r="J601" i="14" s="1"/>
  <c r="J872" i="14"/>
  <c r="J921" i="14"/>
  <c r="J970" i="14"/>
  <c r="J1019" i="14"/>
  <c r="J16" i="23"/>
  <c r="J709" i="14" s="1"/>
  <c r="J711" i="14" s="1"/>
  <c r="J848" i="14"/>
  <c r="J276" i="14"/>
  <c r="J270" i="14"/>
  <c r="J272" i="14"/>
  <c r="J399" i="14"/>
  <c r="J478" i="14"/>
  <c r="J480" i="14"/>
  <c r="J592" i="14"/>
  <c r="J87" i="22"/>
  <c r="J90" i="22"/>
  <c r="N116" i="14"/>
  <c r="N97" i="14"/>
  <c r="N85" i="37" s="1"/>
  <c r="N99" i="14"/>
  <c r="N117" i="14"/>
  <c r="N101" i="14"/>
  <c r="E116" i="14"/>
  <c r="E95" i="14" s="1"/>
  <c r="E99" i="14"/>
  <c r="E117" i="14"/>
  <c r="E101" i="14"/>
  <c r="E38" i="24"/>
  <c r="F99" i="14"/>
  <c r="F117" i="14"/>
  <c r="F101" i="14"/>
  <c r="G99" i="14"/>
  <c r="G38" i="24"/>
  <c r="G63" i="24"/>
  <c r="H63" i="24"/>
  <c r="I116" i="14"/>
  <c r="I97" i="14"/>
  <c r="I85" i="37" s="1"/>
  <c r="I99" i="14"/>
  <c r="I117" i="14"/>
  <c r="I101" i="14"/>
  <c r="I38" i="24"/>
  <c r="J99" i="14"/>
  <c r="K99" i="14"/>
  <c r="K38" i="24"/>
  <c r="K63" i="24"/>
  <c r="L118" i="14"/>
  <c r="L100" i="14" s="1"/>
  <c r="L86" i="37" s="1"/>
  <c r="L38" i="24"/>
  <c r="M116" i="14"/>
  <c r="M95" i="14"/>
  <c r="M99" i="14"/>
  <c r="M118" i="14"/>
  <c r="M35" i="14" s="1"/>
  <c r="M38" i="24"/>
  <c r="N38" i="14"/>
  <c r="N51" i="24"/>
  <c r="K36" i="14"/>
  <c r="K60" i="37" s="1"/>
  <c r="K37" i="14"/>
  <c r="K49" i="46" s="1"/>
  <c r="K38" i="14"/>
  <c r="K51" i="24"/>
  <c r="W27" i="23" s="1"/>
  <c r="K27" i="23" s="1"/>
  <c r="K76" i="24"/>
  <c r="L37" i="14"/>
  <c r="L51" i="24"/>
  <c r="M36" i="14"/>
  <c r="M48" i="46" s="1"/>
  <c r="M37" i="14"/>
  <c r="M38" i="14"/>
  <c r="M120" i="14"/>
  <c r="M51" i="24"/>
  <c r="M76" i="24"/>
  <c r="N119" i="14"/>
  <c r="N8" i="14"/>
  <c r="N9" i="14"/>
  <c r="N30" i="14"/>
  <c r="N11" i="14" s="1"/>
  <c r="N23" i="46"/>
  <c r="N13" i="14"/>
  <c r="N25" i="46"/>
  <c r="N17" i="14"/>
  <c r="N51" i="37"/>
  <c r="N109" i="14"/>
  <c r="N13" i="24"/>
  <c r="N37" i="24"/>
  <c r="N89" i="24"/>
  <c r="Z13" i="23" s="1"/>
  <c r="N13" i="23" s="1"/>
  <c r="E9" i="14"/>
  <c r="E21" i="46"/>
  <c r="E30" i="14"/>
  <c r="E11" i="14"/>
  <c r="E23" i="46" s="1"/>
  <c r="E12" i="14"/>
  <c r="E24" i="46"/>
  <c r="E13" i="14"/>
  <c r="E25" i="46" s="1"/>
  <c r="E14" i="14"/>
  <c r="E50" i="37" s="1"/>
  <c r="E17" i="14"/>
  <c r="E29" i="46" s="1"/>
  <c r="E109" i="14"/>
  <c r="F9" i="14"/>
  <c r="F29" i="14"/>
  <c r="F10" i="14" s="1"/>
  <c r="F30" i="14"/>
  <c r="F11" i="14" s="1"/>
  <c r="F23" i="46" s="1"/>
  <c r="F12" i="14"/>
  <c r="F24" i="46"/>
  <c r="F13" i="14"/>
  <c r="F17" i="14"/>
  <c r="F51" i="37" s="1"/>
  <c r="F109" i="14"/>
  <c r="F13" i="24"/>
  <c r="F89" i="24"/>
  <c r="R13" i="23" s="1"/>
  <c r="F13" i="23" s="1"/>
  <c r="G9" i="14"/>
  <c r="G21" i="46" s="1"/>
  <c r="G30" i="14"/>
  <c r="G11" i="14" s="1"/>
  <c r="G23" i="46" s="1"/>
  <c r="G14" i="14"/>
  <c r="G26" i="46"/>
  <c r="G17" i="14"/>
  <c r="G51" i="37" s="1"/>
  <c r="G13" i="24"/>
  <c r="G89" i="24"/>
  <c r="S13" i="23" s="1"/>
  <c r="G13" i="23" s="1"/>
  <c r="H119" i="14"/>
  <c r="H8" i="14" s="1"/>
  <c r="H20" i="46" s="1"/>
  <c r="H9" i="14"/>
  <c r="H29" i="14"/>
  <c r="H10" i="14" s="1"/>
  <c r="H22" i="46" s="1"/>
  <c r="H30" i="14"/>
  <c r="H11" i="14"/>
  <c r="H23" i="46" s="1"/>
  <c r="H13" i="14"/>
  <c r="H17" i="14"/>
  <c r="H29" i="46"/>
  <c r="H109" i="14"/>
  <c r="H13" i="24"/>
  <c r="H37" i="24"/>
  <c r="H89" i="24"/>
  <c r="I9" i="14"/>
  <c r="I21" i="46"/>
  <c r="I30" i="14"/>
  <c r="I11" i="14"/>
  <c r="I13" i="14"/>
  <c r="I14" i="14"/>
  <c r="I50" i="37" s="1"/>
  <c r="I109" i="14"/>
  <c r="I13" i="24"/>
  <c r="I89" i="24"/>
  <c r="J9" i="14"/>
  <c r="J21" i="46"/>
  <c r="J29" i="14"/>
  <c r="J10" i="14"/>
  <c r="J22" i="46" s="1"/>
  <c r="J30" i="14"/>
  <c r="J11" i="14" s="1"/>
  <c r="J13" i="14"/>
  <c r="J25" i="46" s="1"/>
  <c r="J17" i="14"/>
  <c r="J29" i="46" s="1"/>
  <c r="J13" i="24"/>
  <c r="J37" i="24"/>
  <c r="J89" i="24"/>
  <c r="V13" i="23" s="1"/>
  <c r="J13" i="23" s="1"/>
  <c r="K9" i="14"/>
  <c r="K21" i="46"/>
  <c r="K29" i="14"/>
  <c r="K10" i="14"/>
  <c r="K22" i="46" s="1"/>
  <c r="K30" i="14"/>
  <c r="K11" i="14" s="1"/>
  <c r="K14" i="14"/>
  <c r="K17" i="14"/>
  <c r="K51" i="37"/>
  <c r="K13" i="24"/>
  <c r="K37" i="24"/>
  <c r="K89" i="24"/>
  <c r="W13" i="23" s="1"/>
  <c r="K13" i="23" s="1"/>
  <c r="L9" i="14"/>
  <c r="L29" i="14"/>
  <c r="L10" i="14"/>
  <c r="L22" i="46" s="1"/>
  <c r="L30" i="14"/>
  <c r="L11" i="14" s="1"/>
  <c r="L17" i="14"/>
  <c r="L51" i="37" s="1"/>
  <c r="L109" i="14"/>
  <c r="L54" i="14" s="1"/>
  <c r="L66" i="46" s="1"/>
  <c r="L13" i="24"/>
  <c r="L89" i="24"/>
  <c r="X13" i="23" s="1"/>
  <c r="L13" i="23" s="1"/>
  <c r="M9" i="14"/>
  <c r="M30" i="14"/>
  <c r="M11" i="14" s="1"/>
  <c r="M13" i="14"/>
  <c r="M14" i="14"/>
  <c r="M13" i="24"/>
  <c r="M89" i="24"/>
  <c r="Y13" i="23" s="1"/>
  <c r="M13" i="23" s="1"/>
  <c r="N853" i="14"/>
  <c r="N872" i="14"/>
  <c r="N921" i="14"/>
  <c r="N970" i="14"/>
  <c r="N1019" i="14"/>
  <c r="N1071" i="14"/>
  <c r="N1120" i="14"/>
  <c r="N1169" i="14"/>
  <c r="N1218" i="14"/>
  <c r="N1285" i="14"/>
  <c r="N1334" i="14"/>
  <c r="N1383" i="14"/>
  <c r="N1432" i="14"/>
  <c r="N1484" i="14"/>
  <c r="N1533" i="14"/>
  <c r="N1582" i="14"/>
  <c r="N1631" i="14"/>
  <c r="N1683" i="14"/>
  <c r="N1732" i="14"/>
  <c r="N1781" i="14"/>
  <c r="N1830" i="14"/>
  <c r="E1071" i="14"/>
  <c r="E1120" i="14"/>
  <c r="E1169" i="14"/>
  <c r="E1218" i="14"/>
  <c r="E1285" i="14"/>
  <c r="E1334" i="14"/>
  <c r="E1383" i="14"/>
  <c r="E1432" i="14"/>
  <c r="E1484" i="14"/>
  <c r="E1533" i="14"/>
  <c r="E1582" i="14"/>
  <c r="E1631" i="14"/>
  <c r="E1683" i="14"/>
  <c r="E1732" i="14"/>
  <c r="E1781" i="14"/>
  <c r="E1830" i="14"/>
  <c r="F1071" i="14"/>
  <c r="F1120" i="14"/>
  <c r="F1169" i="14"/>
  <c r="F1218" i="14"/>
  <c r="F1285" i="14"/>
  <c r="F1334" i="14"/>
  <c r="F1383" i="14"/>
  <c r="F1432" i="14"/>
  <c r="F1484" i="14"/>
  <c r="F1533" i="14"/>
  <c r="F1582" i="14"/>
  <c r="F1631" i="14"/>
  <c r="F1683" i="14"/>
  <c r="F1732" i="14"/>
  <c r="F1781" i="14"/>
  <c r="F1830" i="14"/>
  <c r="G1071" i="14"/>
  <c r="G1120" i="14"/>
  <c r="G1169" i="14"/>
  <c r="G1218" i="14"/>
  <c r="G1285" i="14"/>
  <c r="G1334" i="14"/>
  <c r="G1383" i="14"/>
  <c r="G1432" i="14"/>
  <c r="G1484" i="14"/>
  <c r="G1533" i="14"/>
  <c r="G1582" i="14"/>
  <c r="G1631" i="14"/>
  <c r="G1683" i="14"/>
  <c r="G1732" i="14"/>
  <c r="G1781" i="14"/>
  <c r="G1830" i="14"/>
  <c r="H1334" i="14"/>
  <c r="H1683" i="14"/>
  <c r="I1071" i="14"/>
  <c r="I1120" i="14"/>
  <c r="I1169" i="14"/>
  <c r="I1218" i="14"/>
  <c r="I1285" i="14"/>
  <c r="I1334" i="14"/>
  <c r="I1383" i="14"/>
  <c r="I1432" i="14"/>
  <c r="I1484" i="14"/>
  <c r="I1533" i="14"/>
  <c r="I1582" i="14"/>
  <c r="I1631" i="14"/>
  <c r="I1683" i="14"/>
  <c r="I1732" i="14"/>
  <c r="I1781" i="14"/>
  <c r="I1830" i="14"/>
  <c r="J1071" i="14"/>
  <c r="J1120" i="14"/>
  <c r="J1169" i="14"/>
  <c r="J1218" i="14"/>
  <c r="J1285" i="14"/>
  <c r="J1334" i="14"/>
  <c r="J1383" i="14"/>
  <c r="J1432" i="14"/>
  <c r="J1484" i="14"/>
  <c r="J1533" i="14"/>
  <c r="J1582" i="14"/>
  <c r="J1631" i="14"/>
  <c r="J1683" i="14"/>
  <c r="J1732" i="14"/>
  <c r="J1781" i="14"/>
  <c r="J1830" i="14"/>
  <c r="K447" i="14"/>
  <c r="K628" i="14"/>
  <c r="K852" i="14"/>
  <c r="K853" i="14"/>
  <c r="K872" i="14"/>
  <c r="K921" i="14"/>
  <c r="K970" i="14"/>
  <c r="K1019" i="14"/>
  <c r="K1071" i="14"/>
  <c r="K1120" i="14"/>
  <c r="K1169" i="14"/>
  <c r="K1218" i="14"/>
  <c r="K1285" i="14"/>
  <c r="K1334" i="14"/>
  <c r="K1383" i="14"/>
  <c r="K1432" i="14"/>
  <c r="K1484" i="14"/>
  <c r="K1533" i="14"/>
  <c r="K1582" i="14"/>
  <c r="K1631" i="14"/>
  <c r="K1683" i="14"/>
  <c r="K1732" i="14"/>
  <c r="K1781" i="14"/>
  <c r="K1830" i="14"/>
  <c r="L849" i="14"/>
  <c r="L482" i="14" s="1"/>
  <c r="L852" i="14"/>
  <c r="L77" i="24"/>
  <c r="X21" i="23" s="1"/>
  <c r="L21" i="23" s="1"/>
  <c r="L1169" i="14"/>
  <c r="M447" i="14"/>
  <c r="M849" i="14"/>
  <c r="M482" i="14" s="1"/>
  <c r="M628" i="14"/>
  <c r="M852" i="14"/>
  <c r="M853" i="14"/>
  <c r="M872" i="14"/>
  <c r="M77" i="24"/>
  <c r="Y21" i="23" s="1"/>
  <c r="M21" i="23" s="1"/>
  <c r="M921" i="14"/>
  <c r="M970" i="14"/>
  <c r="M1019" i="14"/>
  <c r="M1071" i="14"/>
  <c r="M1120" i="14"/>
  <c r="M1169" i="14"/>
  <c r="M1218" i="14"/>
  <c r="M1285" i="14"/>
  <c r="M1334" i="14"/>
  <c r="M1383" i="14"/>
  <c r="M1432" i="14"/>
  <c r="M1484" i="14"/>
  <c r="M1533" i="14"/>
  <c r="M1582" i="14"/>
  <c r="M1631" i="14"/>
  <c r="M1683" i="14"/>
  <c r="M1732" i="14"/>
  <c r="M1781" i="14"/>
  <c r="M1830" i="14"/>
  <c r="K14" i="25"/>
  <c r="N16" i="23"/>
  <c r="N693" i="14" s="1"/>
  <c r="N695" i="14" s="1"/>
  <c r="N25" i="23"/>
  <c r="N377" i="14" s="1"/>
  <c r="N352" i="14"/>
  <c r="N270" i="14"/>
  <c r="N272" i="14"/>
  <c r="N850" i="14"/>
  <c r="N321" i="14"/>
  <c r="N317" i="14"/>
  <c r="N319" i="14"/>
  <c r="N399" i="14"/>
  <c r="N851" i="14"/>
  <c r="N403" i="14" s="1"/>
  <c r="N478" i="14"/>
  <c r="N480" i="14" s="1"/>
  <c r="N592" i="14"/>
  <c r="N87" i="22" s="1"/>
  <c r="N595" i="14"/>
  <c r="N88" i="22" s="1"/>
  <c r="N598" i="14"/>
  <c r="N89" i="22" s="1"/>
  <c r="N601" i="14"/>
  <c r="N90" i="22" s="1"/>
  <c r="M438" i="14"/>
  <c r="M439" i="14"/>
  <c r="M440" i="14"/>
  <c r="M441" i="14"/>
  <c r="M442" i="14"/>
  <c r="M25" i="23"/>
  <c r="M377" i="14" s="1"/>
  <c r="M65" i="14"/>
  <c r="M270" i="14"/>
  <c r="M272" i="14"/>
  <c r="M850" i="14"/>
  <c r="M317" i="14"/>
  <c r="M319" i="14" s="1"/>
  <c r="M398" i="14"/>
  <c r="M851" i="14"/>
  <c r="M403" i="14"/>
  <c r="M624" i="14"/>
  <c r="M631" i="14"/>
  <c r="M119" i="22" s="1"/>
  <c r="M478" i="14"/>
  <c r="M480" i="14" s="1"/>
  <c r="M551" i="14"/>
  <c r="L439" i="14"/>
  <c r="L440" i="14"/>
  <c r="L25" i="23"/>
  <c r="L377" i="14" s="1"/>
  <c r="L352" i="14"/>
  <c r="L848" i="14"/>
  <c r="L276" i="14"/>
  <c r="L270" i="14"/>
  <c r="L272" i="14"/>
  <c r="L850" i="14"/>
  <c r="L317" i="14"/>
  <c r="L319" i="14" s="1"/>
  <c r="L399" i="14"/>
  <c r="L478" i="14"/>
  <c r="L480" i="14"/>
  <c r="L551" i="14"/>
  <c r="K439" i="14"/>
  <c r="K440" i="14"/>
  <c r="K352" i="14"/>
  <c r="K270" i="14"/>
  <c r="K272" i="14"/>
  <c r="K317" i="14"/>
  <c r="K319" i="14"/>
  <c r="K624" i="14"/>
  <c r="K478" i="14"/>
  <c r="K480" i="14" s="1"/>
  <c r="K551" i="14"/>
  <c r="K556" i="14" s="1"/>
  <c r="K170" i="8" s="1"/>
  <c r="K595" i="14"/>
  <c r="K88" i="22"/>
  <c r="J587" i="14"/>
  <c r="J593" i="14"/>
  <c r="I438" i="14"/>
  <c r="I439" i="14"/>
  <c r="I440" i="14"/>
  <c r="I441" i="14"/>
  <c r="I442" i="14"/>
  <c r="I587" i="14"/>
  <c r="H439" i="14"/>
  <c r="H440" i="14"/>
  <c r="G440" i="14"/>
  <c r="G441" i="14"/>
  <c r="F587" i="14"/>
  <c r="E438" i="14"/>
  <c r="E439" i="14"/>
  <c r="E440" i="14"/>
  <c r="E441" i="14"/>
  <c r="E442" i="14"/>
  <c r="E587" i="14"/>
  <c r="G13" i="31" s="1"/>
  <c r="R1732" i="14"/>
  <c r="R1683" i="14"/>
  <c r="R1631" i="14"/>
  <c r="R1582" i="14"/>
  <c r="R1533" i="14"/>
  <c r="R1484" i="14"/>
  <c r="R1432" i="14"/>
  <c r="R1383" i="14"/>
  <c r="R1334" i="14"/>
  <c r="R1285" i="14"/>
  <c r="R1218" i="14"/>
  <c r="R1169" i="14"/>
  <c r="R1120" i="14"/>
  <c r="R1071" i="14"/>
  <c r="R1019" i="14"/>
  <c r="R970" i="14"/>
  <c r="R921" i="14"/>
  <c r="D875" i="14"/>
  <c r="D924" i="14"/>
  <c r="D973" i="14"/>
  <c r="D1022" i="14"/>
  <c r="D1074" i="14"/>
  <c r="D1123" i="14"/>
  <c r="Q1825" i="14"/>
  <c r="Q1826" i="14" s="1"/>
  <c r="R1830" i="14"/>
  <c r="Q1776" i="14"/>
  <c r="Q1777" i="14"/>
  <c r="R1781" i="14"/>
  <c r="Q1727" i="14"/>
  <c r="Q1728" i="14" s="1"/>
  <c r="Q1678" i="14"/>
  <c r="Q1679" i="14" s="1"/>
  <c r="Q1626" i="14"/>
  <c r="Q1627" i="14" s="1"/>
  <c r="Q1577" i="14"/>
  <c r="Q1578" i="14" s="1"/>
  <c r="Q1528" i="14"/>
  <c r="Q1529" i="14" s="1"/>
  <c r="Q1479" i="14"/>
  <c r="Q1480" i="14" s="1"/>
  <c r="Q1427" i="14"/>
  <c r="Q1428" i="14" s="1"/>
  <c r="Q1378" i="14"/>
  <c r="Q1379" i="14" s="1"/>
  <c r="Q1329" i="14"/>
  <c r="Q1330" i="14" s="1"/>
  <c r="Q1280" i="14"/>
  <c r="Q1281" i="14" s="1"/>
  <c r="Q1213" i="14"/>
  <c r="Q1214" i="14" s="1"/>
  <c r="Q1164" i="14"/>
  <c r="Q1165" i="14" s="1"/>
  <c r="Q1115" i="14"/>
  <c r="Q1116" i="14" s="1"/>
  <c r="Q1066" i="14"/>
  <c r="Q1067" i="14" s="1"/>
  <c r="Q1014" i="14"/>
  <c r="Q1015" i="14" s="1"/>
  <c r="Q965" i="14"/>
  <c r="Q966" i="14" s="1"/>
  <c r="Q967" i="14" s="1"/>
  <c r="Q968" i="14" s="1"/>
  <c r="G968" i="14" s="1"/>
  <c r="Q916" i="14"/>
  <c r="Q917" i="14"/>
  <c r="Q918" i="14" s="1"/>
  <c r="Q919" i="14" s="1"/>
  <c r="Q867" i="14"/>
  <c r="Q868" i="14"/>
  <c r="Q869" i="14" s="1"/>
  <c r="Q870" i="14" s="1"/>
  <c r="D876" i="14"/>
  <c r="D925" i="14"/>
  <c r="D974" i="14"/>
  <c r="D1023" i="14"/>
  <c r="D1075" i="14"/>
  <c r="D1124" i="14"/>
  <c r="D937" i="14"/>
  <c r="D1172" i="14"/>
  <c r="D877" i="14"/>
  <c r="D926" i="14"/>
  <c r="D975" i="14"/>
  <c r="D1024" i="14"/>
  <c r="D1076" i="14"/>
  <c r="D1125" i="14"/>
  <c r="D1173" i="14"/>
  <c r="D1221" i="14"/>
  <c r="D878" i="14"/>
  <c r="D927" i="14"/>
  <c r="D976" i="14"/>
  <c r="D1025" i="14"/>
  <c r="D1077" i="14"/>
  <c r="D1126" i="14"/>
  <c r="D1174" i="14"/>
  <c r="D1222" i="14"/>
  <c r="D1288" i="14"/>
  <c r="D879" i="14"/>
  <c r="D928" i="14"/>
  <c r="D977" i="14"/>
  <c r="D1026" i="14"/>
  <c r="D1078" i="14"/>
  <c r="D1127" i="14"/>
  <c r="D1175" i="14"/>
  <c r="D1223" i="14"/>
  <c r="D1289" i="14"/>
  <c r="D1337" i="14"/>
  <c r="D880" i="14"/>
  <c r="D929" i="14"/>
  <c r="D978" i="14"/>
  <c r="D1027" i="14"/>
  <c r="D1079" i="14"/>
  <c r="D1128" i="14"/>
  <c r="D1176" i="14"/>
  <c r="D1224" i="14"/>
  <c r="D1290" i="14"/>
  <c r="D1338" i="14"/>
  <c r="D1386" i="14"/>
  <c r="D881" i="14"/>
  <c r="D930" i="14"/>
  <c r="D979" i="14"/>
  <c r="D1028" i="14"/>
  <c r="D1080" i="14"/>
  <c r="D1129" i="14"/>
  <c r="D1177" i="14"/>
  <c r="D1225" i="14"/>
  <c r="D1291" i="14"/>
  <c r="D1339" i="14"/>
  <c r="D1387" i="14"/>
  <c r="D1435" i="14"/>
  <c r="D882" i="14"/>
  <c r="D931" i="14"/>
  <c r="D980" i="14"/>
  <c r="D1029" i="14"/>
  <c r="D1081" i="14"/>
  <c r="D1130" i="14"/>
  <c r="D1178" i="14"/>
  <c r="D1226" i="14"/>
  <c r="D1292" i="14"/>
  <c r="D1340" i="14"/>
  <c r="D1388" i="14"/>
  <c r="D1436" i="14"/>
  <c r="D1487" i="14"/>
  <c r="D883" i="14"/>
  <c r="D932" i="14"/>
  <c r="D981" i="14"/>
  <c r="D1030" i="14"/>
  <c r="D1082" i="14"/>
  <c r="D1131" i="14"/>
  <c r="D1179" i="14"/>
  <c r="D1227" i="14"/>
  <c r="D1293" i="14"/>
  <c r="D1341" i="14"/>
  <c r="D1389" i="14"/>
  <c r="D1437" i="14"/>
  <c r="D1488" i="14"/>
  <c r="D1536" i="14"/>
  <c r="D884" i="14"/>
  <c r="D933" i="14"/>
  <c r="D982" i="14"/>
  <c r="D1031" i="14"/>
  <c r="D1083" i="14"/>
  <c r="D1132" i="14"/>
  <c r="D1180" i="14"/>
  <c r="D1228" i="14"/>
  <c r="D1294" i="14"/>
  <c r="D1342" i="14"/>
  <c r="D1390" i="14"/>
  <c r="D1438" i="14"/>
  <c r="D1489" i="14"/>
  <c r="D1537" i="14"/>
  <c r="D1585" i="14"/>
  <c r="D885" i="14"/>
  <c r="D934" i="14"/>
  <c r="D983" i="14"/>
  <c r="D1032" i="14"/>
  <c r="D1084" i="14"/>
  <c r="D1133" i="14"/>
  <c r="D1181" i="14"/>
  <c r="D1229" i="14"/>
  <c r="D1295" i="14"/>
  <c r="D1343" i="14"/>
  <c r="D1391" i="14"/>
  <c r="D1439" i="14"/>
  <c r="D1490" i="14"/>
  <c r="D1538" i="14"/>
  <c r="D1586" i="14"/>
  <c r="D1634" i="14"/>
  <c r="D886" i="14"/>
  <c r="D935" i="14"/>
  <c r="D984" i="14"/>
  <c r="D1033" i="14"/>
  <c r="D1085" i="14"/>
  <c r="D1134" i="14"/>
  <c r="D1182" i="14"/>
  <c r="D1230" i="14"/>
  <c r="D1296" i="14"/>
  <c r="D1344" i="14"/>
  <c r="D1392" i="14"/>
  <c r="D1440" i="14"/>
  <c r="D1491" i="14"/>
  <c r="D1539" i="14"/>
  <c r="D1587" i="14"/>
  <c r="D1635" i="14"/>
  <c r="D1686" i="14"/>
  <c r="D887" i="14"/>
  <c r="D936" i="14"/>
  <c r="D985" i="14"/>
  <c r="D1034" i="14"/>
  <c r="D1086" i="14"/>
  <c r="D1135" i="14"/>
  <c r="D1183" i="14"/>
  <c r="D1231" i="14"/>
  <c r="D1297" i="14"/>
  <c r="D1345" i="14"/>
  <c r="D1393" i="14"/>
  <c r="D1441" i="14"/>
  <c r="D1492" i="14"/>
  <c r="D1540" i="14"/>
  <c r="D1588" i="14"/>
  <c r="D1636" i="14"/>
  <c r="D1687" i="14"/>
  <c r="D986" i="14"/>
  <c r="D1035" i="14"/>
  <c r="D1087" i="14"/>
  <c r="D1136" i="14"/>
  <c r="D1184" i="14"/>
  <c r="D1232" i="14"/>
  <c r="D1298" i="14"/>
  <c r="D1346" i="14"/>
  <c r="D1394" i="14"/>
  <c r="D1442" i="14"/>
  <c r="D1493" i="14"/>
  <c r="D1541" i="14"/>
  <c r="D1589" i="14"/>
  <c r="D1637" i="14"/>
  <c r="D1688" i="14"/>
  <c r="D987" i="14"/>
  <c r="D1036" i="14"/>
  <c r="D1088" i="14"/>
  <c r="D1137" i="14"/>
  <c r="D1185" i="14"/>
  <c r="D1233" i="14"/>
  <c r="D1299" i="14"/>
  <c r="D1347" i="14"/>
  <c r="D1395" i="14"/>
  <c r="D1443" i="14"/>
  <c r="D1494" i="14"/>
  <c r="D1542" i="14"/>
  <c r="D1590" i="14"/>
  <c r="D1638" i="14"/>
  <c r="D1689" i="14"/>
  <c r="D1037" i="14"/>
  <c r="D1089" i="14"/>
  <c r="D1138" i="14"/>
  <c r="D1186" i="14"/>
  <c r="D1234" i="14"/>
  <c r="D1300" i="14"/>
  <c r="D1348" i="14"/>
  <c r="D1396" i="14"/>
  <c r="D1444" i="14"/>
  <c r="D1495" i="14"/>
  <c r="D1543" i="14"/>
  <c r="D1591" i="14"/>
  <c r="D1639" i="14"/>
  <c r="D1690" i="14"/>
  <c r="D1090" i="14"/>
  <c r="D1139" i="14"/>
  <c r="D1187" i="14"/>
  <c r="D1235" i="14"/>
  <c r="D1301" i="14"/>
  <c r="D1349" i="14"/>
  <c r="D1397" i="14"/>
  <c r="D1445" i="14"/>
  <c r="D1496" i="14"/>
  <c r="D1544" i="14"/>
  <c r="D1592" i="14"/>
  <c r="D1640" i="14"/>
  <c r="D1691" i="14"/>
  <c r="D1140" i="14"/>
  <c r="D1188" i="14"/>
  <c r="D1236" i="14"/>
  <c r="D1302" i="14"/>
  <c r="D1350" i="14"/>
  <c r="D1398" i="14"/>
  <c r="D1446" i="14"/>
  <c r="D1497" i="14"/>
  <c r="D1545" i="14"/>
  <c r="D1593" i="14"/>
  <c r="D1641" i="14"/>
  <c r="D1692" i="14"/>
  <c r="D1141" i="14"/>
  <c r="N1141" i="14"/>
  <c r="D1189" i="14"/>
  <c r="D1237" i="14"/>
  <c r="D1303" i="14"/>
  <c r="D1351" i="14"/>
  <c r="D1399" i="14"/>
  <c r="D1447" i="14"/>
  <c r="D1498" i="14"/>
  <c r="D1546" i="14"/>
  <c r="D1594" i="14"/>
  <c r="D1642" i="14"/>
  <c r="D1693" i="14"/>
  <c r="D1190" i="14"/>
  <c r="D1238" i="14"/>
  <c r="D1304" i="14"/>
  <c r="D1352" i="14"/>
  <c r="D1400" i="14"/>
  <c r="D1448" i="14"/>
  <c r="D1499" i="14"/>
  <c r="D1547" i="14"/>
  <c r="D1595" i="14"/>
  <c r="D1643" i="14"/>
  <c r="D1694" i="14"/>
  <c r="D1191" i="14"/>
  <c r="L1191" i="14"/>
  <c r="D1239" i="14"/>
  <c r="D1305" i="14"/>
  <c r="D1353" i="14"/>
  <c r="D1401" i="14"/>
  <c r="D1449" i="14"/>
  <c r="D1500" i="14"/>
  <c r="D1548" i="14"/>
  <c r="D1596" i="14"/>
  <c r="D1644" i="14"/>
  <c r="D1695" i="14"/>
  <c r="D1240" i="14"/>
  <c r="D1306" i="14"/>
  <c r="D1354" i="14"/>
  <c r="D1402" i="14"/>
  <c r="D1450" i="14"/>
  <c r="D1501" i="14"/>
  <c r="D1549" i="14"/>
  <c r="D1597" i="14"/>
  <c r="D1645" i="14"/>
  <c r="D1696" i="14"/>
  <c r="D1241" i="14"/>
  <c r="L1241" i="14"/>
  <c r="D1307" i="14"/>
  <c r="D1355" i="14"/>
  <c r="D1403" i="14"/>
  <c r="D1451" i="14"/>
  <c r="D1502" i="14"/>
  <c r="D1550" i="14"/>
  <c r="D1598" i="14"/>
  <c r="D1646" i="14"/>
  <c r="D1697" i="14"/>
  <c r="D1308" i="14"/>
  <c r="D1356" i="14"/>
  <c r="D1404" i="14"/>
  <c r="D1452" i="14"/>
  <c r="D1503" i="14"/>
  <c r="D1551" i="14"/>
  <c r="D1599" i="14"/>
  <c r="D1647" i="14"/>
  <c r="D1698" i="14"/>
  <c r="D1309" i="14"/>
  <c r="E1309" i="14"/>
  <c r="D1357" i="14"/>
  <c r="D1405" i="14"/>
  <c r="D1453" i="14"/>
  <c r="D1504" i="14"/>
  <c r="D1552" i="14"/>
  <c r="D1600" i="14"/>
  <c r="D1648" i="14"/>
  <c r="D1699" i="14"/>
  <c r="D1358" i="14"/>
  <c r="D1406" i="14"/>
  <c r="D1454" i="14"/>
  <c r="D1505" i="14"/>
  <c r="D1553" i="14"/>
  <c r="D1601" i="14"/>
  <c r="D1649" i="14"/>
  <c r="D1700" i="14"/>
  <c r="D1359" i="14"/>
  <c r="E1359" i="14"/>
  <c r="D1407" i="14"/>
  <c r="D1455" i="14"/>
  <c r="D1506" i="14"/>
  <c r="D1554" i="14"/>
  <c r="D1602" i="14"/>
  <c r="D1650" i="14"/>
  <c r="D1701" i="14"/>
  <c r="D1408" i="14"/>
  <c r="D1456" i="14"/>
  <c r="D1507" i="14"/>
  <c r="D1555" i="14"/>
  <c r="D1603" i="14"/>
  <c r="D1651" i="14"/>
  <c r="D1702" i="14"/>
  <c r="D1409" i="14"/>
  <c r="E1409" i="14"/>
  <c r="D1457" i="14"/>
  <c r="D1508" i="14"/>
  <c r="D1556" i="14"/>
  <c r="D1604" i="14"/>
  <c r="D1652" i="14"/>
  <c r="D1703" i="14"/>
  <c r="D1458" i="14"/>
  <c r="D1509" i="14"/>
  <c r="D1557" i="14"/>
  <c r="D1605" i="14"/>
  <c r="D1653" i="14"/>
  <c r="D1704" i="14"/>
  <c r="D1459" i="14"/>
  <c r="D1510" i="14"/>
  <c r="D1558" i="14"/>
  <c r="D1606" i="14"/>
  <c r="D1654" i="14"/>
  <c r="D1705" i="14"/>
  <c r="D1511" i="14"/>
  <c r="D1559" i="14"/>
  <c r="D1607" i="14"/>
  <c r="D1655" i="14"/>
  <c r="D1706" i="14"/>
  <c r="D1512" i="14"/>
  <c r="E1512" i="14" s="1"/>
  <c r="D1560" i="14"/>
  <c r="D1608" i="14"/>
  <c r="D1656" i="14"/>
  <c r="D1707" i="14"/>
  <c r="D1561" i="14"/>
  <c r="D1609" i="14"/>
  <c r="D1657" i="14"/>
  <c r="D1708" i="14"/>
  <c r="D1562" i="14"/>
  <c r="D1610" i="14"/>
  <c r="D1658" i="14"/>
  <c r="D1709" i="14"/>
  <c r="D1611" i="14"/>
  <c r="D1659" i="14"/>
  <c r="D1710" i="14"/>
  <c r="D1612" i="14"/>
  <c r="E1612" i="14"/>
  <c r="D1660" i="14"/>
  <c r="D1711" i="14"/>
  <c r="D1661" i="14"/>
  <c r="D1712" i="14"/>
  <c r="D1662" i="14"/>
  <c r="D1713" i="14"/>
  <c r="D1714" i="14"/>
  <c r="D1715" i="14"/>
  <c r="D1716" i="14"/>
  <c r="D1717" i="14"/>
  <c r="D1735" i="14"/>
  <c r="D1736" i="14"/>
  <c r="D1737" i="14"/>
  <c r="D1738" i="14"/>
  <c r="D1739" i="14"/>
  <c r="D1740" i="14"/>
  <c r="D1741" i="14"/>
  <c r="D1742" i="14"/>
  <c r="D1743" i="14"/>
  <c r="D1744" i="14"/>
  <c r="D1745" i="14"/>
  <c r="D1746" i="14"/>
  <c r="D1747" i="14"/>
  <c r="D1748" i="14"/>
  <c r="D1749" i="14"/>
  <c r="D1750" i="14"/>
  <c r="D1751" i="14"/>
  <c r="D1752" i="14"/>
  <c r="D1753" i="14"/>
  <c r="D1754" i="14"/>
  <c r="D1755" i="14"/>
  <c r="D1756" i="14"/>
  <c r="D1757" i="14"/>
  <c r="D1758" i="14"/>
  <c r="D1759" i="14"/>
  <c r="D1760" i="14"/>
  <c r="D1761" i="14"/>
  <c r="D1762" i="14"/>
  <c r="D1763" i="14"/>
  <c r="D1764" i="14"/>
  <c r="D1765" i="14"/>
  <c r="D1766" i="14"/>
  <c r="D1784" i="14"/>
  <c r="D1785" i="14"/>
  <c r="D1786" i="14"/>
  <c r="D1787" i="14"/>
  <c r="D1788" i="14"/>
  <c r="D1789" i="14"/>
  <c r="D1790" i="14"/>
  <c r="D1791" i="14"/>
  <c r="D1792" i="14"/>
  <c r="D1793" i="14"/>
  <c r="D1794" i="14"/>
  <c r="D1795" i="14"/>
  <c r="D1796" i="14"/>
  <c r="D1797" i="14"/>
  <c r="D1798" i="14"/>
  <c r="D1799" i="14"/>
  <c r="D1800" i="14"/>
  <c r="D1801" i="14"/>
  <c r="D1802" i="14"/>
  <c r="D1803" i="14"/>
  <c r="D1804" i="14"/>
  <c r="D1805" i="14"/>
  <c r="D1806" i="14"/>
  <c r="D1807" i="14"/>
  <c r="D1808" i="14"/>
  <c r="D1809" i="14"/>
  <c r="D1810" i="14"/>
  <c r="D1811" i="14"/>
  <c r="D1812" i="14"/>
  <c r="D1813" i="14"/>
  <c r="D1814" i="14"/>
  <c r="D1815" i="14"/>
  <c r="D1833" i="14"/>
  <c r="D1834" i="14"/>
  <c r="D1835" i="14"/>
  <c r="D1836" i="14"/>
  <c r="D1837" i="14"/>
  <c r="D1838" i="14"/>
  <c r="D1839" i="14"/>
  <c r="D1840" i="14"/>
  <c r="D1841" i="14"/>
  <c r="D1842" i="14"/>
  <c r="D1843" i="14"/>
  <c r="D1844" i="14"/>
  <c r="D1845" i="14"/>
  <c r="D1846" i="14"/>
  <c r="D1847" i="14"/>
  <c r="D1848" i="14"/>
  <c r="D1849" i="14"/>
  <c r="D1850" i="14"/>
  <c r="D1851" i="14"/>
  <c r="D1852" i="14"/>
  <c r="D1853" i="14"/>
  <c r="D1854" i="14"/>
  <c r="D1855" i="14"/>
  <c r="D1856" i="14"/>
  <c r="D1857" i="14"/>
  <c r="D1858" i="14"/>
  <c r="D1859" i="14"/>
  <c r="D1860" i="14"/>
  <c r="D1861" i="14"/>
  <c r="D1862" i="14"/>
  <c r="D1863" i="14"/>
  <c r="D1864" i="14"/>
  <c r="E35" i="8"/>
  <c r="E9" i="10" s="1"/>
  <c r="D888" i="14"/>
  <c r="D889" i="14"/>
  <c r="D890" i="14"/>
  <c r="D891" i="14"/>
  <c r="D892" i="14"/>
  <c r="D893" i="14"/>
  <c r="D894" i="14"/>
  <c r="D895" i="14"/>
  <c r="D896" i="14"/>
  <c r="D897" i="14"/>
  <c r="D898" i="14"/>
  <c r="D899" i="14"/>
  <c r="D900" i="14"/>
  <c r="D901" i="14"/>
  <c r="D902" i="14"/>
  <c r="D903" i="14"/>
  <c r="D904" i="14"/>
  <c r="D905" i="14"/>
  <c r="D906" i="14"/>
  <c r="D938" i="14"/>
  <c r="D939" i="14"/>
  <c r="D940" i="14"/>
  <c r="D941" i="14"/>
  <c r="D942" i="14"/>
  <c r="D943" i="14"/>
  <c r="D944" i="14"/>
  <c r="D945" i="14"/>
  <c r="D946" i="14"/>
  <c r="D947" i="14"/>
  <c r="D948" i="14"/>
  <c r="D949" i="14"/>
  <c r="D950" i="14"/>
  <c r="D951" i="14"/>
  <c r="D952" i="14"/>
  <c r="D953" i="14"/>
  <c r="D954" i="14"/>
  <c r="D955" i="14"/>
  <c r="D988" i="14"/>
  <c r="D989" i="14"/>
  <c r="D990" i="14"/>
  <c r="D991" i="14"/>
  <c r="D992" i="14"/>
  <c r="D993" i="14"/>
  <c r="D994" i="14"/>
  <c r="D995" i="14"/>
  <c r="D996" i="14"/>
  <c r="D997" i="14"/>
  <c r="D998" i="14"/>
  <c r="D999" i="14"/>
  <c r="D1000" i="14"/>
  <c r="D1001" i="14"/>
  <c r="D1002" i="14"/>
  <c r="D1003" i="14"/>
  <c r="D1004" i="14"/>
  <c r="D1038" i="14"/>
  <c r="D1039" i="14"/>
  <c r="D1040" i="14"/>
  <c r="D1041" i="14"/>
  <c r="D1042" i="14"/>
  <c r="D1043" i="14"/>
  <c r="D1044" i="14"/>
  <c r="D1045" i="14"/>
  <c r="D1046" i="14"/>
  <c r="D1047" i="14"/>
  <c r="D1048" i="14"/>
  <c r="D1049" i="14"/>
  <c r="D1050" i="14"/>
  <c r="D1051" i="14"/>
  <c r="D1052" i="14"/>
  <c r="D1053" i="14"/>
  <c r="E662" i="14"/>
  <c r="E125" i="22" s="1"/>
  <c r="E665" i="14"/>
  <c r="E126" i="22" s="1"/>
  <c r="E668" i="14"/>
  <c r="E127" i="22" s="1"/>
  <c r="E671" i="14"/>
  <c r="E128" i="22" s="1"/>
  <c r="F662" i="14"/>
  <c r="F125" i="22"/>
  <c r="F665" i="14"/>
  <c r="F126" i="22"/>
  <c r="F668" i="14"/>
  <c r="F127" i="22"/>
  <c r="F671" i="14"/>
  <c r="F128" i="22"/>
  <c r="G587" i="14"/>
  <c r="G662" i="14"/>
  <c r="G125" i="22" s="1"/>
  <c r="G665" i="14"/>
  <c r="G126" i="22" s="1"/>
  <c r="G668" i="14"/>
  <c r="G127" i="22" s="1"/>
  <c r="G671" i="14"/>
  <c r="G128" i="22" s="1"/>
  <c r="H662" i="14"/>
  <c r="H125" i="22" s="1"/>
  <c r="H665" i="14"/>
  <c r="H126" i="22" s="1"/>
  <c r="H668" i="14"/>
  <c r="H127" i="22" s="1"/>
  <c r="H671" i="14"/>
  <c r="H128" i="22" s="1"/>
  <c r="I662" i="14"/>
  <c r="I125" i="22"/>
  <c r="I665" i="14"/>
  <c r="I126" i="22"/>
  <c r="I668" i="14"/>
  <c r="I127" i="22"/>
  <c r="I671" i="14"/>
  <c r="I128" i="22"/>
  <c r="J662" i="14"/>
  <c r="J125" i="22" s="1"/>
  <c r="J665" i="14"/>
  <c r="J126" i="22" s="1"/>
  <c r="J668" i="14"/>
  <c r="J127" i="22" s="1"/>
  <c r="J671" i="14"/>
  <c r="J128" i="22" s="1"/>
  <c r="K587" i="14"/>
  <c r="K662" i="14"/>
  <c r="K125" i="22" s="1"/>
  <c r="K665" i="14"/>
  <c r="K126" i="22" s="1"/>
  <c r="K219" i="8" s="1"/>
  <c r="K668" i="14"/>
  <c r="K127" i="22" s="1"/>
  <c r="K671" i="14"/>
  <c r="K128" i="22" s="1"/>
  <c r="L587" i="14"/>
  <c r="L662" i="14"/>
  <c r="L125" i="22" s="1"/>
  <c r="L665" i="14"/>
  <c r="L126" i="22" s="1"/>
  <c r="L668" i="14"/>
  <c r="L127" i="22" s="1"/>
  <c r="L671" i="14"/>
  <c r="M587" i="14"/>
  <c r="M662" i="14"/>
  <c r="M125" i="22"/>
  <c r="M665" i="14"/>
  <c r="M126" i="22"/>
  <c r="M668" i="14"/>
  <c r="M127" i="22"/>
  <c r="M671" i="14"/>
  <c r="M128" i="22"/>
  <c r="N587" i="14"/>
  <c r="N593" i="14" s="1"/>
  <c r="N596" i="14" s="1"/>
  <c r="N599" i="14" s="1"/>
  <c r="N602" i="14" s="1"/>
  <c r="N605" i="14" s="1"/>
  <c r="N662" i="14"/>
  <c r="N125" i="22" s="1"/>
  <c r="N665" i="14"/>
  <c r="N126" i="22" s="1"/>
  <c r="N668" i="14"/>
  <c r="N127" i="22" s="1"/>
  <c r="N671" i="14"/>
  <c r="N128" i="22" s="1"/>
  <c r="E39" i="8"/>
  <c r="E13" i="10" s="1"/>
  <c r="E37" i="8"/>
  <c r="E17" i="10" s="1"/>
  <c r="E41" i="8"/>
  <c r="E21" i="10" s="1"/>
  <c r="F35" i="8"/>
  <c r="F9" i="10" s="1"/>
  <c r="F39" i="8"/>
  <c r="F13" i="10" s="1"/>
  <c r="F37" i="8"/>
  <c r="F17" i="10" s="1"/>
  <c r="F41" i="8"/>
  <c r="F21" i="10" s="1"/>
  <c r="G35" i="8"/>
  <c r="G9" i="10" s="1"/>
  <c r="H35" i="8"/>
  <c r="H9" i="10" s="1"/>
  <c r="H39" i="8"/>
  <c r="H13" i="10" s="1"/>
  <c r="H37" i="8"/>
  <c r="H17" i="10" s="1"/>
  <c r="H41" i="8"/>
  <c r="H21" i="10" s="1"/>
  <c r="I35" i="8"/>
  <c r="I9" i="10" s="1"/>
  <c r="I39" i="8"/>
  <c r="I13" i="10" s="1"/>
  <c r="I37" i="8"/>
  <c r="I17" i="10" s="1"/>
  <c r="I41" i="8"/>
  <c r="I21" i="10" s="1"/>
  <c r="J35" i="8"/>
  <c r="J9" i="10" s="1"/>
  <c r="J39" i="8"/>
  <c r="J13" i="10" s="1"/>
  <c r="J37" i="8"/>
  <c r="J17" i="10" s="1"/>
  <c r="J41" i="8"/>
  <c r="J21" i="10" s="1"/>
  <c r="K35" i="8"/>
  <c r="K9" i="10" s="1"/>
  <c r="K41" i="8"/>
  <c r="K21" i="10" s="1"/>
  <c r="L35" i="8"/>
  <c r="L9" i="10" s="1"/>
  <c r="L39" i="8"/>
  <c r="L13" i="10" s="1"/>
  <c r="L37" i="8"/>
  <c r="L17" i="10" s="1"/>
  <c r="L41" i="8"/>
  <c r="L21" i="10" s="1"/>
  <c r="M35" i="8"/>
  <c r="M9" i="10" s="1"/>
  <c r="M39" i="8"/>
  <c r="M13" i="10" s="1"/>
  <c r="M37" i="8"/>
  <c r="M27" i="37" s="1"/>
  <c r="M41" i="8"/>
  <c r="M21" i="10" s="1"/>
  <c r="N35" i="8"/>
  <c r="N9" i="10" s="1"/>
  <c r="N39" i="8"/>
  <c r="N13" i="10" s="1"/>
  <c r="N37" i="8"/>
  <c r="N17" i="10" s="1"/>
  <c r="N41" i="8"/>
  <c r="N21" i="10" s="1"/>
  <c r="E58" i="14"/>
  <c r="E73" i="14"/>
  <c r="E71" i="14"/>
  <c r="E67" i="14"/>
  <c r="E68" i="14"/>
  <c r="E69" i="14"/>
  <c r="E72" i="14"/>
  <c r="E39" i="24"/>
  <c r="E49" i="14"/>
  <c r="E61" i="46"/>
  <c r="E50" i="14"/>
  <c r="E62" i="46"/>
  <c r="E57" i="14"/>
  <c r="E69" i="46"/>
  <c r="F58" i="14"/>
  <c r="F73" i="14"/>
  <c r="F67" i="14"/>
  <c r="F68" i="14"/>
  <c r="F70" i="14"/>
  <c r="F39" i="24"/>
  <c r="F49" i="14"/>
  <c r="F61" i="46" s="1"/>
  <c r="F50" i="14"/>
  <c r="F62" i="46" s="1"/>
  <c r="G58" i="14"/>
  <c r="G70" i="46" s="1"/>
  <c r="G73" i="14"/>
  <c r="G74" i="14"/>
  <c r="G69" i="14"/>
  <c r="G72" i="14"/>
  <c r="G39" i="24"/>
  <c r="G49" i="14"/>
  <c r="G57" i="14"/>
  <c r="G69" i="46" s="1"/>
  <c r="H71" i="14"/>
  <c r="H67" i="14"/>
  <c r="H68" i="14"/>
  <c r="H69" i="14"/>
  <c r="H72" i="14"/>
  <c r="H39" i="24"/>
  <c r="H12" i="24"/>
  <c r="H49" i="14"/>
  <c r="H61" i="46" s="1"/>
  <c r="H57" i="14"/>
  <c r="H69" i="46"/>
  <c r="I58" i="14"/>
  <c r="I73" i="14"/>
  <c r="I71" i="14"/>
  <c r="I67" i="14"/>
  <c r="I68" i="14"/>
  <c r="I69" i="14"/>
  <c r="I72" i="14"/>
  <c r="I39" i="24"/>
  <c r="I49" i="14"/>
  <c r="I61" i="46" s="1"/>
  <c r="I50" i="14"/>
  <c r="I62" i="46" s="1"/>
  <c r="I57" i="14"/>
  <c r="I69" i="46" s="1"/>
  <c r="J58" i="14"/>
  <c r="J73" i="14"/>
  <c r="J67" i="14"/>
  <c r="J68" i="14"/>
  <c r="J70" i="14"/>
  <c r="J39" i="24"/>
  <c r="J49" i="14"/>
  <c r="J61" i="46"/>
  <c r="J50" i="14"/>
  <c r="J62" i="46"/>
  <c r="J57" i="14"/>
  <c r="J69" i="46"/>
  <c r="K58" i="14"/>
  <c r="K70" i="46"/>
  <c r="K73" i="14"/>
  <c r="K74" i="14"/>
  <c r="K72" i="14"/>
  <c r="K39" i="24"/>
  <c r="K12" i="24"/>
  <c r="K49" i="14"/>
  <c r="K61" i="46"/>
  <c r="K57" i="14"/>
  <c r="K69" i="46"/>
  <c r="L71" i="14"/>
  <c r="L68" i="14"/>
  <c r="L70" i="14"/>
  <c r="L72" i="14"/>
  <c r="L39" i="24"/>
  <c r="L49" i="14"/>
  <c r="L61" i="46"/>
  <c r="L50" i="14"/>
  <c r="L62" i="46"/>
  <c r="L57" i="14"/>
  <c r="L69" i="46"/>
  <c r="M58" i="14"/>
  <c r="M70" i="46"/>
  <c r="M73" i="14"/>
  <c r="M71" i="14"/>
  <c r="M67" i="14"/>
  <c r="M68" i="14"/>
  <c r="M69" i="14"/>
  <c r="M72" i="14"/>
  <c r="M39" i="24"/>
  <c r="M49" i="14"/>
  <c r="M61" i="46"/>
  <c r="M50" i="14"/>
  <c r="M62" i="46"/>
  <c r="M51" i="14"/>
  <c r="M63" i="46"/>
  <c r="M52" i="14"/>
  <c r="M64" i="46" s="1"/>
  <c r="M57" i="14"/>
  <c r="M69" i="46" s="1"/>
  <c r="N58" i="14"/>
  <c r="N70" i="46" s="1"/>
  <c r="N73" i="14"/>
  <c r="N67" i="14"/>
  <c r="N68" i="14"/>
  <c r="N39" i="24"/>
  <c r="N49" i="14"/>
  <c r="N61" i="46"/>
  <c r="N50" i="14"/>
  <c r="N62" i="46" s="1"/>
  <c r="N51" i="14"/>
  <c r="N63" i="46"/>
  <c r="N53" i="14"/>
  <c r="N65" i="46" s="1"/>
  <c r="F44" i="10"/>
  <c r="G44" i="10" s="1"/>
  <c r="H44" i="10" s="1"/>
  <c r="I44" i="10" s="1"/>
  <c r="J44" i="10" s="1"/>
  <c r="K44" i="10" s="1"/>
  <c r="L44" i="10" s="1"/>
  <c r="M44" i="10" s="1"/>
  <c r="N44" i="10" s="1"/>
  <c r="B834" i="14"/>
  <c r="B830" i="14"/>
  <c r="B826" i="14"/>
  <c r="B822" i="14"/>
  <c r="D1242" i="14"/>
  <c r="D1243" i="14"/>
  <c r="D1244" i="14"/>
  <c r="E1244" i="14"/>
  <c r="D1245" i="14"/>
  <c r="D1246" i="14"/>
  <c r="D1247" i="14"/>
  <c r="D1248" i="14"/>
  <c r="E1248" i="14" s="1"/>
  <c r="D1249" i="14"/>
  <c r="D1250" i="14"/>
  <c r="D1251" i="14"/>
  <c r="D1252" i="14"/>
  <c r="E1252" i="14"/>
  <c r="D1192" i="14"/>
  <c r="K1192" i="14"/>
  <c r="D1193" i="14"/>
  <c r="N1193" i="14"/>
  <c r="D1194" i="14"/>
  <c r="E1194" i="14" s="1"/>
  <c r="M1194" i="14"/>
  <c r="D1195" i="14"/>
  <c r="L1195" i="14"/>
  <c r="D1196" i="14"/>
  <c r="K1196" i="14"/>
  <c r="D1197" i="14"/>
  <c r="N1197" i="14"/>
  <c r="D1198" i="14"/>
  <c r="E1198" i="14" s="1"/>
  <c r="M1198" i="14"/>
  <c r="D1199" i="14"/>
  <c r="L1199" i="14"/>
  <c r="D1200" i="14"/>
  <c r="K1200" i="14"/>
  <c r="D1201" i="14"/>
  <c r="N1201" i="14"/>
  <c r="D1202" i="14"/>
  <c r="E1202" i="14" s="1"/>
  <c r="M1202" i="14"/>
  <c r="D1203" i="14"/>
  <c r="L1203" i="14"/>
  <c r="E1192" i="14"/>
  <c r="E1193" i="14"/>
  <c r="E1195" i="14"/>
  <c r="E1196" i="14"/>
  <c r="E1197" i="14"/>
  <c r="E1199" i="14"/>
  <c r="E1200" i="14"/>
  <c r="E1201" i="14"/>
  <c r="E1203" i="14"/>
  <c r="D1142" i="14"/>
  <c r="M1142" i="14"/>
  <c r="D1143" i="14"/>
  <c r="L1143" i="14"/>
  <c r="D1144" i="14"/>
  <c r="K1144" i="14"/>
  <c r="D1145" i="14"/>
  <c r="N1145" i="14"/>
  <c r="D1146" i="14"/>
  <c r="M1146" i="14"/>
  <c r="D1147" i="14"/>
  <c r="L1147" i="14"/>
  <c r="D1148" i="14"/>
  <c r="K1148" i="14"/>
  <c r="D1149" i="14"/>
  <c r="N1149" i="14"/>
  <c r="D1150" i="14"/>
  <c r="M1150" i="14"/>
  <c r="D1151" i="14"/>
  <c r="L1151" i="14"/>
  <c r="D1152" i="14"/>
  <c r="K1152" i="14"/>
  <c r="D1153" i="14"/>
  <c r="N1153" i="14"/>
  <c r="D1154" i="14"/>
  <c r="M1154" i="14"/>
  <c r="D1091" i="14"/>
  <c r="N1091" i="14"/>
  <c r="D1092" i="14"/>
  <c r="N1092" i="14"/>
  <c r="D1093" i="14"/>
  <c r="N1093" i="14"/>
  <c r="D1094" i="14"/>
  <c r="N1094" i="14"/>
  <c r="D1095" i="14"/>
  <c r="N1095" i="14"/>
  <c r="D1096" i="14"/>
  <c r="N1096" i="14"/>
  <c r="D1097" i="14"/>
  <c r="N1097" i="14"/>
  <c r="D1098" i="14"/>
  <c r="N1098" i="14"/>
  <c r="D1099" i="14"/>
  <c r="N1099" i="14"/>
  <c r="D1100" i="14"/>
  <c r="N1100" i="14"/>
  <c r="D1101" i="14"/>
  <c r="N1101" i="14"/>
  <c r="D1102" i="14"/>
  <c r="N1102" i="14"/>
  <c r="D1103" i="14"/>
  <c r="N1103" i="14"/>
  <c r="D1104" i="14"/>
  <c r="N1104" i="14"/>
  <c r="D1105" i="14"/>
  <c r="N1105" i="14"/>
  <c r="M1091" i="14"/>
  <c r="M1092" i="14"/>
  <c r="M1093" i="14"/>
  <c r="M1094" i="14"/>
  <c r="M1095" i="14"/>
  <c r="M1096" i="14"/>
  <c r="M1097" i="14"/>
  <c r="M1098" i="14"/>
  <c r="M1099" i="14"/>
  <c r="M1100" i="14"/>
  <c r="M1101" i="14"/>
  <c r="M1102" i="14"/>
  <c r="M1103" i="14"/>
  <c r="M1104" i="14"/>
  <c r="M1105" i="14"/>
  <c r="L1091" i="14"/>
  <c r="L1092" i="14"/>
  <c r="L1093" i="14"/>
  <c r="L1094" i="14"/>
  <c r="L1095" i="14"/>
  <c r="L1096" i="14"/>
  <c r="L1097" i="14"/>
  <c r="L1098" i="14"/>
  <c r="L1099" i="14"/>
  <c r="L1100" i="14"/>
  <c r="L1101" i="14"/>
  <c r="L1102" i="14"/>
  <c r="L1103" i="14"/>
  <c r="L1104" i="14"/>
  <c r="L1105" i="14"/>
  <c r="K1091" i="14"/>
  <c r="K1092" i="14"/>
  <c r="K1093" i="14"/>
  <c r="K1094" i="14"/>
  <c r="K1095" i="14"/>
  <c r="K1096" i="14"/>
  <c r="K1097" i="14"/>
  <c r="K1098" i="14"/>
  <c r="K1099" i="14"/>
  <c r="K1100" i="14"/>
  <c r="K1101" i="14"/>
  <c r="K1102" i="14"/>
  <c r="K1103" i="14"/>
  <c r="K1104" i="14"/>
  <c r="K1105" i="14"/>
  <c r="J1091" i="14"/>
  <c r="J1092" i="14"/>
  <c r="J1093" i="14"/>
  <c r="J1094" i="14"/>
  <c r="J1095" i="14"/>
  <c r="J1096" i="14"/>
  <c r="J1097" i="14"/>
  <c r="J1098" i="14"/>
  <c r="J1099" i="14"/>
  <c r="J1100" i="14"/>
  <c r="J1101" i="14"/>
  <c r="J1102" i="14"/>
  <c r="J1103" i="14"/>
  <c r="J1104" i="14"/>
  <c r="J1105" i="14"/>
  <c r="I1091" i="14"/>
  <c r="I1092" i="14"/>
  <c r="I1093" i="14"/>
  <c r="I1094" i="14"/>
  <c r="I1095" i="14"/>
  <c r="I1096" i="14"/>
  <c r="I1097" i="14"/>
  <c r="I1098" i="14"/>
  <c r="I1099" i="14"/>
  <c r="I1100" i="14"/>
  <c r="I1101" i="14"/>
  <c r="I1102" i="14"/>
  <c r="I1103" i="14"/>
  <c r="I1104" i="14"/>
  <c r="I1105" i="14"/>
  <c r="H1091" i="14"/>
  <c r="H1092" i="14"/>
  <c r="H1093" i="14"/>
  <c r="H1094" i="14"/>
  <c r="H1095" i="14"/>
  <c r="H1096" i="14"/>
  <c r="H1097" i="14"/>
  <c r="H1098" i="14"/>
  <c r="H1099" i="14"/>
  <c r="H1100" i="14"/>
  <c r="H1101" i="14"/>
  <c r="H1102" i="14"/>
  <c r="H1103" i="14"/>
  <c r="H1104" i="14"/>
  <c r="H1105" i="14"/>
  <c r="G1091" i="14"/>
  <c r="G1092" i="14"/>
  <c r="G1093" i="14"/>
  <c r="G1094" i="14"/>
  <c r="G1095" i="14"/>
  <c r="G1096" i="14"/>
  <c r="G1097" i="14"/>
  <c r="G1098" i="14"/>
  <c r="G1099" i="14"/>
  <c r="G1100" i="14"/>
  <c r="G1101" i="14"/>
  <c r="G1102" i="14"/>
  <c r="G1103" i="14"/>
  <c r="G1104" i="14"/>
  <c r="G1105" i="14"/>
  <c r="F1091" i="14"/>
  <c r="F1092" i="14"/>
  <c r="F1093" i="14"/>
  <c r="F1094" i="14"/>
  <c r="F1095" i="14"/>
  <c r="F1096" i="14"/>
  <c r="F1097" i="14"/>
  <c r="F1098" i="14"/>
  <c r="F1099" i="14"/>
  <c r="F1100" i="14"/>
  <c r="F1101" i="14"/>
  <c r="F1102" i="14"/>
  <c r="F1103" i="14"/>
  <c r="F1104" i="14"/>
  <c r="F1105" i="14"/>
  <c r="E1091" i="14"/>
  <c r="E1092" i="14"/>
  <c r="E1093" i="14"/>
  <c r="E1094" i="14"/>
  <c r="E1095" i="14"/>
  <c r="E1096" i="14"/>
  <c r="E1097" i="14"/>
  <c r="E1098" i="14"/>
  <c r="E1099" i="14"/>
  <c r="E1100" i="14"/>
  <c r="E1101" i="14"/>
  <c r="E1102" i="14"/>
  <c r="E1103" i="14"/>
  <c r="E1104" i="14"/>
  <c r="E1105" i="14"/>
  <c r="B817" i="14"/>
  <c r="B813" i="14"/>
  <c r="B809" i="14"/>
  <c r="B805" i="14"/>
  <c r="J70" i="46"/>
  <c r="I70" i="46"/>
  <c r="F70" i="46"/>
  <c r="E70" i="46"/>
  <c r="G61" i="46"/>
  <c r="M50" i="46"/>
  <c r="K50" i="46"/>
  <c r="J50" i="46"/>
  <c r="I50" i="46"/>
  <c r="G50" i="46"/>
  <c r="M49" i="46"/>
  <c r="L49" i="46"/>
  <c r="I49" i="46"/>
  <c r="H49" i="46"/>
  <c r="G49" i="46"/>
  <c r="K48" i="46"/>
  <c r="N29" i="46"/>
  <c r="F29" i="46"/>
  <c r="N28" i="46"/>
  <c r="L28" i="46"/>
  <c r="K28" i="46"/>
  <c r="J28" i="46"/>
  <c r="H28" i="46"/>
  <c r="F28" i="46"/>
  <c r="M26" i="46"/>
  <c r="K26" i="46"/>
  <c r="M25" i="46"/>
  <c r="I25" i="46"/>
  <c r="H25" i="46"/>
  <c r="F25" i="46"/>
  <c r="L23" i="46"/>
  <c r="N21" i="46"/>
  <c r="M21" i="46"/>
  <c r="L21" i="46"/>
  <c r="H21" i="46"/>
  <c r="F21" i="46"/>
  <c r="N675" i="14"/>
  <c r="N265" i="22"/>
  <c r="N678" i="14"/>
  <c r="N266" i="22"/>
  <c r="N681" i="14"/>
  <c r="N267" i="22"/>
  <c r="N684" i="14"/>
  <c r="N268" i="22"/>
  <c r="M675" i="14"/>
  <c r="M265" i="22"/>
  <c r="M678" i="14"/>
  <c r="M342" i="8"/>
  <c r="M681" i="14"/>
  <c r="M267" i="22"/>
  <c r="M684" i="14"/>
  <c r="M268" i="22"/>
  <c r="L675" i="14"/>
  <c r="L265" i="22"/>
  <c r="L678" i="14"/>
  <c r="L266" i="22"/>
  <c r="L681" i="14"/>
  <c r="L343" i="8"/>
  <c r="L684" i="14"/>
  <c r="L268" i="22"/>
  <c r="K675" i="14"/>
  <c r="K265" i="22"/>
  <c r="K678" i="14"/>
  <c r="K266" i="22"/>
  <c r="K681" i="14"/>
  <c r="K267" i="22"/>
  <c r="K684" i="14"/>
  <c r="K268" i="22" s="1"/>
  <c r="K344" i="8"/>
  <c r="J675" i="14"/>
  <c r="J265" i="22" s="1"/>
  <c r="J678" i="14"/>
  <c r="J266" i="22" s="1"/>
  <c r="J681" i="14"/>
  <c r="J267" i="22" s="1"/>
  <c r="J684" i="14"/>
  <c r="J268" i="22" s="1"/>
  <c r="I593" i="14"/>
  <c r="I675" i="14"/>
  <c r="I265" i="22"/>
  <c r="I678" i="14"/>
  <c r="I266" i="22"/>
  <c r="I681" i="14"/>
  <c r="I267" i="22"/>
  <c r="I684" i="14"/>
  <c r="I268" i="22"/>
  <c r="H675" i="14"/>
  <c r="H341" i="8"/>
  <c r="H678" i="14"/>
  <c r="H266" i="22"/>
  <c r="H681" i="14"/>
  <c r="H343" i="8"/>
  <c r="H684" i="14"/>
  <c r="H268" i="22"/>
  <c r="G675" i="14"/>
  <c r="G265" i="22"/>
  <c r="G678" i="14"/>
  <c r="G342" i="8"/>
  <c r="G681" i="14"/>
  <c r="G684" i="14"/>
  <c r="G268" i="22" s="1"/>
  <c r="F675" i="14"/>
  <c r="F341" i="8" s="1"/>
  <c r="F678" i="14"/>
  <c r="F342" i="8" s="1"/>
  <c r="F681" i="14"/>
  <c r="F267" i="22" s="1"/>
  <c r="F684" i="14"/>
  <c r="F344" i="8" s="1"/>
  <c r="E593" i="14"/>
  <c r="E596" i="14" s="1"/>
  <c r="E599" i="14" s="1"/>
  <c r="E602" i="14" s="1"/>
  <c r="E605" i="14" s="1"/>
  <c r="E675" i="14"/>
  <c r="E265" i="22"/>
  <c r="E678" i="14"/>
  <c r="E266" i="22"/>
  <c r="E681" i="14"/>
  <c r="E267" i="22"/>
  <c r="E684" i="14"/>
  <c r="E268" i="22"/>
  <c r="M344" i="8"/>
  <c r="H344" i="8"/>
  <c r="N343" i="8"/>
  <c r="J343" i="8"/>
  <c r="I343" i="8"/>
  <c r="N342" i="8"/>
  <c r="H342" i="8"/>
  <c r="N341" i="8"/>
  <c r="M341" i="8"/>
  <c r="K341" i="8"/>
  <c r="I341" i="8"/>
  <c r="N218" i="8"/>
  <c r="K218" i="8"/>
  <c r="J218" i="8"/>
  <c r="H218" i="8"/>
  <c r="G218" i="8"/>
  <c r="F218" i="8"/>
  <c r="E218" i="8"/>
  <c r="M217" i="8"/>
  <c r="L217" i="8"/>
  <c r="K217" i="8"/>
  <c r="I217" i="8"/>
  <c r="H217" i="8"/>
  <c r="G217" i="8"/>
  <c r="E217" i="8"/>
  <c r="N216" i="8"/>
  <c r="M216" i="8"/>
  <c r="K216" i="8"/>
  <c r="J216" i="8"/>
  <c r="H216" i="8"/>
  <c r="G216" i="8"/>
  <c r="F216" i="8"/>
  <c r="E216" i="8"/>
  <c r="N215" i="8"/>
  <c r="M215" i="8"/>
  <c r="L215" i="8"/>
  <c r="I215" i="8"/>
  <c r="H215" i="8"/>
  <c r="F215" i="8"/>
  <c r="E215" i="8"/>
  <c r="N180" i="8"/>
  <c r="J180" i="8"/>
  <c r="E180" i="8"/>
  <c r="N179" i="8"/>
  <c r="E179" i="8"/>
  <c r="N178" i="8"/>
  <c r="K178" i="8"/>
  <c r="E178" i="8"/>
  <c r="N177" i="8"/>
  <c r="J177" i="8"/>
  <c r="E177" i="8"/>
  <c r="N161" i="8"/>
  <c r="M161" i="8"/>
  <c r="L161" i="8"/>
  <c r="K161" i="8"/>
  <c r="J161" i="8"/>
  <c r="I161" i="8"/>
  <c r="H161" i="8"/>
  <c r="G161" i="8"/>
  <c r="F161" i="8"/>
  <c r="E161" i="8"/>
  <c r="D1616" i="14"/>
  <c r="L1616" i="14" s="1"/>
  <c r="M1616" i="14"/>
  <c r="K1616" i="14"/>
  <c r="I1616" i="14"/>
  <c r="G1616" i="14"/>
  <c r="D1615" i="14"/>
  <c r="N1615" i="14" s="1"/>
  <c r="J1615" i="14"/>
  <c r="F1615" i="14"/>
  <c r="D1614" i="14"/>
  <c r="N1614" i="14"/>
  <c r="M1614" i="14"/>
  <c r="L1614" i="14"/>
  <c r="K1614" i="14"/>
  <c r="J1614" i="14"/>
  <c r="I1614" i="14"/>
  <c r="H1614" i="14"/>
  <c r="G1614" i="14"/>
  <c r="F1614" i="14"/>
  <c r="D1613" i="14"/>
  <c r="N1613" i="14"/>
  <c r="L1613" i="14"/>
  <c r="K1613" i="14"/>
  <c r="J1613" i="14"/>
  <c r="I1613" i="14"/>
  <c r="H1613" i="14"/>
  <c r="G1613" i="14"/>
  <c r="F1613" i="14"/>
  <c r="N1612" i="14"/>
  <c r="M1612" i="14"/>
  <c r="L1612" i="14"/>
  <c r="K1612" i="14"/>
  <c r="J1612" i="14"/>
  <c r="I1612" i="14"/>
  <c r="H1612" i="14"/>
  <c r="G1612" i="14"/>
  <c r="F1612" i="14"/>
  <c r="E1616" i="14"/>
  <c r="E1615" i="14"/>
  <c r="E1614" i="14"/>
  <c r="E1613" i="14"/>
  <c r="D1518" i="14"/>
  <c r="N1518" i="14"/>
  <c r="K1518" i="14"/>
  <c r="J1518" i="14"/>
  <c r="I1518" i="14"/>
  <c r="H1518" i="14"/>
  <c r="G1518" i="14"/>
  <c r="F1518" i="14"/>
  <c r="D1517" i="14"/>
  <c r="N1517" i="14"/>
  <c r="M1517" i="14"/>
  <c r="L1517" i="14"/>
  <c r="K1517" i="14"/>
  <c r="J1517" i="14"/>
  <c r="I1517" i="14"/>
  <c r="H1517" i="14"/>
  <c r="G1517" i="14"/>
  <c r="F1517" i="14"/>
  <c r="D1516" i="14"/>
  <c r="N1516" i="14"/>
  <c r="M1516" i="14"/>
  <c r="K1516" i="14"/>
  <c r="J1516" i="14"/>
  <c r="I1516" i="14"/>
  <c r="H1516" i="14"/>
  <c r="G1516" i="14"/>
  <c r="F1516" i="14"/>
  <c r="D1515" i="14"/>
  <c r="L1515" i="14" s="1"/>
  <c r="D1514" i="14"/>
  <c r="N1514" i="14" s="1"/>
  <c r="J1514" i="14"/>
  <c r="D1513" i="14"/>
  <c r="L1513" i="14" s="1"/>
  <c r="N1512" i="14"/>
  <c r="M1512" i="14"/>
  <c r="L1512" i="14"/>
  <c r="K1512" i="14"/>
  <c r="J1512" i="14"/>
  <c r="I1512" i="14"/>
  <c r="H1512" i="14"/>
  <c r="G1512" i="14"/>
  <c r="F1512" i="14"/>
  <c r="E1518" i="14"/>
  <c r="E1517" i="14"/>
  <c r="E1516" i="14"/>
  <c r="E1514" i="14"/>
  <c r="D1417" i="14"/>
  <c r="L1417" i="14" s="1"/>
  <c r="M1417" i="14"/>
  <c r="K1417" i="14"/>
  <c r="I1417" i="14"/>
  <c r="G1417" i="14"/>
  <c r="D1416" i="14"/>
  <c r="M1416" i="14" s="1"/>
  <c r="K1416" i="14"/>
  <c r="F1416" i="14"/>
  <c r="D1415" i="14"/>
  <c r="N1415" i="14"/>
  <c r="M1415" i="14"/>
  <c r="L1415" i="14"/>
  <c r="K1415" i="14"/>
  <c r="J1415" i="14"/>
  <c r="I1415" i="14"/>
  <c r="H1415" i="14"/>
  <c r="G1415" i="14"/>
  <c r="F1415" i="14"/>
  <c r="D1414" i="14"/>
  <c r="M1414" i="14"/>
  <c r="N1414" i="14"/>
  <c r="L1414" i="14"/>
  <c r="K1414" i="14"/>
  <c r="J1414" i="14"/>
  <c r="H1414" i="14"/>
  <c r="G1414" i="14"/>
  <c r="F1414" i="14"/>
  <c r="D1413" i="14"/>
  <c r="N1413" i="14" s="1"/>
  <c r="K1413" i="14"/>
  <c r="G1413" i="14"/>
  <c r="D1412" i="14"/>
  <c r="L1412" i="14" s="1"/>
  <c r="N1412" i="14"/>
  <c r="K1412" i="14"/>
  <c r="H1412" i="14"/>
  <c r="F1412" i="14"/>
  <c r="D1411" i="14"/>
  <c r="N1411" i="14"/>
  <c r="M1411" i="14"/>
  <c r="L1411" i="14"/>
  <c r="K1411" i="14"/>
  <c r="J1411" i="14"/>
  <c r="I1411" i="14"/>
  <c r="H1411" i="14"/>
  <c r="G1411" i="14"/>
  <c r="F1411" i="14"/>
  <c r="D1410" i="14"/>
  <c r="M1410" i="14"/>
  <c r="N1410" i="14"/>
  <c r="L1410" i="14"/>
  <c r="K1410" i="14"/>
  <c r="J1410" i="14"/>
  <c r="H1410" i="14"/>
  <c r="G1410" i="14"/>
  <c r="F1410" i="14"/>
  <c r="N1409" i="14"/>
  <c r="M1409" i="14"/>
  <c r="L1409" i="14"/>
  <c r="K1409" i="14"/>
  <c r="J1409" i="14"/>
  <c r="I1409" i="14"/>
  <c r="H1409" i="14"/>
  <c r="G1409" i="14"/>
  <c r="F1409" i="14"/>
  <c r="E1417" i="14"/>
  <c r="E1416" i="14"/>
  <c r="E1415" i="14"/>
  <c r="E1414" i="14"/>
  <c r="E1413" i="14"/>
  <c r="E1412" i="14"/>
  <c r="E1411" i="14"/>
  <c r="D1368" i="14"/>
  <c r="K1368" i="14" s="1"/>
  <c r="M1368" i="14"/>
  <c r="J1368" i="14"/>
  <c r="G1368" i="14"/>
  <c r="D1367" i="14"/>
  <c r="G1367" i="14" s="1"/>
  <c r="K1367" i="14"/>
  <c r="D1366" i="14"/>
  <c r="K1366" i="14" s="1"/>
  <c r="M1366" i="14"/>
  <c r="I1366" i="14"/>
  <c r="D1365" i="14"/>
  <c r="L1365" i="14" s="1"/>
  <c r="D1364" i="14"/>
  <c r="N1364" i="14" s="1"/>
  <c r="I1364" i="14"/>
  <c r="D1363" i="14"/>
  <c r="G1363" i="14" s="1"/>
  <c r="K1363" i="14"/>
  <c r="D1362" i="14"/>
  <c r="K1362" i="14" s="1"/>
  <c r="M1362" i="14"/>
  <c r="I1362" i="14"/>
  <c r="D1361" i="14"/>
  <c r="L1361" i="14" s="1"/>
  <c r="D1360" i="14"/>
  <c r="N1360" i="14" s="1"/>
  <c r="K1360" i="14"/>
  <c r="G1360" i="14"/>
  <c r="N1359" i="14"/>
  <c r="M1359" i="14"/>
  <c r="L1359" i="14"/>
  <c r="K1359" i="14"/>
  <c r="J1359" i="14"/>
  <c r="I1359" i="14"/>
  <c r="H1359" i="14"/>
  <c r="G1359" i="14"/>
  <c r="F1359" i="14"/>
  <c r="E1368" i="14"/>
  <c r="E1366" i="14"/>
  <c r="E1365" i="14"/>
  <c r="E1364" i="14"/>
  <c r="E1362" i="14"/>
  <c r="E1361" i="14"/>
  <c r="E1360" i="14"/>
  <c r="D1319" i="14"/>
  <c r="L1319" i="14" s="1"/>
  <c r="M1319" i="14"/>
  <c r="K1319" i="14"/>
  <c r="I1319" i="14"/>
  <c r="G1319" i="14"/>
  <c r="E1319" i="14"/>
  <c r="D1318" i="14"/>
  <c r="L1318" i="14" s="1"/>
  <c r="M1318" i="14"/>
  <c r="K1318" i="14"/>
  <c r="H1318" i="14"/>
  <c r="G1318" i="14"/>
  <c r="D1317" i="14"/>
  <c r="L1317" i="14"/>
  <c r="K1317" i="14"/>
  <c r="G1317" i="14"/>
  <c r="D1316" i="14"/>
  <c r="L1316" i="14"/>
  <c r="N1316" i="14"/>
  <c r="M1316" i="14"/>
  <c r="K1316" i="14"/>
  <c r="J1316" i="14"/>
  <c r="I1316" i="14"/>
  <c r="G1316" i="14"/>
  <c r="F1316" i="14"/>
  <c r="E1316" i="14"/>
  <c r="D1315" i="14"/>
  <c r="M1315" i="14" s="1"/>
  <c r="N1315" i="14"/>
  <c r="L1315" i="14"/>
  <c r="K1315" i="14"/>
  <c r="J1315" i="14"/>
  <c r="I1315" i="14"/>
  <c r="H1315" i="14"/>
  <c r="G1315" i="14"/>
  <c r="F1315" i="14"/>
  <c r="E1315" i="14"/>
  <c r="D1314" i="14"/>
  <c r="M1314" i="14" s="1"/>
  <c r="H1314" i="14"/>
  <c r="D1313" i="14"/>
  <c r="G1313" i="14" s="1"/>
  <c r="K1313" i="14"/>
  <c r="D1312" i="14"/>
  <c r="L1312" i="14" s="1"/>
  <c r="M1312" i="14"/>
  <c r="K1312" i="14"/>
  <c r="I1312" i="14"/>
  <c r="G1312" i="14"/>
  <c r="E1312" i="14"/>
  <c r="D1311" i="14"/>
  <c r="M1311" i="14" s="1"/>
  <c r="N1311" i="14"/>
  <c r="L1311" i="14"/>
  <c r="K1311" i="14"/>
  <c r="J1311" i="14"/>
  <c r="I1311" i="14"/>
  <c r="H1311" i="14"/>
  <c r="G1311" i="14"/>
  <c r="F1311" i="14"/>
  <c r="E1311" i="14"/>
  <c r="D1310" i="14"/>
  <c r="M1310" i="14" s="1"/>
  <c r="H1310" i="14"/>
  <c r="N1309" i="14"/>
  <c r="M1309" i="14"/>
  <c r="L1309" i="14"/>
  <c r="K1309" i="14"/>
  <c r="J1309" i="14"/>
  <c r="I1309" i="14"/>
  <c r="H1309" i="14"/>
  <c r="G1309" i="14"/>
  <c r="F1309" i="14"/>
  <c r="D13" i="1"/>
  <c r="C31" i="49" s="1"/>
  <c r="N11" i="24"/>
  <c r="N22" i="24"/>
  <c r="N24" i="24"/>
  <c r="Z5" i="23" s="1"/>
  <c r="N5" i="23" s="1"/>
  <c r="N145" i="14" s="1"/>
  <c r="M22" i="24"/>
  <c r="M24" i="24"/>
  <c r="L11" i="24"/>
  <c r="L22" i="24"/>
  <c r="L24" i="24" s="1"/>
  <c r="K11" i="24"/>
  <c r="K22" i="24"/>
  <c r="K24" i="24"/>
  <c r="W5" i="23" s="1"/>
  <c r="K5" i="23" s="1"/>
  <c r="K145" i="14" s="1"/>
  <c r="J22" i="24"/>
  <c r="J24" i="24"/>
  <c r="I11" i="24"/>
  <c r="I22" i="24"/>
  <c r="I24" i="24" s="1"/>
  <c r="H11" i="24"/>
  <c r="H22" i="24"/>
  <c r="H24" i="24"/>
  <c r="T5" i="23" s="1"/>
  <c r="H5" i="23" s="1"/>
  <c r="H145" i="14" s="1"/>
  <c r="G22" i="24"/>
  <c r="G24" i="24"/>
  <c r="F22" i="24"/>
  <c r="F24" i="24"/>
  <c r="E22" i="24"/>
  <c r="E24" i="24"/>
  <c r="D15" i="37"/>
  <c r="M63" i="37"/>
  <c r="K63" i="37"/>
  <c r="J63" i="37"/>
  <c r="I63" i="37"/>
  <c r="G63" i="37"/>
  <c r="E63" i="37"/>
  <c r="E280" i="21"/>
  <c r="F280" i="21"/>
  <c r="G280" i="21" s="1"/>
  <c r="D270" i="21"/>
  <c r="D269" i="21" s="1"/>
  <c r="D268" i="21" s="1"/>
  <c r="D267" i="21" s="1"/>
  <c r="D266" i="21" s="1"/>
  <c r="D265" i="21" s="1"/>
  <c r="D264" i="21" s="1"/>
  <c r="D263" i="21" s="1"/>
  <c r="D262" i="21" s="1"/>
  <c r="D261" i="21" s="1"/>
  <c r="D260" i="21" s="1"/>
  <c r="D259" i="21" s="1"/>
  <c r="D258" i="21" s="1"/>
  <c r="D277" i="21" s="1"/>
  <c r="N23" i="7"/>
  <c r="E282" i="21"/>
  <c r="E283" i="21"/>
  <c r="F283" i="21" s="1"/>
  <c r="D276" i="21"/>
  <c r="D284" i="21" s="1"/>
  <c r="E284" i="21" s="1"/>
  <c r="F284" i="21" s="1"/>
  <c r="G284" i="21" s="1"/>
  <c r="E276" i="21"/>
  <c r="E285" i="21" s="1"/>
  <c r="F285" i="21" s="1"/>
  <c r="G285" i="21" s="1"/>
  <c r="H285" i="21" s="1"/>
  <c r="F276" i="21"/>
  <c r="F286" i="21"/>
  <c r="G286" i="21" s="1"/>
  <c r="H286" i="21" s="1"/>
  <c r="I286" i="21" s="1"/>
  <c r="G276" i="21"/>
  <c r="G287" i="21"/>
  <c r="H287" i="21" s="1"/>
  <c r="I287" i="21" s="1"/>
  <c r="J287" i="21" s="1"/>
  <c r="H276" i="21"/>
  <c r="H288" i="21" s="1"/>
  <c r="I288" i="21" s="1"/>
  <c r="J288" i="21" s="1"/>
  <c r="K288" i="21" s="1"/>
  <c r="J276" i="21"/>
  <c r="N276" i="21" s="1"/>
  <c r="J290" i="21"/>
  <c r="K290" i="21" s="1"/>
  <c r="L290" i="21" s="1"/>
  <c r="K276" i="21"/>
  <c r="O276" i="21" s="1"/>
  <c r="K291" i="21"/>
  <c r="L291" i="21" s="1"/>
  <c r="N71" i="7"/>
  <c r="N724" i="14" s="1"/>
  <c r="N726" i="14" s="1"/>
  <c r="N71" i="8" s="1"/>
  <c r="N72" i="7"/>
  <c r="N728" i="14" s="1"/>
  <c r="N730" i="14" s="1"/>
  <c r="N73" i="7"/>
  <c r="N732" i="14" s="1"/>
  <c r="N734" i="14" s="1"/>
  <c r="N73" i="8" s="1"/>
  <c r="E23" i="7"/>
  <c r="E71" i="7"/>
  <c r="E724" i="14" s="1"/>
  <c r="E726" i="14" s="1"/>
  <c r="E72" i="7"/>
  <c r="E728" i="14" s="1"/>
  <c r="E730" i="14" s="1"/>
  <c r="E73" i="7"/>
  <c r="E732" i="14" s="1"/>
  <c r="E734" i="14" s="1"/>
  <c r="F23" i="7"/>
  <c r="F71" i="7"/>
  <c r="F724" i="14" s="1"/>
  <c r="F726" i="14" s="1"/>
  <c r="F72" i="7"/>
  <c r="F728" i="14" s="1"/>
  <c r="F730" i="14" s="1"/>
  <c r="F73" i="7"/>
  <c r="F732" i="14" s="1"/>
  <c r="F734" i="14" s="1"/>
  <c r="G23" i="7"/>
  <c r="G71" i="7"/>
  <c r="G724" i="14" s="1"/>
  <c r="G726" i="14" s="1"/>
  <c r="G72" i="7"/>
  <c r="G728" i="14" s="1"/>
  <c r="G730" i="14" s="1"/>
  <c r="G72" i="8" s="1"/>
  <c r="G73" i="7"/>
  <c r="G732" i="14" s="1"/>
  <c r="G734" i="14" s="1"/>
  <c r="H23" i="7"/>
  <c r="H71" i="7"/>
  <c r="H724" i="14" s="1"/>
  <c r="H726" i="14" s="1"/>
  <c r="H71" i="8" s="1"/>
  <c r="H72" i="7"/>
  <c r="H728" i="14" s="1"/>
  <c r="H730" i="14" s="1"/>
  <c r="H72" i="8" s="1"/>
  <c r="H73" i="7"/>
  <c r="H732" i="14" s="1"/>
  <c r="H734" i="14" s="1"/>
  <c r="I23" i="7"/>
  <c r="I71" i="7"/>
  <c r="I724" i="14" s="1"/>
  <c r="I726" i="14" s="1"/>
  <c r="I72" i="7"/>
  <c r="I728" i="14" s="1"/>
  <c r="I730" i="14" s="1"/>
  <c r="I72" i="8" s="1"/>
  <c r="I73" i="7"/>
  <c r="I732" i="14" s="1"/>
  <c r="I734" i="14" s="1"/>
  <c r="M23" i="7"/>
  <c r="M71" i="7"/>
  <c r="M724" i="14" s="1"/>
  <c r="M726" i="14" s="1"/>
  <c r="M71" i="8" s="1"/>
  <c r="M72" i="7"/>
  <c r="M728" i="14" s="1"/>
  <c r="M730" i="14" s="1"/>
  <c r="M72" i="8" s="1"/>
  <c r="M73" i="7"/>
  <c r="M732" i="14" s="1"/>
  <c r="M734" i="14" s="1"/>
  <c r="L23" i="7"/>
  <c r="L71" i="7"/>
  <c r="L724" i="14" s="1"/>
  <c r="L726" i="14" s="1"/>
  <c r="L72" i="7"/>
  <c r="L728" i="14" s="1"/>
  <c r="L730" i="14" s="1"/>
  <c r="L72" i="8" s="1"/>
  <c r="L73" i="7"/>
  <c r="L732" i="14" s="1"/>
  <c r="L734" i="14" s="1"/>
  <c r="L73" i="8" s="1"/>
  <c r="K23" i="7"/>
  <c r="K71" i="7"/>
  <c r="K724" i="14" s="1"/>
  <c r="K726" i="14" s="1"/>
  <c r="K72" i="7"/>
  <c r="K728" i="14" s="1"/>
  <c r="K730" i="14" s="1"/>
  <c r="K72" i="8" s="1"/>
  <c r="K73" i="7"/>
  <c r="K732" i="14" s="1"/>
  <c r="K734" i="14" s="1"/>
  <c r="K73" i="8" s="1"/>
  <c r="J23" i="7"/>
  <c r="J71" i="7"/>
  <c r="J724" i="14" s="1"/>
  <c r="J726" i="14" s="1"/>
  <c r="J71" i="8" s="1"/>
  <c r="J72" i="7"/>
  <c r="J728" i="14" s="1"/>
  <c r="J730" i="14" s="1"/>
  <c r="J72" i="8" s="1"/>
  <c r="J73" i="7"/>
  <c r="J732" i="14" s="1"/>
  <c r="J734" i="14" s="1"/>
  <c r="N22" i="7"/>
  <c r="N93" i="14" s="1"/>
  <c r="E22" i="7"/>
  <c r="E93" i="14" s="1"/>
  <c r="F22" i="7"/>
  <c r="F93" i="14" s="1"/>
  <c r="G22" i="7"/>
  <c r="G93" i="14" s="1"/>
  <c r="H22" i="7"/>
  <c r="H93" i="14" s="1"/>
  <c r="I22" i="7"/>
  <c r="I93" i="14" s="1"/>
  <c r="M22" i="7"/>
  <c r="M93" i="14" s="1"/>
  <c r="L22" i="7"/>
  <c r="L93" i="14" s="1"/>
  <c r="K22" i="7"/>
  <c r="K93" i="14" s="1"/>
  <c r="J22" i="7"/>
  <c r="J93" i="14" s="1"/>
  <c r="N20" i="7"/>
  <c r="N7" i="14" s="1"/>
  <c r="E20" i="7"/>
  <c r="B15" i="34" s="1"/>
  <c r="F20" i="7"/>
  <c r="F7" i="14" s="1"/>
  <c r="G20" i="7"/>
  <c r="G19" i="46" s="1"/>
  <c r="H20" i="7"/>
  <c r="H7" i="14" s="1"/>
  <c r="I20" i="7"/>
  <c r="I7" i="14" s="1"/>
  <c r="M20" i="7"/>
  <c r="M7" i="14" s="1"/>
  <c r="L20" i="7"/>
  <c r="L7" i="14" s="1"/>
  <c r="K20" i="7"/>
  <c r="K7" i="14" s="1"/>
  <c r="J20" i="7"/>
  <c r="J7" i="14" s="1"/>
  <c r="J88" i="10"/>
  <c r="K88" i="10"/>
  <c r="L88" i="10" s="1"/>
  <c r="M88" i="10" s="1"/>
  <c r="N88" i="10" s="1"/>
  <c r="E24" i="32"/>
  <c r="G28" i="10"/>
  <c r="H28" i="10"/>
  <c r="I28" i="10" s="1"/>
  <c r="J28" i="10" s="1"/>
  <c r="K28" i="10" s="1"/>
  <c r="L28" i="10" s="1"/>
  <c r="M28" i="10" s="1"/>
  <c r="N28" i="10" s="1"/>
  <c r="J7" i="10"/>
  <c r="K7" i="10" s="1"/>
  <c r="L7" i="10" s="1"/>
  <c r="M7" i="10" s="1"/>
  <c r="N7" i="10" s="1"/>
  <c r="H48" i="37"/>
  <c r="E49" i="37"/>
  <c r="N29" i="7"/>
  <c r="N315" i="14" s="1"/>
  <c r="M29" i="7"/>
  <c r="M315" i="14" s="1"/>
  <c r="L29" i="7"/>
  <c r="L315" i="14" s="1"/>
  <c r="K29" i="7"/>
  <c r="K315" i="14" s="1"/>
  <c r="J29" i="7"/>
  <c r="J315" i="14" s="1"/>
  <c r="I29" i="7"/>
  <c r="I315" i="14" s="1"/>
  <c r="H29" i="7"/>
  <c r="H315" i="14" s="1"/>
  <c r="G29" i="7"/>
  <c r="G315" i="14" s="1"/>
  <c r="F29" i="7"/>
  <c r="F315" i="14" s="1"/>
  <c r="E29" i="7"/>
  <c r="E315" i="14" s="1"/>
  <c r="N21" i="7"/>
  <c r="N46" i="14" s="1"/>
  <c r="M21" i="7"/>
  <c r="M46" i="14" s="1"/>
  <c r="L21" i="7"/>
  <c r="L46" i="14" s="1"/>
  <c r="K21" i="7"/>
  <c r="K46" i="14" s="1"/>
  <c r="J21" i="7"/>
  <c r="J46" i="14" s="1"/>
  <c r="D37" i="1"/>
  <c r="G4" i="4" s="1"/>
  <c r="N236" i="37"/>
  <c r="N238" i="37"/>
  <c r="M236" i="37"/>
  <c r="M238" i="37"/>
  <c r="L236" i="37"/>
  <c r="L238" i="37"/>
  <c r="K236" i="37"/>
  <c r="K238" i="37"/>
  <c r="J236" i="37"/>
  <c r="J238" i="37"/>
  <c r="M235" i="37"/>
  <c r="L235" i="37"/>
  <c r="N234" i="37"/>
  <c r="M234" i="37"/>
  <c r="L234" i="37"/>
  <c r="K234" i="37"/>
  <c r="J234" i="37"/>
  <c r="M233" i="37"/>
  <c r="K233" i="37"/>
  <c r="M232" i="37"/>
  <c r="L232" i="37"/>
  <c r="K232" i="37"/>
  <c r="N231" i="37"/>
  <c r="L231" i="37"/>
  <c r="K231" i="37"/>
  <c r="J231" i="37"/>
  <c r="N230" i="37"/>
  <c r="M230" i="37"/>
  <c r="K230" i="37"/>
  <c r="J230" i="37"/>
  <c r="M229" i="37"/>
  <c r="L229" i="37"/>
  <c r="K229" i="37"/>
  <c r="J229" i="37"/>
  <c r="N228" i="37"/>
  <c r="M228" i="37"/>
  <c r="L228" i="37"/>
  <c r="K228" i="37"/>
  <c r="J228" i="37"/>
  <c r="N227" i="37"/>
  <c r="M227" i="37"/>
  <c r="L227" i="37"/>
  <c r="K227" i="37"/>
  <c r="J227" i="37"/>
  <c r="L226" i="37"/>
  <c r="K226" i="37"/>
  <c r="N225" i="37"/>
  <c r="M225" i="37"/>
  <c r="J225" i="37"/>
  <c r="N222" i="37"/>
  <c r="L222" i="37"/>
  <c r="K222" i="37"/>
  <c r="J222" i="37"/>
  <c r="N221" i="37"/>
  <c r="M221" i="37"/>
  <c r="L221" i="37"/>
  <c r="K221" i="37"/>
  <c r="J221" i="37"/>
  <c r="N220" i="37"/>
  <c r="M220" i="37"/>
  <c r="L220" i="37"/>
  <c r="J220" i="37"/>
  <c r="N218" i="37"/>
  <c r="M218" i="37"/>
  <c r="L218" i="37"/>
  <c r="K218" i="37"/>
  <c r="J218" i="37"/>
  <c r="N217" i="37"/>
  <c r="M217" i="37"/>
  <c r="L217" i="37"/>
  <c r="K217" i="37"/>
  <c r="J217" i="37"/>
  <c r="L216" i="37"/>
  <c r="J216" i="37"/>
  <c r="N214" i="37"/>
  <c r="M214" i="37"/>
  <c r="L214" i="37"/>
  <c r="N213" i="37"/>
  <c r="K213" i="37"/>
  <c r="J213" i="37"/>
  <c r="M212" i="37"/>
  <c r="L212" i="37"/>
  <c r="M210" i="37"/>
  <c r="L210" i="37"/>
  <c r="N209" i="37"/>
  <c r="M209" i="37"/>
  <c r="L209" i="37"/>
  <c r="J209" i="37"/>
  <c r="M208" i="37"/>
  <c r="L208" i="37"/>
  <c r="N207" i="37"/>
  <c r="M207" i="37"/>
  <c r="L207" i="37"/>
  <c r="K207" i="37"/>
  <c r="J207" i="37"/>
  <c r="M206" i="37"/>
  <c r="L206" i="37"/>
  <c r="N205" i="37"/>
  <c r="M205" i="37"/>
  <c r="L205" i="37"/>
  <c r="J205" i="37"/>
  <c r="M204" i="37"/>
  <c r="L204" i="37"/>
  <c r="N203" i="37"/>
  <c r="M203" i="37"/>
  <c r="L203" i="37"/>
  <c r="K203" i="37"/>
  <c r="J203" i="37"/>
  <c r="K202" i="37"/>
  <c r="J202" i="37"/>
  <c r="E21" i="7"/>
  <c r="E46" i="14" s="1"/>
  <c r="F21" i="7"/>
  <c r="F46" i="14" s="1"/>
  <c r="G21" i="7"/>
  <c r="G46" i="14" s="1"/>
  <c r="H21" i="7"/>
  <c r="H46" i="14" s="1"/>
  <c r="I21" i="7"/>
  <c r="I46" i="14" s="1"/>
  <c r="D35" i="21"/>
  <c r="N154" i="14"/>
  <c r="N31" i="7"/>
  <c r="N437" i="14" s="1"/>
  <c r="N6" i="23"/>
  <c r="N162" i="14" s="1"/>
  <c r="M154" i="14"/>
  <c r="M31" i="7"/>
  <c r="M437" i="14" s="1"/>
  <c r="M443" i="14" s="1"/>
  <c r="M6" i="23"/>
  <c r="M162" i="14" s="1"/>
  <c r="L154" i="14"/>
  <c r="L31" i="7"/>
  <c r="L437" i="14" s="1"/>
  <c r="L443" i="14" s="1"/>
  <c r="K154" i="14"/>
  <c r="K31" i="7"/>
  <c r="K437" i="14" s="1"/>
  <c r="K443" i="14" s="1"/>
  <c r="J154" i="14"/>
  <c r="J31" i="7"/>
  <c r="J437" i="14" s="1"/>
  <c r="J6" i="23"/>
  <c r="J162" i="14" s="1"/>
  <c r="N71" i="22"/>
  <c r="M71" i="22"/>
  <c r="L71" i="22"/>
  <c r="K71" i="22"/>
  <c r="J71" i="22"/>
  <c r="N84" i="37"/>
  <c r="M84" i="37"/>
  <c r="K84" i="37"/>
  <c r="J84" i="37"/>
  <c r="M76" i="37"/>
  <c r="M61" i="37"/>
  <c r="L61" i="37"/>
  <c r="K61" i="37"/>
  <c r="M50" i="37"/>
  <c r="K50" i="37"/>
  <c r="M37" i="37"/>
  <c r="L37" i="37"/>
  <c r="K37" i="37"/>
  <c r="M36" i="37"/>
  <c r="L36" i="37"/>
  <c r="M35" i="37"/>
  <c r="L35" i="37"/>
  <c r="M34" i="37"/>
  <c r="L34" i="37"/>
  <c r="K34" i="8"/>
  <c r="K33" i="37" s="1"/>
  <c r="J34" i="8"/>
  <c r="J33" i="37"/>
  <c r="N28" i="37"/>
  <c r="L26" i="37"/>
  <c r="J26" i="37"/>
  <c r="N100" i="24"/>
  <c r="M100" i="24"/>
  <c r="L100" i="24"/>
  <c r="K100" i="24"/>
  <c r="J100" i="24"/>
  <c r="I100" i="24"/>
  <c r="H100" i="24"/>
  <c r="G100" i="24"/>
  <c r="S7" i="23"/>
  <c r="G7" i="23" s="1"/>
  <c r="Z26" i="23"/>
  <c r="N26" i="23" s="1"/>
  <c r="W26" i="23"/>
  <c r="K26" i="23" s="1"/>
  <c r="S26" i="23"/>
  <c r="G26" i="23" s="1"/>
  <c r="R26" i="23"/>
  <c r="F26" i="23" s="1"/>
  <c r="N85" i="24"/>
  <c r="M85" i="24"/>
  <c r="L85" i="24"/>
  <c r="K85" i="24"/>
  <c r="J85" i="24"/>
  <c r="I85" i="24"/>
  <c r="H85" i="24"/>
  <c r="G85" i="24"/>
  <c r="F85" i="24"/>
  <c r="N84" i="24"/>
  <c r="M84" i="24"/>
  <c r="L84" i="24"/>
  <c r="K84" i="24"/>
  <c r="J84" i="24"/>
  <c r="I84" i="24"/>
  <c r="H84" i="24"/>
  <c r="G84" i="24"/>
  <c r="F84" i="24"/>
  <c r="N83" i="24"/>
  <c r="M83" i="24"/>
  <c r="L83" i="24"/>
  <c r="K83" i="24"/>
  <c r="J83" i="24"/>
  <c r="I83" i="24"/>
  <c r="H83" i="24"/>
  <c r="G83" i="24"/>
  <c r="F83" i="24"/>
  <c r="N82" i="24"/>
  <c r="M82" i="24"/>
  <c r="L82" i="24"/>
  <c r="K82" i="24"/>
  <c r="J82" i="24"/>
  <c r="I82" i="24"/>
  <c r="H82" i="24"/>
  <c r="G82" i="24"/>
  <c r="F82" i="24"/>
  <c r="N81" i="24"/>
  <c r="M81" i="24"/>
  <c r="L81" i="24"/>
  <c r="K81" i="24"/>
  <c r="J81" i="24"/>
  <c r="I81" i="24"/>
  <c r="H81" i="24"/>
  <c r="G81" i="24"/>
  <c r="F81" i="24"/>
  <c r="N80" i="24"/>
  <c r="M80" i="24"/>
  <c r="L80" i="24"/>
  <c r="K80" i="24"/>
  <c r="J80" i="24"/>
  <c r="I80" i="24"/>
  <c r="H80" i="24"/>
  <c r="G80" i="24"/>
  <c r="F80" i="24"/>
  <c r="N79" i="24"/>
  <c r="M79" i="24"/>
  <c r="L79" i="24"/>
  <c r="K79" i="24"/>
  <c r="J79" i="24"/>
  <c r="I79" i="24"/>
  <c r="H79" i="24"/>
  <c r="G79" i="24"/>
  <c r="F79" i="24"/>
  <c r="N78" i="24"/>
  <c r="M78" i="24"/>
  <c r="L78" i="24"/>
  <c r="K78" i="24"/>
  <c r="J78" i="24"/>
  <c r="I78" i="24"/>
  <c r="H78" i="24"/>
  <c r="G78" i="24"/>
  <c r="F78" i="24"/>
  <c r="E69" i="24"/>
  <c r="N59" i="24"/>
  <c r="L59" i="24"/>
  <c r="J59" i="24"/>
  <c r="I59" i="24"/>
  <c r="H59" i="24"/>
  <c r="F59" i="24"/>
  <c r="E59" i="24"/>
  <c r="N58" i="24"/>
  <c r="L58" i="24"/>
  <c r="J58" i="24"/>
  <c r="I58" i="24"/>
  <c r="H58" i="24"/>
  <c r="F58" i="24"/>
  <c r="E58" i="24"/>
  <c r="N57" i="24"/>
  <c r="L57" i="24"/>
  <c r="J57" i="24"/>
  <c r="I57" i="24"/>
  <c r="H57" i="24"/>
  <c r="F57" i="24"/>
  <c r="E57" i="24"/>
  <c r="N56" i="24"/>
  <c r="L56" i="24"/>
  <c r="J56" i="24"/>
  <c r="I56" i="24"/>
  <c r="H56" i="24"/>
  <c r="F56" i="24"/>
  <c r="E56" i="24"/>
  <c r="N55" i="24"/>
  <c r="L55" i="24"/>
  <c r="J55" i="24"/>
  <c r="I55" i="24"/>
  <c r="H55" i="24"/>
  <c r="F55" i="24"/>
  <c r="E55" i="24"/>
  <c r="N54" i="24"/>
  <c r="L54" i="24"/>
  <c r="J54" i="24"/>
  <c r="I54" i="24"/>
  <c r="H54" i="24"/>
  <c r="F54" i="24"/>
  <c r="E54" i="24"/>
  <c r="N53" i="24"/>
  <c r="L53" i="24"/>
  <c r="J53" i="24"/>
  <c r="I53" i="24"/>
  <c r="H53" i="24"/>
  <c r="F53" i="24"/>
  <c r="E53" i="24"/>
  <c r="N52" i="24"/>
  <c r="L52" i="24"/>
  <c r="J52" i="24"/>
  <c r="I52" i="24"/>
  <c r="H52" i="24"/>
  <c r="F52" i="24"/>
  <c r="E52" i="24"/>
  <c r="N46" i="24"/>
  <c r="M46" i="24"/>
  <c r="L46" i="24"/>
  <c r="K46" i="24"/>
  <c r="J46" i="24"/>
  <c r="I46" i="24"/>
  <c r="H46" i="24"/>
  <c r="G46" i="24"/>
  <c r="F46" i="24"/>
  <c r="E46" i="24"/>
  <c r="N45" i="24"/>
  <c r="M45" i="24"/>
  <c r="L45" i="24"/>
  <c r="K45" i="24"/>
  <c r="J45" i="24"/>
  <c r="I45" i="24"/>
  <c r="H45" i="24"/>
  <c r="G45" i="24"/>
  <c r="F45" i="24"/>
  <c r="E45" i="24"/>
  <c r="N44" i="24"/>
  <c r="M44" i="24"/>
  <c r="L44" i="24"/>
  <c r="K44" i="24"/>
  <c r="J44" i="24"/>
  <c r="I44" i="24"/>
  <c r="H44" i="24"/>
  <c r="G44" i="24"/>
  <c r="F44" i="24"/>
  <c r="E44" i="24"/>
  <c r="N43" i="24"/>
  <c r="M43" i="24"/>
  <c r="L43" i="24"/>
  <c r="K43" i="24"/>
  <c r="J43" i="24"/>
  <c r="I43" i="24"/>
  <c r="H43" i="24"/>
  <c r="G43" i="24"/>
  <c r="F43" i="24"/>
  <c r="E43" i="24"/>
  <c r="N42" i="24"/>
  <c r="M42" i="24"/>
  <c r="L42" i="24"/>
  <c r="K42" i="24"/>
  <c r="J42" i="24"/>
  <c r="I42" i="24"/>
  <c r="H42" i="24"/>
  <c r="G42" i="24"/>
  <c r="F42" i="24"/>
  <c r="E42" i="24"/>
  <c r="N41" i="24"/>
  <c r="M41" i="24"/>
  <c r="L41" i="24"/>
  <c r="K41" i="24"/>
  <c r="J41" i="24"/>
  <c r="I41" i="24"/>
  <c r="H41" i="24"/>
  <c r="G41" i="24"/>
  <c r="F41" i="24"/>
  <c r="E41" i="24"/>
  <c r="N40" i="24"/>
  <c r="M40" i="24"/>
  <c r="L40" i="24"/>
  <c r="K40" i="24"/>
  <c r="J40" i="24"/>
  <c r="I40" i="24"/>
  <c r="H40" i="24"/>
  <c r="G40" i="24"/>
  <c r="F40" i="24"/>
  <c r="E40" i="24"/>
  <c r="N33" i="24"/>
  <c r="M33" i="24"/>
  <c r="J33" i="24"/>
  <c r="H33" i="24"/>
  <c r="M32" i="24"/>
  <c r="K32" i="24"/>
  <c r="J32" i="24"/>
  <c r="H32" i="24"/>
  <c r="F32" i="24"/>
  <c r="E32" i="24"/>
  <c r="M31" i="24"/>
  <c r="J31" i="24"/>
  <c r="H31" i="24"/>
  <c r="N30" i="24"/>
  <c r="M30" i="24"/>
  <c r="L30" i="24"/>
  <c r="K30" i="24"/>
  <c r="J30" i="24"/>
  <c r="H30" i="24"/>
  <c r="E30" i="24"/>
  <c r="M29" i="24"/>
  <c r="J29" i="24"/>
  <c r="H29" i="24"/>
  <c r="E29" i="24"/>
  <c r="N28" i="24"/>
  <c r="M28" i="24"/>
  <c r="K28" i="24"/>
  <c r="J28" i="24"/>
  <c r="H28" i="24"/>
  <c r="N27" i="24"/>
  <c r="M27" i="24"/>
  <c r="L27" i="24"/>
  <c r="J27" i="24"/>
  <c r="H27" i="24"/>
  <c r="E27" i="24"/>
  <c r="N26" i="24"/>
  <c r="M26" i="24"/>
  <c r="K26" i="24"/>
  <c r="J26" i="24"/>
  <c r="H26" i="24"/>
  <c r="N25" i="24"/>
  <c r="M25" i="24"/>
  <c r="J25" i="24"/>
  <c r="I25" i="24"/>
  <c r="H25" i="24"/>
  <c r="E25" i="24"/>
  <c r="L20" i="24"/>
  <c r="K20" i="24"/>
  <c r="I20" i="24"/>
  <c r="H20" i="24"/>
  <c r="F20" i="24"/>
  <c r="L19" i="24"/>
  <c r="K19" i="24"/>
  <c r="I19" i="24"/>
  <c r="H19" i="24"/>
  <c r="F19" i="24"/>
  <c r="L18" i="24"/>
  <c r="K18" i="24"/>
  <c r="I18" i="24"/>
  <c r="H18" i="24"/>
  <c r="F18" i="24"/>
  <c r="L17" i="24"/>
  <c r="K17" i="24"/>
  <c r="I17" i="24"/>
  <c r="H17" i="24"/>
  <c r="F17" i="24"/>
  <c r="L16" i="24"/>
  <c r="K16" i="24"/>
  <c r="I16" i="24"/>
  <c r="H16" i="24"/>
  <c r="F16" i="24"/>
  <c r="N15" i="24"/>
  <c r="L15" i="24"/>
  <c r="K15" i="24"/>
  <c r="I15" i="24"/>
  <c r="H15" i="24"/>
  <c r="F15" i="24"/>
  <c r="L14" i="24"/>
  <c r="K14" i="24"/>
  <c r="I14" i="24"/>
  <c r="H14" i="24"/>
  <c r="F14" i="24"/>
  <c r="M29" i="23"/>
  <c r="L29" i="23"/>
  <c r="N28" i="23"/>
  <c r="K28" i="23"/>
  <c r="N24" i="23"/>
  <c r="J24" i="23"/>
  <c r="L23" i="23"/>
  <c r="N20" i="23"/>
  <c r="J20" i="23"/>
  <c r="L19" i="23"/>
  <c r="N18" i="23"/>
  <c r="J18" i="23"/>
  <c r="L17" i="23"/>
  <c r="K17" i="23"/>
  <c r="D32" i="21"/>
  <c r="Q27" i="7" s="1"/>
  <c r="D15" i="23"/>
  <c r="N14" i="23"/>
  <c r="M14" i="23"/>
  <c r="J14" i="23"/>
  <c r="M8" i="23"/>
  <c r="L8" i="23"/>
  <c r="K4" i="23"/>
  <c r="N95" i="8"/>
  <c r="M95" i="8"/>
  <c r="L95" i="8"/>
  <c r="K95" i="8"/>
  <c r="J95" i="8"/>
  <c r="N94" i="8"/>
  <c r="M94" i="8"/>
  <c r="L94" i="8"/>
  <c r="K94" i="8"/>
  <c r="J94" i="8"/>
  <c r="N93" i="8"/>
  <c r="M93" i="8"/>
  <c r="L93" i="8"/>
  <c r="K93" i="8"/>
  <c r="J93" i="8"/>
  <c r="N92" i="8"/>
  <c r="M92" i="8"/>
  <c r="L92" i="8"/>
  <c r="K92" i="8"/>
  <c r="J92" i="8"/>
  <c r="N91" i="8"/>
  <c r="M91" i="8"/>
  <c r="L91" i="8"/>
  <c r="K91" i="8"/>
  <c r="J91" i="8"/>
  <c r="N90" i="8"/>
  <c r="M90" i="8"/>
  <c r="L90" i="8"/>
  <c r="K90" i="8"/>
  <c r="J90" i="8"/>
  <c r="N89" i="8"/>
  <c r="M89" i="8"/>
  <c r="L89" i="8"/>
  <c r="K89" i="8"/>
  <c r="J89" i="8"/>
  <c r="N88" i="8"/>
  <c r="M88" i="8"/>
  <c r="L88" i="8"/>
  <c r="K88" i="8"/>
  <c r="J88" i="8"/>
  <c r="N87" i="8"/>
  <c r="M87" i="8"/>
  <c r="L87" i="8"/>
  <c r="K87" i="8"/>
  <c r="J87" i="8"/>
  <c r="N86" i="8"/>
  <c r="M86" i="8"/>
  <c r="L86" i="8"/>
  <c r="K86" i="8"/>
  <c r="J86" i="8"/>
  <c r="N85" i="8"/>
  <c r="M85" i="8"/>
  <c r="L85" i="8"/>
  <c r="K85" i="8"/>
  <c r="J85" i="8"/>
  <c r="N84" i="8"/>
  <c r="M84" i="8"/>
  <c r="L84" i="8"/>
  <c r="K84" i="8"/>
  <c r="J84" i="8"/>
  <c r="N83" i="8"/>
  <c r="M83" i="8"/>
  <c r="L83" i="8"/>
  <c r="K83" i="8"/>
  <c r="J83" i="8"/>
  <c r="N82" i="8"/>
  <c r="M82" i="8"/>
  <c r="L82" i="8"/>
  <c r="K82" i="8"/>
  <c r="J82" i="8"/>
  <c r="N81" i="8"/>
  <c r="M81" i="8"/>
  <c r="L81" i="8"/>
  <c r="K81" i="8"/>
  <c r="J81" i="8"/>
  <c r="N78" i="8"/>
  <c r="M78" i="8"/>
  <c r="L78" i="8"/>
  <c r="K78" i="8"/>
  <c r="J78" i="8"/>
  <c r="N77" i="8"/>
  <c r="M77" i="8"/>
  <c r="L77" i="8"/>
  <c r="K77" i="8"/>
  <c r="J77" i="8"/>
  <c r="N76" i="8"/>
  <c r="M76" i="8"/>
  <c r="L76" i="8"/>
  <c r="K76" i="8"/>
  <c r="J76" i="8"/>
  <c r="N75" i="8"/>
  <c r="M75" i="8"/>
  <c r="L75" i="8"/>
  <c r="K75" i="8"/>
  <c r="J75" i="8"/>
  <c r="M73" i="8"/>
  <c r="J73" i="8"/>
  <c r="N72" i="8"/>
  <c r="L71" i="8"/>
  <c r="K71" i="8"/>
  <c r="N69" i="8"/>
  <c r="M69" i="8"/>
  <c r="L69" i="8"/>
  <c r="K69" i="8"/>
  <c r="J69" i="8"/>
  <c r="M68" i="8"/>
  <c r="L68" i="8"/>
  <c r="K68" i="8"/>
  <c r="M67" i="8"/>
  <c r="L67" i="8"/>
  <c r="K67" i="8"/>
  <c r="N65" i="8"/>
  <c r="M65" i="8"/>
  <c r="L65" i="8"/>
  <c r="K65" i="8"/>
  <c r="J65" i="8"/>
  <c r="N64" i="8"/>
  <c r="M64" i="8"/>
  <c r="L64" i="8"/>
  <c r="K64" i="8"/>
  <c r="J64" i="8"/>
  <c r="N63" i="8"/>
  <c r="M63" i="8"/>
  <c r="L63" i="8"/>
  <c r="K63" i="8"/>
  <c r="J63" i="8"/>
  <c r="N62" i="8"/>
  <c r="M62" i="8"/>
  <c r="L62" i="8"/>
  <c r="K62" i="8"/>
  <c r="J62" i="8"/>
  <c r="L61" i="8"/>
  <c r="N58" i="8"/>
  <c r="L58" i="8"/>
  <c r="K58" i="8"/>
  <c r="J58" i="8"/>
  <c r="N57" i="8"/>
  <c r="M57" i="8"/>
  <c r="L57" i="8"/>
  <c r="K57" i="8"/>
  <c r="J57" i="8"/>
  <c r="N55" i="8"/>
  <c r="L55" i="8"/>
  <c r="K55" i="8"/>
  <c r="J55" i="8"/>
  <c r="L54" i="8"/>
  <c r="J54" i="8"/>
  <c r="N44" i="8"/>
  <c r="K44" i="8"/>
  <c r="J44" i="8"/>
  <c r="M42" i="8"/>
  <c r="L42" i="8"/>
  <c r="M40" i="8"/>
  <c r="L40" i="8"/>
  <c r="M38" i="8"/>
  <c r="L38" i="8"/>
  <c r="K38" i="8"/>
  <c r="M36" i="8"/>
  <c r="L36" i="8"/>
  <c r="K36" i="8"/>
  <c r="N28" i="8"/>
  <c r="M28" i="8"/>
  <c r="L28" i="8"/>
  <c r="K28" i="8"/>
  <c r="J28" i="8"/>
  <c r="N26" i="8"/>
  <c r="M26" i="8"/>
  <c r="L26" i="8"/>
  <c r="K26" i="8"/>
  <c r="J26" i="8"/>
  <c r="N25" i="7"/>
  <c r="N127" i="14"/>
  <c r="N131" i="14" s="1"/>
  <c r="N25" i="8" s="1"/>
  <c r="M25" i="7"/>
  <c r="M127" i="14"/>
  <c r="M131" i="14" s="1"/>
  <c r="M25" i="8" s="1"/>
  <c r="L25" i="7"/>
  <c r="L127" i="14"/>
  <c r="L131" i="14" s="1"/>
  <c r="L25" i="8" s="1"/>
  <c r="K25" i="7"/>
  <c r="K127" i="14"/>
  <c r="K131" i="14" s="1"/>
  <c r="K25" i="8" s="1"/>
  <c r="J25" i="7"/>
  <c r="J127" i="14"/>
  <c r="J131" i="14" s="1"/>
  <c r="N78" i="7"/>
  <c r="M78" i="7"/>
  <c r="L78" i="7"/>
  <c r="K78" i="7"/>
  <c r="J78" i="7"/>
  <c r="N77" i="7"/>
  <c r="M77" i="7"/>
  <c r="L77" i="7"/>
  <c r="K77" i="7"/>
  <c r="J77" i="7"/>
  <c r="N76" i="7"/>
  <c r="M76" i="7"/>
  <c r="L76" i="7"/>
  <c r="K76" i="7"/>
  <c r="J76" i="7"/>
  <c r="N75" i="7"/>
  <c r="M75" i="7"/>
  <c r="L75" i="7"/>
  <c r="K75" i="7"/>
  <c r="J75" i="7"/>
  <c r="N34" i="7"/>
  <c r="M34" i="7"/>
  <c r="L34" i="7"/>
  <c r="K34" i="7"/>
  <c r="J34" i="7"/>
  <c r="N30" i="7"/>
  <c r="M30" i="7"/>
  <c r="M395" i="14" s="1"/>
  <c r="L30" i="7"/>
  <c r="K30" i="7"/>
  <c r="J30" i="7"/>
  <c r="Q28" i="7"/>
  <c r="K28" i="7" s="1"/>
  <c r="N27" i="7"/>
  <c r="M27" i="7"/>
  <c r="J27" i="7"/>
  <c r="N26" i="7"/>
  <c r="M26" i="7"/>
  <c r="L26" i="7"/>
  <c r="K26" i="7"/>
  <c r="J26" i="7"/>
  <c r="N24" i="7"/>
  <c r="M24" i="7"/>
  <c r="L24" i="7"/>
  <c r="K24" i="7"/>
  <c r="J24" i="7"/>
  <c r="D39" i="1"/>
  <c r="G5" i="4" s="1"/>
  <c r="N1821" i="14"/>
  <c r="M1821" i="14"/>
  <c r="J1821" i="14"/>
  <c r="N1772" i="14"/>
  <c r="K1772" i="14"/>
  <c r="J1772" i="14"/>
  <c r="L1723" i="14"/>
  <c r="K1723" i="14"/>
  <c r="M1674" i="14"/>
  <c r="L1674" i="14"/>
  <c r="D1663" i="14"/>
  <c r="D1664" i="14"/>
  <c r="D1665" i="14"/>
  <c r="M1622" i="14"/>
  <c r="L1622" i="14"/>
  <c r="K1622" i="14"/>
  <c r="N1573" i="14"/>
  <c r="M1573" i="14"/>
  <c r="L1573" i="14"/>
  <c r="J1573" i="14"/>
  <c r="D1563" i="14"/>
  <c r="D1564" i="14"/>
  <c r="D1565" i="14"/>
  <c r="D1566" i="14"/>
  <c r="D1567" i="14"/>
  <c r="N1524" i="14"/>
  <c r="M1524" i="14"/>
  <c r="L1524" i="14"/>
  <c r="K1524" i="14"/>
  <c r="J1524" i="14"/>
  <c r="N1475" i="14"/>
  <c r="M1475" i="14"/>
  <c r="L1475" i="14"/>
  <c r="K1475" i="14"/>
  <c r="J1475" i="14"/>
  <c r="D1460" i="14"/>
  <c r="D1461" i="14"/>
  <c r="D1462" i="14"/>
  <c r="D1463" i="14"/>
  <c r="D1464" i="14"/>
  <c r="D1465" i="14"/>
  <c r="D1466" i="14"/>
  <c r="N1423" i="14"/>
  <c r="M1423" i="14"/>
  <c r="L1423" i="14"/>
  <c r="K1423" i="14"/>
  <c r="J1423" i="14"/>
  <c r="N1374" i="14"/>
  <c r="M1374" i="14"/>
  <c r="L1374" i="14"/>
  <c r="K1374" i="14"/>
  <c r="J1374" i="14"/>
  <c r="N1325" i="14"/>
  <c r="M1325" i="14"/>
  <c r="L1325" i="14"/>
  <c r="K1325" i="14"/>
  <c r="J1325" i="14"/>
  <c r="N1276" i="14"/>
  <c r="M1276" i="14"/>
  <c r="L1276" i="14"/>
  <c r="K1276" i="14"/>
  <c r="J1276" i="14"/>
  <c r="N1209" i="14"/>
  <c r="M1209" i="14"/>
  <c r="L1209" i="14"/>
  <c r="K1209" i="14"/>
  <c r="J1209" i="14"/>
  <c r="N1160" i="14"/>
  <c r="M1160" i="14"/>
  <c r="L1160" i="14"/>
  <c r="K1160" i="14"/>
  <c r="J1160" i="14"/>
  <c r="N1111" i="14"/>
  <c r="M1111" i="14"/>
  <c r="L1111" i="14"/>
  <c r="K1111" i="14"/>
  <c r="J1111" i="14"/>
  <c r="N1062" i="14"/>
  <c r="M1062" i="14"/>
  <c r="L1062" i="14"/>
  <c r="K1062" i="14"/>
  <c r="J1062" i="14"/>
  <c r="N1010" i="14"/>
  <c r="M1010" i="14"/>
  <c r="L1010" i="14"/>
  <c r="K1010" i="14"/>
  <c r="J1010" i="14"/>
  <c r="N961" i="14"/>
  <c r="M961" i="14"/>
  <c r="L961" i="14"/>
  <c r="K961" i="14"/>
  <c r="J961" i="14"/>
  <c r="N676" i="14"/>
  <c r="N679" i="14" s="1"/>
  <c r="N682" i="14" s="1"/>
  <c r="N685" i="14" s="1"/>
  <c r="M676" i="14"/>
  <c r="M679" i="14" s="1"/>
  <c r="M682" i="14" s="1"/>
  <c r="M685" i="14" s="1"/>
  <c r="L676" i="14"/>
  <c r="K676" i="14"/>
  <c r="K679" i="14"/>
  <c r="K682" i="14"/>
  <c r="K685" i="14"/>
  <c r="J676" i="14"/>
  <c r="J679" i="14"/>
  <c r="J682" i="14"/>
  <c r="J685" i="14"/>
  <c r="N663" i="14"/>
  <c r="N666" i="14"/>
  <c r="N669" i="14"/>
  <c r="N672" i="14"/>
  <c r="M663" i="14"/>
  <c r="M666" i="14"/>
  <c r="M669" i="14"/>
  <c r="M672" i="14"/>
  <c r="L663" i="14"/>
  <c r="L666" i="14"/>
  <c r="L669" i="14"/>
  <c r="L672" i="14"/>
  <c r="K663" i="14"/>
  <c r="K666" i="14"/>
  <c r="K669" i="14"/>
  <c r="K672" i="14"/>
  <c r="J663" i="14"/>
  <c r="J666" i="14"/>
  <c r="J669" i="14"/>
  <c r="J672" i="14"/>
  <c r="N589" i="14"/>
  <c r="M589" i="14"/>
  <c r="K589" i="14"/>
  <c r="J589" i="14"/>
  <c r="M553" i="14"/>
  <c r="L553" i="14"/>
  <c r="K553" i="14"/>
  <c r="N395" i="14"/>
  <c r="L395" i="14"/>
  <c r="K395" i="14"/>
  <c r="J395" i="14"/>
  <c r="N372" i="14"/>
  <c r="L372" i="14"/>
  <c r="K372" i="14"/>
  <c r="J372" i="14"/>
  <c r="M321" i="14"/>
  <c r="J321" i="14"/>
  <c r="N297" i="14"/>
  <c r="M297" i="14"/>
  <c r="L297" i="14"/>
  <c r="K297" i="14"/>
  <c r="J297" i="14"/>
  <c r="N293" i="14"/>
  <c r="M293" i="14"/>
  <c r="L293" i="14"/>
  <c r="K293" i="14"/>
  <c r="J293" i="14"/>
  <c r="N212" i="14"/>
  <c r="N214" i="14"/>
  <c r="M212" i="14"/>
  <c r="M214" i="14"/>
  <c r="L212" i="14"/>
  <c r="L214" i="14"/>
  <c r="K212" i="14"/>
  <c r="K214" i="14"/>
  <c r="J212" i="14"/>
  <c r="J214" i="14"/>
  <c r="N208" i="14"/>
  <c r="N210" i="14"/>
  <c r="M208" i="14"/>
  <c r="M210" i="14"/>
  <c r="L208" i="14"/>
  <c r="L210" i="14" s="1"/>
  <c r="K208" i="14"/>
  <c r="K210" i="14"/>
  <c r="J208" i="14"/>
  <c r="J210" i="14" s="1"/>
  <c r="N204" i="14"/>
  <c r="N206" i="14"/>
  <c r="M204" i="14"/>
  <c r="M206" i="14" s="1"/>
  <c r="L204" i="14"/>
  <c r="L206" i="14"/>
  <c r="K204" i="14"/>
  <c r="K206" i="14" s="1"/>
  <c r="J204" i="14"/>
  <c r="J206" i="14"/>
  <c r="N171" i="14"/>
  <c r="M171" i="14"/>
  <c r="N149" i="14"/>
  <c r="M149" i="14"/>
  <c r="L149" i="14"/>
  <c r="K149" i="14"/>
  <c r="J149" i="14"/>
  <c r="J180" i="14"/>
  <c r="M111" i="14"/>
  <c r="L111" i="14"/>
  <c r="N110" i="14"/>
  <c r="M110" i="14"/>
  <c r="L110" i="14"/>
  <c r="K110" i="14"/>
  <c r="J110" i="14"/>
  <c r="I589" i="14"/>
  <c r="G589" i="14"/>
  <c r="F589" i="14"/>
  <c r="E589" i="14"/>
  <c r="I204" i="14"/>
  <c r="I206" i="14"/>
  <c r="I208" i="14"/>
  <c r="I210" i="14" s="1"/>
  <c r="I212" i="14"/>
  <c r="I214" i="14"/>
  <c r="H204" i="14"/>
  <c r="H206" i="14" s="1"/>
  <c r="H208" i="14"/>
  <c r="H210" i="14"/>
  <c r="H212" i="14"/>
  <c r="H214" i="14" s="1"/>
  <c r="G204" i="14"/>
  <c r="G206" i="14"/>
  <c r="G208" i="14"/>
  <c r="G210" i="14" s="1"/>
  <c r="G212" i="14"/>
  <c r="G214" i="14"/>
  <c r="F204" i="14"/>
  <c r="F206" i="14" s="1"/>
  <c r="F208" i="14"/>
  <c r="F210" i="14"/>
  <c r="F212" i="14"/>
  <c r="F214" i="14" s="1"/>
  <c r="E204" i="14"/>
  <c r="E206" i="14"/>
  <c r="E208" i="14"/>
  <c r="E210" i="14" s="1"/>
  <c r="E212" i="14"/>
  <c r="E214" i="14"/>
  <c r="I31" i="7"/>
  <c r="I437" i="14" s="1"/>
  <c r="I443" i="14" s="1"/>
  <c r="H31" i="7"/>
  <c r="H437" i="14" s="1"/>
  <c r="H443" i="14" s="1"/>
  <c r="G31" i="7"/>
  <c r="G437" i="14" s="1"/>
  <c r="F31" i="7"/>
  <c r="F437" i="14" s="1"/>
  <c r="E31" i="7"/>
  <c r="E437" i="14" s="1"/>
  <c r="E443" i="14" s="1"/>
  <c r="P44" i="4"/>
  <c r="Q617" i="14"/>
  <c r="Q614" i="14"/>
  <c r="Q611" i="14"/>
  <c r="Q608" i="14"/>
  <c r="Q601" i="14"/>
  <c r="Q598" i="14"/>
  <c r="Q595" i="14"/>
  <c r="Q592" i="14"/>
  <c r="I1821" i="14"/>
  <c r="H1821" i="14"/>
  <c r="G1821" i="14"/>
  <c r="F1821" i="14"/>
  <c r="E1821" i="14"/>
  <c r="I1772" i="14"/>
  <c r="H1772" i="14"/>
  <c r="G1772" i="14"/>
  <c r="F1772" i="14"/>
  <c r="E1772" i="14"/>
  <c r="I1723" i="14"/>
  <c r="H1723" i="14"/>
  <c r="G1723" i="14"/>
  <c r="F1723" i="14"/>
  <c r="E1723" i="14"/>
  <c r="I1622" i="14"/>
  <c r="H1622" i="14"/>
  <c r="G1622" i="14"/>
  <c r="F1622" i="14"/>
  <c r="E1622" i="14"/>
  <c r="I1573" i="14"/>
  <c r="H1573" i="14"/>
  <c r="G1573" i="14"/>
  <c r="F1573" i="14"/>
  <c r="E1573" i="14"/>
  <c r="I1524" i="14"/>
  <c r="H1524" i="14"/>
  <c r="G1524" i="14"/>
  <c r="F1524" i="14"/>
  <c r="E1524" i="14"/>
  <c r="I1423" i="14"/>
  <c r="H1423" i="14"/>
  <c r="G1423" i="14"/>
  <c r="F1423" i="14"/>
  <c r="E1423" i="14"/>
  <c r="I1374" i="14"/>
  <c r="H1374" i="14"/>
  <c r="G1374" i="14"/>
  <c r="F1374" i="14"/>
  <c r="E1374" i="14"/>
  <c r="I1325" i="14"/>
  <c r="H1325" i="14"/>
  <c r="G1325" i="14"/>
  <c r="F1325" i="14"/>
  <c r="E1325" i="14"/>
  <c r="I1209" i="14"/>
  <c r="H1209" i="14"/>
  <c r="G1209" i="14"/>
  <c r="F1209" i="14"/>
  <c r="E1209" i="14"/>
  <c r="I1160" i="14"/>
  <c r="H1160" i="14"/>
  <c r="G1160" i="14"/>
  <c r="F1160" i="14"/>
  <c r="E1160" i="14"/>
  <c r="I1111" i="14"/>
  <c r="H1111" i="14"/>
  <c r="G1111" i="14"/>
  <c r="F1111" i="14"/>
  <c r="E1111" i="14"/>
  <c r="Q1830" i="14"/>
  <c r="Q1781" i="14"/>
  <c r="Q1732" i="14"/>
  <c r="Q1683" i="14"/>
  <c r="Q1631" i="14"/>
  <c r="Q1582" i="14"/>
  <c r="Q1533" i="14"/>
  <c r="Q1484" i="14"/>
  <c r="Q1432" i="14"/>
  <c r="Q1383" i="14"/>
  <c r="Q1334" i="14"/>
  <c r="Q1285" i="14"/>
  <c r="Q1218" i="14"/>
  <c r="Q1169" i="14"/>
  <c r="Q1120" i="14"/>
  <c r="Q1071" i="14"/>
  <c r="Q1019" i="14"/>
  <c r="Q970" i="14"/>
  <c r="I26" i="8"/>
  <c r="I149" i="14" s="1"/>
  <c r="I180" i="14" s="1"/>
  <c r="H26" i="8"/>
  <c r="H149" i="14" s="1"/>
  <c r="H180" i="14" s="1"/>
  <c r="G26" i="8"/>
  <c r="G149" i="14"/>
  <c r="G180" i="14" s="1"/>
  <c r="F26" i="8"/>
  <c r="F149" i="14"/>
  <c r="F180" i="14"/>
  <c r="E26" i="8"/>
  <c r="E149" i="14" s="1"/>
  <c r="E180" i="14" s="1"/>
  <c r="E32" i="36"/>
  <c r="E31" i="36"/>
  <c r="E30" i="36"/>
  <c r="E29" i="36"/>
  <c r="E28" i="36"/>
  <c r="E27" i="36"/>
  <c r="E49" i="36"/>
  <c r="E26" i="36"/>
  <c r="E25" i="36"/>
  <c r="D374" i="21"/>
  <c r="D373" i="21"/>
  <c r="D372" i="21"/>
  <c r="D371" i="21"/>
  <c r="D370" i="21"/>
  <c r="D369" i="21"/>
  <c r="D368" i="21"/>
  <c r="D367" i="21"/>
  <c r="D257" i="21"/>
  <c r="D256" i="21" s="1"/>
  <c r="D255" i="21" s="1"/>
  <c r="D254" i="21" s="1"/>
  <c r="D253" i="21" s="1"/>
  <c r="D252" i="21" s="1"/>
  <c r="D251" i="21" s="1"/>
  <c r="D250" i="21" s="1"/>
  <c r="D249" i="21" s="1"/>
  <c r="D248" i="21" s="1"/>
  <c r="D247" i="21" s="1"/>
  <c r="D246" i="21" s="1"/>
  <c r="D245" i="21" s="1"/>
  <c r="D244" i="21" s="1"/>
  <c r="D243" i="21" s="1"/>
  <c r="D242" i="21" s="1"/>
  <c r="D241" i="21" s="1"/>
  <c r="D240" i="21" s="1"/>
  <c r="D239" i="21" s="1"/>
  <c r="D238" i="21" s="1"/>
  <c r="D237" i="21" s="1"/>
  <c r="D236" i="21" s="1"/>
  <c r="D235" i="21" s="1"/>
  <c r="D234" i="21" s="1"/>
  <c r="D233" i="21" s="1"/>
  <c r="D232" i="21" s="1"/>
  <c r="D231" i="21" s="1"/>
  <c r="D230" i="21" s="1"/>
  <c r="D43" i="7"/>
  <c r="I44" i="8"/>
  <c r="G44" i="8"/>
  <c r="F44" i="8"/>
  <c r="D43" i="8"/>
  <c r="D30" i="37"/>
  <c r="P19" i="4"/>
  <c r="D18" i="4"/>
  <c r="D259" i="37"/>
  <c r="D258" i="37"/>
  <c r="D257" i="37"/>
  <c r="D251" i="37"/>
  <c r="D250" i="37"/>
  <c r="G198" i="21"/>
  <c r="G196" i="21"/>
  <c r="F191" i="21"/>
  <c r="F185" i="21"/>
  <c r="D64" i="24"/>
  <c r="D65" i="24"/>
  <c r="D63" i="24"/>
  <c r="E25" i="7"/>
  <c r="C2" i="34" s="1"/>
  <c r="E26" i="7"/>
  <c r="AC274" i="21"/>
  <c r="AD274" i="21"/>
  <c r="AE274" i="21" s="1"/>
  <c r="Y274" i="21"/>
  <c r="Z274" i="21"/>
  <c r="AA274" i="21"/>
  <c r="U274" i="21"/>
  <c r="V274" i="21" s="1"/>
  <c r="W274" i="21" s="1"/>
  <c r="Q546" i="14"/>
  <c r="Q543" i="14"/>
  <c r="Q540" i="14"/>
  <c r="Q537" i="14"/>
  <c r="Q530" i="14"/>
  <c r="Q527" i="14"/>
  <c r="Q524" i="14"/>
  <c r="Q521" i="14"/>
  <c r="D45" i="21"/>
  <c r="E45" i="21" s="1"/>
  <c r="F45" i="21" s="1"/>
  <c r="D44" i="21"/>
  <c r="E44" i="21"/>
  <c r="F44" i="21" s="1"/>
  <c r="D43" i="21"/>
  <c r="E43" i="21"/>
  <c r="F43" i="21"/>
  <c r="D42" i="21"/>
  <c r="E42" i="21" s="1"/>
  <c r="F42" i="21" s="1"/>
  <c r="F22" i="45"/>
  <c r="F21" i="45"/>
  <c r="F22" i="44"/>
  <c r="F21" i="44"/>
  <c r="P45" i="4"/>
  <c r="F231" i="37"/>
  <c r="E231" i="37"/>
  <c r="Q581" i="14"/>
  <c r="Q578" i="14"/>
  <c r="Q575" i="14"/>
  <c r="Q572" i="14"/>
  <c r="Q565" i="14"/>
  <c r="Q562" i="14"/>
  <c r="Q559" i="14"/>
  <c r="Q556" i="14"/>
  <c r="G231" i="37"/>
  <c r="H231" i="37"/>
  <c r="P43" i="4"/>
  <c r="I234" i="37"/>
  <c r="I61" i="37"/>
  <c r="G69" i="8"/>
  <c r="G234" i="37"/>
  <c r="G61" i="37"/>
  <c r="H69" i="8"/>
  <c r="H234" i="37"/>
  <c r="H61" i="37"/>
  <c r="E234" i="37"/>
  <c r="E61" i="37"/>
  <c r="F234" i="37"/>
  <c r="E69" i="8"/>
  <c r="I69" i="8"/>
  <c r="F69" i="8"/>
  <c r="E64" i="39"/>
  <c r="E553" i="14"/>
  <c r="H553" i="14"/>
  <c r="G553" i="14"/>
  <c r="I553" i="14"/>
  <c r="M8" i="42"/>
  <c r="L8" i="42"/>
  <c r="K8" i="42"/>
  <c r="J8" i="42"/>
  <c r="I8" i="42"/>
  <c r="H8" i="42"/>
  <c r="P23" i="4"/>
  <c r="I214" i="37"/>
  <c r="H214" i="37"/>
  <c r="G214" i="37"/>
  <c r="P22" i="4"/>
  <c r="G213" i="37"/>
  <c r="F213" i="37"/>
  <c r="P21" i="4"/>
  <c r="I212" i="37"/>
  <c r="H212" i="37"/>
  <c r="G212" i="37"/>
  <c r="E214" i="37"/>
  <c r="E212" i="37"/>
  <c r="H236" i="37"/>
  <c r="H238" i="37" s="1"/>
  <c r="G236" i="37"/>
  <c r="G238" i="37" s="1"/>
  <c r="F236" i="37"/>
  <c r="F238" i="37"/>
  <c r="E236" i="37"/>
  <c r="E238" i="37" s="1"/>
  <c r="H235" i="37"/>
  <c r="G235" i="37"/>
  <c r="E235" i="37"/>
  <c r="H229" i="37"/>
  <c r="G229" i="37"/>
  <c r="F229" i="37"/>
  <c r="E229" i="37"/>
  <c r="H228" i="37"/>
  <c r="G228" i="37"/>
  <c r="F228" i="37"/>
  <c r="E228" i="37"/>
  <c r="H227" i="37"/>
  <c r="G227" i="37"/>
  <c r="F227" i="37"/>
  <c r="E227" i="37"/>
  <c r="H226" i="37"/>
  <c r="G226" i="37"/>
  <c r="H225" i="37"/>
  <c r="G225" i="37"/>
  <c r="F225" i="37"/>
  <c r="H222" i="37"/>
  <c r="G222" i="37"/>
  <c r="F222" i="37"/>
  <c r="H216" i="37"/>
  <c r="H210" i="37"/>
  <c r="E210" i="37"/>
  <c r="H208" i="37"/>
  <c r="G208" i="37"/>
  <c r="E208" i="37"/>
  <c r="H207" i="37"/>
  <c r="G207" i="37"/>
  <c r="F207" i="37"/>
  <c r="E207" i="37"/>
  <c r="H206" i="37"/>
  <c r="G206" i="37"/>
  <c r="E206" i="37"/>
  <c r="H205" i="37"/>
  <c r="F205" i="37"/>
  <c r="E205" i="37"/>
  <c r="H204" i="37"/>
  <c r="E204" i="37"/>
  <c r="H203" i="37"/>
  <c r="G203" i="37"/>
  <c r="F203" i="37"/>
  <c r="E203" i="37"/>
  <c r="G202" i="37"/>
  <c r="F202" i="37"/>
  <c r="G221" i="37"/>
  <c r="H221" i="37"/>
  <c r="E221" i="37"/>
  <c r="F221" i="37"/>
  <c r="H220" i="37"/>
  <c r="E220" i="37"/>
  <c r="F220" i="37"/>
  <c r="E225" i="37"/>
  <c r="G232" i="37"/>
  <c r="H232" i="37"/>
  <c r="G230" i="37"/>
  <c r="E230" i="37"/>
  <c r="H230" i="37"/>
  <c r="F230" i="37"/>
  <c r="H218" i="37"/>
  <c r="E218" i="37"/>
  <c r="E233" i="37"/>
  <c r="G217" i="37"/>
  <c r="G218" i="37"/>
  <c r="G233" i="37"/>
  <c r="H217" i="37"/>
  <c r="F217" i="37"/>
  <c r="F218" i="37"/>
  <c r="E232" i="37"/>
  <c r="H37" i="37"/>
  <c r="G37" i="37"/>
  <c r="H36" i="37"/>
  <c r="H35" i="37"/>
  <c r="G35" i="37"/>
  <c r="H34" i="37"/>
  <c r="E37" i="37"/>
  <c r="E36" i="37"/>
  <c r="E35" i="37"/>
  <c r="E34" i="37"/>
  <c r="Q465" i="14"/>
  <c r="Q468" i="14"/>
  <c r="Q471" i="14"/>
  <c r="Q474" i="14"/>
  <c r="E28" i="28"/>
  <c r="I26" i="7"/>
  <c r="H26" i="7"/>
  <c r="G26" i="7"/>
  <c r="F26" i="7"/>
  <c r="I154" i="14"/>
  <c r="H154" i="14"/>
  <c r="G154" i="14"/>
  <c r="F154" i="14"/>
  <c r="E154" i="14"/>
  <c r="C24" i="42"/>
  <c r="C22" i="42"/>
  <c r="C20" i="42"/>
  <c r="C18" i="42"/>
  <c r="C16" i="42"/>
  <c r="C14" i="42"/>
  <c r="C12" i="42"/>
  <c r="C10" i="42"/>
  <c r="G64" i="39"/>
  <c r="F27" i="44"/>
  <c r="F26" i="44"/>
  <c r="F25" i="44"/>
  <c r="F23" i="44"/>
  <c r="F20" i="44"/>
  <c r="F19" i="44"/>
  <c r="F18" i="44"/>
  <c r="F17" i="44"/>
  <c r="F16" i="44"/>
  <c r="F15" i="44"/>
  <c r="F14" i="44"/>
  <c r="F13" i="44"/>
  <c r="F12" i="44"/>
  <c r="F11" i="44"/>
  <c r="F10" i="44"/>
  <c r="F9" i="44"/>
  <c r="F27" i="45"/>
  <c r="F26" i="45"/>
  <c r="F25" i="45"/>
  <c r="F24" i="45"/>
  <c r="F20" i="45"/>
  <c r="F19" i="45"/>
  <c r="F18" i="45"/>
  <c r="F17" i="45"/>
  <c r="F16" i="45"/>
  <c r="F15" i="45"/>
  <c r="F14" i="45"/>
  <c r="F13" i="45"/>
  <c r="F12" i="45"/>
  <c r="F11" i="45"/>
  <c r="F10" i="45"/>
  <c r="F9" i="45"/>
  <c r="D185" i="37"/>
  <c r="D184" i="37"/>
  <c r="D183" i="37"/>
  <c r="D178" i="37"/>
  <c r="D177" i="37"/>
  <c r="D176" i="37"/>
  <c r="D175" i="37"/>
  <c r="D112" i="24"/>
  <c r="D111" i="24"/>
  <c r="D110" i="24"/>
  <c r="D109" i="24"/>
  <c r="D108" i="24"/>
  <c r="D107" i="24"/>
  <c r="D106" i="24"/>
  <c r="D105" i="24"/>
  <c r="D104" i="24"/>
  <c r="D103" i="24"/>
  <c r="D98" i="24"/>
  <c r="D97" i="24"/>
  <c r="D96" i="24"/>
  <c r="D95" i="24"/>
  <c r="D94" i="24"/>
  <c r="D93" i="24"/>
  <c r="D92" i="24"/>
  <c r="D91" i="24"/>
  <c r="D90" i="24"/>
  <c r="D89" i="24"/>
  <c r="D85" i="24"/>
  <c r="D84" i="24"/>
  <c r="D83" i="24"/>
  <c r="D82" i="24"/>
  <c r="D81" i="24"/>
  <c r="D80" i="24"/>
  <c r="D79" i="24"/>
  <c r="D78" i="24"/>
  <c r="D77" i="24"/>
  <c r="D76" i="24"/>
  <c r="D72" i="24"/>
  <c r="D71" i="24"/>
  <c r="D70" i="24"/>
  <c r="D69" i="24"/>
  <c r="D68" i="24"/>
  <c r="D67" i="24"/>
  <c r="D66" i="24"/>
  <c r="D59" i="24"/>
  <c r="D58" i="24"/>
  <c r="D57" i="24"/>
  <c r="D56" i="24"/>
  <c r="D55" i="24"/>
  <c r="D54" i="24"/>
  <c r="D53" i="24"/>
  <c r="D52" i="24"/>
  <c r="D51" i="24"/>
  <c r="D50" i="24"/>
  <c r="D46" i="24"/>
  <c r="D45" i="24"/>
  <c r="D44" i="24"/>
  <c r="D43" i="24"/>
  <c r="D42" i="24"/>
  <c r="D41" i="24"/>
  <c r="D40" i="24"/>
  <c r="D39" i="24"/>
  <c r="D38" i="24"/>
  <c r="D37" i="24"/>
  <c r="D33" i="24"/>
  <c r="D32" i="24"/>
  <c r="D31" i="24"/>
  <c r="D30" i="24"/>
  <c r="D29" i="24"/>
  <c r="D28" i="24"/>
  <c r="D27" i="24"/>
  <c r="D26" i="24"/>
  <c r="D25" i="24"/>
  <c r="D24" i="24"/>
  <c r="D20" i="24"/>
  <c r="D19" i="24"/>
  <c r="D18" i="24"/>
  <c r="D17" i="24"/>
  <c r="D16" i="24"/>
  <c r="D15" i="24"/>
  <c r="D14" i="24"/>
  <c r="D13" i="24"/>
  <c r="D12" i="24"/>
  <c r="D11" i="24"/>
  <c r="I6" i="23"/>
  <c r="I162" i="14" s="1"/>
  <c r="F6" i="23"/>
  <c r="F162" i="14" s="1"/>
  <c r="B100" i="24"/>
  <c r="B87" i="24"/>
  <c r="B74" i="24"/>
  <c r="B61" i="24"/>
  <c r="B48" i="24"/>
  <c r="B35" i="24"/>
  <c r="B22" i="24"/>
  <c r="B9" i="24"/>
  <c r="Q921" i="14"/>
  <c r="D28" i="45"/>
  <c r="D110" i="37"/>
  <c r="D109" i="37"/>
  <c r="D117" i="37"/>
  <c r="D116" i="37"/>
  <c r="D115" i="37"/>
  <c r="D114" i="37"/>
  <c r="D171" i="37"/>
  <c r="D170" i="37"/>
  <c r="D169" i="37"/>
  <c r="K49" i="11"/>
  <c r="K48" i="11"/>
  <c r="K47" i="11"/>
  <c r="K46" i="11"/>
  <c r="K45" i="11"/>
  <c r="K44" i="11"/>
  <c r="K43" i="11"/>
  <c r="G91" i="21"/>
  <c r="H91" i="21"/>
  <c r="G90" i="21"/>
  <c r="F77" i="21"/>
  <c r="D37" i="37"/>
  <c r="D36" i="37"/>
  <c r="D35" i="37"/>
  <c r="D34" i="37"/>
  <c r="D189" i="21"/>
  <c r="D185" i="21"/>
  <c r="D187" i="21"/>
  <c r="D191" i="21"/>
  <c r="D199" i="21" s="1"/>
  <c r="D195" i="21"/>
  <c r="D201" i="21"/>
  <c r="D197" i="21"/>
  <c r="F195" i="21"/>
  <c r="F201" i="21"/>
  <c r="D139" i="21"/>
  <c r="C11" i="43"/>
  <c r="D2" i="43"/>
  <c r="E2" i="43"/>
  <c r="F2" i="43" s="1"/>
  <c r="F3" i="43" s="1"/>
  <c r="D3" i="43"/>
  <c r="E3" i="43"/>
  <c r="D72" i="37"/>
  <c r="D29" i="37"/>
  <c r="D28" i="37"/>
  <c r="D27" i="37"/>
  <c r="D26" i="37"/>
  <c r="I34" i="7"/>
  <c r="H34" i="7"/>
  <c r="G34" i="7"/>
  <c r="F34" i="7"/>
  <c r="E34" i="7"/>
  <c r="D41" i="8"/>
  <c r="D39" i="8"/>
  <c r="D37" i="8"/>
  <c r="D35" i="8"/>
  <c r="P17" i="4"/>
  <c r="I210" i="37"/>
  <c r="H42" i="8"/>
  <c r="G42" i="8"/>
  <c r="E42" i="8"/>
  <c r="D16" i="4"/>
  <c r="P15" i="4"/>
  <c r="I208" i="37"/>
  <c r="H40" i="8"/>
  <c r="E40" i="8"/>
  <c r="P14" i="4"/>
  <c r="D14" i="4"/>
  <c r="P13" i="4"/>
  <c r="I206" i="37"/>
  <c r="H38" i="8"/>
  <c r="G38" i="8"/>
  <c r="E38" i="8"/>
  <c r="P12" i="4"/>
  <c r="D12" i="4"/>
  <c r="P11" i="4"/>
  <c r="I204" i="37"/>
  <c r="H36" i="8"/>
  <c r="G36" i="8"/>
  <c r="P10" i="4"/>
  <c r="E36" i="8"/>
  <c r="D10" i="4"/>
  <c r="P9" i="4"/>
  <c r="G34" i="8"/>
  <c r="G33" i="37" s="1"/>
  <c r="I207" i="37"/>
  <c r="I34" i="8"/>
  <c r="I33" i="37"/>
  <c r="I203" i="37"/>
  <c r="I205" i="37"/>
  <c r="I42" i="8"/>
  <c r="I37" i="37"/>
  <c r="I40" i="8"/>
  <c r="I36" i="37"/>
  <c r="I38" i="8"/>
  <c r="I35" i="37"/>
  <c r="I36" i="8"/>
  <c r="I34" i="37"/>
  <c r="F26" i="37"/>
  <c r="H26" i="37"/>
  <c r="G26" i="37"/>
  <c r="P48" i="4"/>
  <c r="I236" i="37"/>
  <c r="I238" i="37" s="1"/>
  <c r="P34" i="4"/>
  <c r="I225" i="37"/>
  <c r="P29" i="4"/>
  <c r="P47" i="4"/>
  <c r="I220" i="37"/>
  <c r="I235" i="37"/>
  <c r="E111" i="14"/>
  <c r="I111" i="14"/>
  <c r="H111" i="14"/>
  <c r="E110" i="14"/>
  <c r="I110" i="14"/>
  <c r="F110" i="14"/>
  <c r="G110" i="14"/>
  <c r="H110" i="14"/>
  <c r="I321" i="14"/>
  <c r="F321" i="14"/>
  <c r="P16" i="4"/>
  <c r="Q274" i="21"/>
  <c r="R274" i="21" s="1"/>
  <c r="S274" i="21" s="1"/>
  <c r="M274" i="21"/>
  <c r="N274" i="21" s="1"/>
  <c r="O274" i="21" s="1"/>
  <c r="I274" i="21"/>
  <c r="J274" i="21"/>
  <c r="K274" i="21" s="1"/>
  <c r="E274" i="21"/>
  <c r="F274" i="21"/>
  <c r="G274" i="21"/>
  <c r="M291" i="21"/>
  <c r="N291" i="21" s="1"/>
  <c r="M290" i="21"/>
  <c r="E209" i="37"/>
  <c r="F209" i="37"/>
  <c r="I209" i="37"/>
  <c r="H209" i="37"/>
  <c r="D312" i="21"/>
  <c r="I16" i="29"/>
  <c r="G16" i="29"/>
  <c r="E16" i="29"/>
  <c r="C16" i="29"/>
  <c r="I24" i="23"/>
  <c r="F24" i="23"/>
  <c r="E24" i="23"/>
  <c r="Q656" i="14"/>
  <c r="Q653" i="14"/>
  <c r="Q650" i="14"/>
  <c r="Q647" i="14"/>
  <c r="Q640" i="14"/>
  <c r="Q637" i="14"/>
  <c r="Q634" i="14"/>
  <c r="Q631" i="14"/>
  <c r="E270" i="21"/>
  <c r="E269" i="21" s="1"/>
  <c r="E268" i="21" s="1"/>
  <c r="E267" i="21" s="1"/>
  <c r="E266" i="21" s="1"/>
  <c r="E265" i="21" s="1"/>
  <c r="E264" i="21" s="1"/>
  <c r="E263" i="21" s="1"/>
  <c r="E262" i="21" s="1"/>
  <c r="E261" i="21" s="1"/>
  <c r="E260" i="21" s="1"/>
  <c r="E259" i="21" s="1"/>
  <c r="E258" i="21" s="1"/>
  <c r="E257" i="21" s="1"/>
  <c r="E256" i="21" s="1"/>
  <c r="E255" i="21" s="1"/>
  <c r="E254" i="21" s="1"/>
  <c r="E253" i="21" s="1"/>
  <c r="E252" i="21" s="1"/>
  <c r="E251" i="21" s="1"/>
  <c r="E250" i="21" s="1"/>
  <c r="E249" i="21" s="1"/>
  <c r="E248" i="21" s="1"/>
  <c r="E247" i="21" s="1"/>
  <c r="E246" i="21" s="1"/>
  <c r="E245" i="21" s="1"/>
  <c r="E244" i="21" s="1"/>
  <c r="E243" i="21" s="1"/>
  <c r="E242" i="21" s="1"/>
  <c r="E241" i="21" s="1"/>
  <c r="E240" i="21" s="1"/>
  <c r="E239" i="21" s="1"/>
  <c r="E238" i="21" s="1"/>
  <c r="E237" i="21" s="1"/>
  <c r="E236" i="21" s="1"/>
  <c r="E235" i="21" s="1"/>
  <c r="E234" i="21" s="1"/>
  <c r="E233" i="21" s="1"/>
  <c r="E232" i="21" s="1"/>
  <c r="E231" i="21" s="1"/>
  <c r="E230" i="21" s="1"/>
  <c r="I676" i="14"/>
  <c r="I679" i="14"/>
  <c r="I682" i="14" s="1"/>
  <c r="I685" i="14" s="1"/>
  <c r="G676" i="14"/>
  <c r="G679" i="14"/>
  <c r="G682" i="14" s="1"/>
  <c r="G685" i="14" s="1"/>
  <c r="E676" i="14"/>
  <c r="Q510" i="14"/>
  <c r="Q507" i="14"/>
  <c r="Q504" i="14"/>
  <c r="Q501" i="14"/>
  <c r="Q431" i="14"/>
  <c r="Q428" i="14"/>
  <c r="Q425" i="14"/>
  <c r="Q422" i="14"/>
  <c r="Q388" i="14"/>
  <c r="Q385" i="14"/>
  <c r="Q382" i="14"/>
  <c r="Q379" i="14"/>
  <c r="Q348" i="14"/>
  <c r="Q345" i="14"/>
  <c r="Q342" i="14"/>
  <c r="Q339" i="14"/>
  <c r="Q312" i="14"/>
  <c r="Q309" i="14"/>
  <c r="Q306" i="14"/>
  <c r="Q368" i="14"/>
  <c r="Q365" i="14"/>
  <c r="Q362" i="14"/>
  <c r="Q359" i="14"/>
  <c r="I28" i="8"/>
  <c r="H28" i="8"/>
  <c r="G28" i="8"/>
  <c r="F28" i="8"/>
  <c r="E28" i="8"/>
  <c r="E679" i="14"/>
  <c r="E682" i="14" s="1"/>
  <c r="E685" i="14" s="1"/>
  <c r="H676" i="14"/>
  <c r="H679" i="14"/>
  <c r="H682" i="14" s="1"/>
  <c r="H685" i="14" s="1"/>
  <c r="F676" i="14"/>
  <c r="F679" i="14"/>
  <c r="F682" i="14" s="1"/>
  <c r="F685" i="14" s="1"/>
  <c r="E663" i="14"/>
  <c r="E666" i="14"/>
  <c r="E669" i="14" s="1"/>
  <c r="E672" i="14" s="1"/>
  <c r="F663" i="14"/>
  <c r="F666" i="14"/>
  <c r="F669" i="14" s="1"/>
  <c r="F672" i="14" s="1"/>
  <c r="H663" i="14"/>
  <c r="I663" i="14"/>
  <c r="I666" i="14" s="1"/>
  <c r="I669" i="14" s="1"/>
  <c r="I672" i="14" s="1"/>
  <c r="G663" i="14"/>
  <c r="G666" i="14" s="1"/>
  <c r="G669" i="14" s="1"/>
  <c r="G672" i="14" s="1"/>
  <c r="P27" i="4"/>
  <c r="I1674" i="14"/>
  <c r="E1674" i="14"/>
  <c r="G1475" i="14"/>
  <c r="G1276" i="14"/>
  <c r="H1674" i="14"/>
  <c r="F1475" i="14"/>
  <c r="I1276" i="14"/>
  <c r="G1674" i="14"/>
  <c r="E1475" i="14"/>
  <c r="H1276" i="14"/>
  <c r="F1674" i="14"/>
  <c r="I1475" i="14"/>
  <c r="F1276" i="14"/>
  <c r="E1276" i="14"/>
  <c r="H1475" i="14"/>
  <c r="I218" i="37"/>
  <c r="G297" i="14"/>
  <c r="E297" i="14"/>
  <c r="I297" i="14"/>
  <c r="F297" i="14"/>
  <c r="H297" i="14"/>
  <c r="H1062" i="14"/>
  <c r="I1010" i="14"/>
  <c r="E1010" i="14"/>
  <c r="H961" i="14"/>
  <c r="G1010" i="14"/>
  <c r="F961" i="14"/>
  <c r="E1062" i="14"/>
  <c r="I961" i="14"/>
  <c r="G1062" i="14"/>
  <c r="H1010" i="14"/>
  <c r="G961" i="14"/>
  <c r="F1062" i="14"/>
  <c r="I1062" i="14"/>
  <c r="F1010" i="14"/>
  <c r="E961" i="14"/>
  <c r="H666" i="14"/>
  <c r="H669" i="14" s="1"/>
  <c r="H672" i="14" s="1"/>
  <c r="I20" i="23"/>
  <c r="F20" i="23"/>
  <c r="E20" i="23"/>
  <c r="I78" i="8"/>
  <c r="H78" i="8"/>
  <c r="G78" i="8"/>
  <c r="F78" i="8"/>
  <c r="E78" i="8"/>
  <c r="I77" i="8"/>
  <c r="H77" i="8"/>
  <c r="G77" i="8"/>
  <c r="F77" i="8"/>
  <c r="E77" i="8"/>
  <c r="I76" i="8"/>
  <c r="H76" i="8"/>
  <c r="G76" i="8"/>
  <c r="F76" i="8"/>
  <c r="E76" i="8"/>
  <c r="I75" i="8"/>
  <c r="H75" i="8"/>
  <c r="G75" i="8"/>
  <c r="F75" i="8"/>
  <c r="E75" i="8"/>
  <c r="I78" i="7"/>
  <c r="H78" i="7"/>
  <c r="G78" i="7"/>
  <c r="F78" i="7"/>
  <c r="E78" i="7"/>
  <c r="I77" i="7"/>
  <c r="H77" i="7"/>
  <c r="G77" i="7"/>
  <c r="F77" i="7"/>
  <c r="E77" i="7"/>
  <c r="I76" i="7"/>
  <c r="H76" i="7"/>
  <c r="G76" i="7"/>
  <c r="F76" i="7"/>
  <c r="E76" i="7"/>
  <c r="I75" i="7"/>
  <c r="H75" i="7"/>
  <c r="G75" i="7"/>
  <c r="F75" i="7"/>
  <c r="E75" i="7"/>
  <c r="D11" i="8"/>
  <c r="D10" i="8"/>
  <c r="D9" i="8"/>
  <c r="G73" i="8"/>
  <c r="I71" i="8"/>
  <c r="E71" i="8"/>
  <c r="F73" i="8"/>
  <c r="F71" i="8"/>
  <c r="E72" i="8"/>
  <c r="H73" i="8"/>
  <c r="G71" i="8"/>
  <c r="F72" i="8"/>
  <c r="E73" i="8"/>
  <c r="I73" i="8"/>
  <c r="P25" i="4"/>
  <c r="I95" i="8"/>
  <c r="H95" i="8"/>
  <c r="G95" i="8"/>
  <c r="F95" i="8"/>
  <c r="E95" i="8"/>
  <c r="I94" i="8"/>
  <c r="H94" i="8"/>
  <c r="G94" i="8"/>
  <c r="F94" i="8"/>
  <c r="E94" i="8"/>
  <c r="I93" i="8"/>
  <c r="H93" i="8"/>
  <c r="G93" i="8"/>
  <c r="F93" i="8"/>
  <c r="E93" i="8"/>
  <c r="I92" i="8"/>
  <c r="H92" i="8"/>
  <c r="G92" i="8"/>
  <c r="F92" i="8"/>
  <c r="E92" i="8"/>
  <c r="I91" i="8"/>
  <c r="H91" i="8"/>
  <c r="G91" i="8"/>
  <c r="F91" i="8"/>
  <c r="E91" i="8"/>
  <c r="I90" i="8"/>
  <c r="H90" i="8"/>
  <c r="G90" i="8"/>
  <c r="F90" i="8"/>
  <c r="E90" i="8"/>
  <c r="I89" i="8"/>
  <c r="H89" i="8"/>
  <c r="G89" i="8"/>
  <c r="F89" i="8"/>
  <c r="E89" i="8"/>
  <c r="I88" i="8"/>
  <c r="H88" i="8"/>
  <c r="G88" i="8"/>
  <c r="F88" i="8"/>
  <c r="E88" i="8"/>
  <c r="I24" i="42" s="1"/>
  <c r="I87" i="8"/>
  <c r="H87" i="8"/>
  <c r="G87" i="8"/>
  <c r="F87" i="8"/>
  <c r="E87" i="8"/>
  <c r="I22" i="42"/>
  <c r="I86" i="8"/>
  <c r="H86" i="8"/>
  <c r="G86" i="8"/>
  <c r="F86" i="8"/>
  <c r="E86" i="8"/>
  <c r="I20" i="42" s="1"/>
  <c r="I85" i="8"/>
  <c r="H85" i="8"/>
  <c r="G85" i="8"/>
  <c r="F85" i="8"/>
  <c r="E85" i="8"/>
  <c r="I84" i="8"/>
  <c r="H84" i="8"/>
  <c r="G84" i="8"/>
  <c r="F84" i="8"/>
  <c r="E84" i="8"/>
  <c r="K16" i="42" s="1"/>
  <c r="I83" i="8"/>
  <c r="H83" i="8"/>
  <c r="G83" i="8"/>
  <c r="F83" i="8"/>
  <c r="E83" i="8"/>
  <c r="M14" i="42" s="1"/>
  <c r="I82" i="8"/>
  <c r="H82" i="8"/>
  <c r="G82" i="8"/>
  <c r="F82" i="8"/>
  <c r="E82" i="8"/>
  <c r="J12" i="42"/>
  <c r="I81" i="8"/>
  <c r="H81" i="8"/>
  <c r="G81" i="8"/>
  <c r="F81" i="8"/>
  <c r="E81" i="8"/>
  <c r="L10" i="42" s="1"/>
  <c r="H16" i="42"/>
  <c r="M24" i="42"/>
  <c r="J24" i="42"/>
  <c r="L12" i="42"/>
  <c r="Q494" i="14"/>
  <c r="Q491" i="14"/>
  <c r="Q488" i="14"/>
  <c r="Q485" i="14"/>
  <c r="Q415" i="14"/>
  <c r="Q412" i="14"/>
  <c r="Q409" i="14"/>
  <c r="Q406" i="14"/>
  <c r="E30" i="7"/>
  <c r="E395" i="14" s="1"/>
  <c r="F30" i="7"/>
  <c r="F395" i="14"/>
  <c r="G30" i="7"/>
  <c r="G395" i="14" s="1"/>
  <c r="H30" i="7"/>
  <c r="H395" i="14"/>
  <c r="I30" i="7"/>
  <c r="I395" i="14" s="1"/>
  <c r="Q333" i="14"/>
  <c r="Q330" i="14"/>
  <c r="Q327" i="14"/>
  <c r="Q324" i="14"/>
  <c r="E52" i="21"/>
  <c r="E50" i="21"/>
  <c r="E51" i="21"/>
  <c r="E67" i="8"/>
  <c r="P42" i="4"/>
  <c r="P41" i="4"/>
  <c r="P39" i="4"/>
  <c r="P38" i="4"/>
  <c r="P37" i="4"/>
  <c r="P36" i="4"/>
  <c r="P35" i="4"/>
  <c r="P31" i="4"/>
  <c r="P30" i="4"/>
  <c r="I221" i="37"/>
  <c r="I76" i="37"/>
  <c r="I230" i="37"/>
  <c r="I227" i="37"/>
  <c r="I228" i="37"/>
  <c r="I233" i="37"/>
  <c r="I229" i="37"/>
  <c r="I232" i="37"/>
  <c r="I84" i="37"/>
  <c r="I60" i="37"/>
  <c r="G60" i="37"/>
  <c r="G65" i="8"/>
  <c r="G84" i="37"/>
  <c r="E65" i="8"/>
  <c r="E84" i="37"/>
  <c r="F65" i="8"/>
  <c r="F84" i="37"/>
  <c r="H65" i="8"/>
  <c r="I65" i="8"/>
  <c r="F372" i="14"/>
  <c r="G372" i="14"/>
  <c r="H372" i="14"/>
  <c r="I68" i="8"/>
  <c r="G68" i="8"/>
  <c r="E68" i="8"/>
  <c r="E64" i="8"/>
  <c r="I64" i="8"/>
  <c r="F64" i="8"/>
  <c r="G64" i="8"/>
  <c r="H64" i="8"/>
  <c r="F58" i="8"/>
  <c r="H58" i="8"/>
  <c r="G58" i="8"/>
  <c r="H61" i="8"/>
  <c r="H63" i="8"/>
  <c r="E63" i="8"/>
  <c r="I63" i="8"/>
  <c r="F63" i="8"/>
  <c r="G63" i="8"/>
  <c r="E57" i="8"/>
  <c r="I57" i="8"/>
  <c r="F57" i="8"/>
  <c r="G57" i="8"/>
  <c r="H57" i="8"/>
  <c r="H54" i="8"/>
  <c r="I67" i="8"/>
  <c r="H67" i="8"/>
  <c r="E62" i="8"/>
  <c r="I62" i="8"/>
  <c r="F62" i="8"/>
  <c r="G62" i="8"/>
  <c r="H62" i="8"/>
  <c r="I24" i="7"/>
  <c r="H24" i="7"/>
  <c r="G24" i="7"/>
  <c r="F24" i="7"/>
  <c r="E24" i="7"/>
  <c r="I368" i="39"/>
  <c r="I356" i="39" s="1"/>
  <c r="G362" i="39"/>
  <c r="E362" i="39"/>
  <c r="C362" i="39"/>
  <c r="G350" i="39"/>
  <c r="E350" i="39"/>
  <c r="C350" i="39"/>
  <c r="G338" i="39"/>
  <c r="E338" i="39"/>
  <c r="C338" i="39"/>
  <c r="C332" i="39"/>
  <c r="I344" i="39" s="1"/>
  <c r="I332" i="39" s="1"/>
  <c r="I328" i="39"/>
  <c r="I316" i="39"/>
  <c r="G322" i="39"/>
  <c r="E322" i="39"/>
  <c r="C322" i="39"/>
  <c r="G310" i="39"/>
  <c r="E310" i="39"/>
  <c r="C310" i="39"/>
  <c r="I304" i="39"/>
  <c r="G298" i="39"/>
  <c r="E298" i="39"/>
  <c r="C298" i="39"/>
  <c r="I288" i="39"/>
  <c r="I276" i="39"/>
  <c r="G282" i="39"/>
  <c r="E282" i="39"/>
  <c r="C282" i="39"/>
  <c r="G270" i="39"/>
  <c r="E270" i="39"/>
  <c r="C270" i="39"/>
  <c r="G258" i="39"/>
  <c r="E258" i="39"/>
  <c r="C258" i="39"/>
  <c r="C252" i="39"/>
  <c r="I264" i="39"/>
  <c r="I252" i="39"/>
  <c r="I248" i="39"/>
  <c r="I236" i="39" s="1"/>
  <c r="G242" i="39"/>
  <c r="E242" i="39"/>
  <c r="C242" i="39"/>
  <c r="G230" i="39"/>
  <c r="E230" i="39"/>
  <c r="C230" i="39"/>
  <c r="I224" i="39"/>
  <c r="I212" i="39" s="1"/>
  <c r="G218" i="39"/>
  <c r="E218" i="39"/>
  <c r="C218" i="39"/>
  <c r="I208" i="39"/>
  <c r="I196" i="39" s="1"/>
  <c r="G202" i="39"/>
  <c r="E202" i="39"/>
  <c r="C202" i="39"/>
  <c r="G190" i="39"/>
  <c r="E190" i="39"/>
  <c r="C190" i="39"/>
  <c r="G178" i="39"/>
  <c r="E178" i="39"/>
  <c r="C178" i="39"/>
  <c r="I184" i="39"/>
  <c r="I168" i="39"/>
  <c r="I156" i="39" s="1"/>
  <c r="G162" i="39"/>
  <c r="E162" i="39"/>
  <c r="C162" i="39"/>
  <c r="G150" i="39"/>
  <c r="E150" i="39"/>
  <c r="C150" i="39"/>
  <c r="I144" i="39"/>
  <c r="G138" i="39"/>
  <c r="E138" i="39"/>
  <c r="C138" i="39"/>
  <c r="I128" i="39"/>
  <c r="I116" i="39" s="1"/>
  <c r="G122" i="39"/>
  <c r="E122" i="39"/>
  <c r="C122" i="39"/>
  <c r="G110" i="39"/>
  <c r="E110" i="39"/>
  <c r="C110" i="39"/>
  <c r="G98" i="39"/>
  <c r="E98" i="39"/>
  <c r="C98" i="39"/>
  <c r="I104" i="39"/>
  <c r="I92" i="39" s="1"/>
  <c r="I88" i="39"/>
  <c r="I76" i="39" s="1"/>
  <c r="G82" i="39"/>
  <c r="E82" i="39"/>
  <c r="C82" i="39"/>
  <c r="G70" i="39"/>
  <c r="E70" i="39"/>
  <c r="C70" i="39"/>
  <c r="G58" i="39"/>
  <c r="E58" i="39"/>
  <c r="C58" i="39"/>
  <c r="C52" i="39"/>
  <c r="I64" i="39" s="1"/>
  <c r="I52" i="39" s="1"/>
  <c r="I292" i="39"/>
  <c r="I172" i="39"/>
  <c r="I14" i="23"/>
  <c r="F14" i="23"/>
  <c r="E14" i="23"/>
  <c r="I29" i="23"/>
  <c r="H29" i="23"/>
  <c r="E29" i="23"/>
  <c r="G28" i="23"/>
  <c r="F28" i="23"/>
  <c r="H23" i="23"/>
  <c r="H19" i="23"/>
  <c r="G19" i="23"/>
  <c r="I18" i="23"/>
  <c r="F18" i="23"/>
  <c r="E18" i="23"/>
  <c r="H17" i="23"/>
  <c r="H15" i="23"/>
  <c r="H28" i="7"/>
  <c r="I28" i="7"/>
  <c r="E28" i="7"/>
  <c r="I14" i="28"/>
  <c r="G28" i="7"/>
  <c r="F28" i="7"/>
  <c r="E27" i="7"/>
  <c r="F27" i="7"/>
  <c r="H27" i="7"/>
  <c r="G27" i="7"/>
  <c r="I27" i="7"/>
  <c r="N12" i="38"/>
  <c r="N15" i="38" s="1"/>
  <c r="N47" i="38"/>
  <c r="J12" i="38"/>
  <c r="J23" i="38" s="1"/>
  <c r="N31" i="38"/>
  <c r="M12" i="38"/>
  <c r="M31" i="38"/>
  <c r="N39" i="38"/>
  <c r="M39" i="38"/>
  <c r="L12" i="38"/>
  <c r="L47" i="38"/>
  <c r="K12" i="38"/>
  <c r="K39" i="38" s="1"/>
  <c r="Q1" i="38"/>
  <c r="Q1" i="37"/>
  <c r="J31" i="38"/>
  <c r="L23" i="38"/>
  <c r="L39" i="38"/>
  <c r="K31" i="38"/>
  <c r="K47" i="38"/>
  <c r="L15" i="38"/>
  <c r="N23" i="38"/>
  <c r="L31" i="38"/>
  <c r="E171" i="14"/>
  <c r="I171" i="14"/>
  <c r="C16" i="36"/>
  <c r="H173" i="36"/>
  <c r="E264" i="36"/>
  <c r="E173" i="36"/>
  <c r="E261" i="36" s="1"/>
  <c r="E171" i="36"/>
  <c r="E253" i="36" s="1"/>
  <c r="H170" i="36"/>
  <c r="E252" i="36" s="1"/>
  <c r="E169" i="36"/>
  <c r="E245" i="36" s="1"/>
  <c r="H168" i="36"/>
  <c r="E244" i="36"/>
  <c r="H166" i="36"/>
  <c r="E236" i="36" s="1"/>
  <c r="E166" i="36"/>
  <c r="E233" i="36"/>
  <c r="H164" i="36"/>
  <c r="E228" i="36" s="1"/>
  <c r="E163" i="36"/>
  <c r="E221" i="36"/>
  <c r="H159" i="36"/>
  <c r="E208" i="36" s="1"/>
  <c r="H157" i="36"/>
  <c r="E200" i="36"/>
  <c r="G173" i="36"/>
  <c r="E263" i="36" s="1"/>
  <c r="F173" i="36"/>
  <c r="E262" i="36"/>
  <c r="H172" i="36"/>
  <c r="E260" i="36" s="1"/>
  <c r="G172" i="36"/>
  <c r="E259" i="36"/>
  <c r="F172" i="36"/>
  <c r="E258" i="36" s="1"/>
  <c r="E172" i="36"/>
  <c r="E257" i="36"/>
  <c r="H171" i="36"/>
  <c r="E256" i="36" s="1"/>
  <c r="G171" i="36"/>
  <c r="E255" i="36"/>
  <c r="F171" i="36"/>
  <c r="E254" i="36" s="1"/>
  <c r="G170" i="36"/>
  <c r="E251" i="36"/>
  <c r="F170" i="36"/>
  <c r="E250" i="36" s="1"/>
  <c r="E170" i="36"/>
  <c r="E249" i="36"/>
  <c r="H169" i="36"/>
  <c r="E248" i="36" s="1"/>
  <c r="G169" i="36"/>
  <c r="E247" i="36"/>
  <c r="F169" i="36"/>
  <c r="E246" i="36" s="1"/>
  <c r="G168" i="36"/>
  <c r="E243" i="36"/>
  <c r="F168" i="36"/>
  <c r="E242" i="36" s="1"/>
  <c r="E168" i="36"/>
  <c r="E241" i="36"/>
  <c r="H167" i="36"/>
  <c r="E240" i="36" s="1"/>
  <c r="G167" i="36"/>
  <c r="E239" i="36"/>
  <c r="F167" i="36"/>
  <c r="E238" i="36" s="1"/>
  <c r="E167" i="36"/>
  <c r="E237" i="36"/>
  <c r="G166" i="36"/>
  <c r="E235" i="36" s="1"/>
  <c r="F166" i="36"/>
  <c r="E234" i="36"/>
  <c r="H165" i="36"/>
  <c r="E232" i="36" s="1"/>
  <c r="G165" i="36"/>
  <c r="E231" i="36"/>
  <c r="F165" i="36"/>
  <c r="E230" i="36" s="1"/>
  <c r="E165" i="36"/>
  <c r="E229" i="36"/>
  <c r="G164" i="36"/>
  <c r="E227" i="36"/>
  <c r="F164" i="36"/>
  <c r="E226" i="36"/>
  <c r="E164" i="36"/>
  <c r="E225" i="36"/>
  <c r="H163" i="36"/>
  <c r="E224" i="36"/>
  <c r="G163" i="36"/>
  <c r="E223" i="36"/>
  <c r="F163" i="36"/>
  <c r="E222" i="36"/>
  <c r="H162" i="36"/>
  <c r="E220" i="36"/>
  <c r="G162" i="36"/>
  <c r="E219" i="36"/>
  <c r="F162" i="36"/>
  <c r="E218" i="36"/>
  <c r="E162" i="36"/>
  <c r="E217" i="36"/>
  <c r="H161" i="36"/>
  <c r="E216" i="36"/>
  <c r="G161" i="36"/>
  <c r="E215" i="36"/>
  <c r="F161" i="36"/>
  <c r="E214" i="36"/>
  <c r="E161" i="36"/>
  <c r="E213" i="36"/>
  <c r="H160" i="36"/>
  <c r="E212" i="36"/>
  <c r="G160" i="36"/>
  <c r="E211" i="36"/>
  <c r="F160" i="36"/>
  <c r="E210" i="36"/>
  <c r="E160" i="36"/>
  <c r="E209" i="36"/>
  <c r="G159" i="36"/>
  <c r="E207" i="36"/>
  <c r="F159" i="36"/>
  <c r="E206" i="36"/>
  <c r="E159" i="36"/>
  <c r="E205" i="36"/>
  <c r="H158" i="36"/>
  <c r="E204" i="36"/>
  <c r="G158" i="36"/>
  <c r="E203" i="36"/>
  <c r="F158" i="36"/>
  <c r="E202" i="36"/>
  <c r="E158" i="36"/>
  <c r="E201" i="36"/>
  <c r="G157" i="36"/>
  <c r="E199" i="36"/>
  <c r="F157" i="36"/>
  <c r="E198" i="36"/>
  <c r="E157" i="36"/>
  <c r="E197" i="36"/>
  <c r="H156" i="36"/>
  <c r="E196" i="36"/>
  <c r="G156" i="36"/>
  <c r="E195" i="36"/>
  <c r="F156" i="36"/>
  <c r="E194" i="36"/>
  <c r="E156" i="36"/>
  <c r="E193" i="36"/>
  <c r="H155" i="36"/>
  <c r="E192" i="36"/>
  <c r="G155" i="36"/>
  <c r="E191" i="36"/>
  <c r="F155" i="36"/>
  <c r="E190" i="36"/>
  <c r="E155" i="36"/>
  <c r="E189" i="36"/>
  <c r="H154" i="36"/>
  <c r="E188" i="36"/>
  <c r="G154" i="36"/>
  <c r="E187" i="36"/>
  <c r="F154" i="36"/>
  <c r="E186" i="36"/>
  <c r="E154" i="36"/>
  <c r="E185" i="36"/>
  <c r="H153" i="36"/>
  <c r="E184" i="36"/>
  <c r="G153" i="36"/>
  <c r="E183" i="36"/>
  <c r="F153" i="36"/>
  <c r="E182" i="36"/>
  <c r="E153" i="36"/>
  <c r="E181" i="36"/>
  <c r="H152" i="36"/>
  <c r="E180" i="36"/>
  <c r="G152" i="36"/>
  <c r="E179" i="36"/>
  <c r="F152" i="36"/>
  <c r="E178" i="36"/>
  <c r="E152" i="36"/>
  <c r="E177" i="36"/>
  <c r="F177" i="36" s="1"/>
  <c r="F19" i="36"/>
  <c r="C19" i="36"/>
  <c r="R49" i="36"/>
  <c r="G20" i="36"/>
  <c r="G19" i="36"/>
  <c r="B49" i="36"/>
  <c r="P49" i="36"/>
  <c r="C49" i="36"/>
  <c r="S49" i="36"/>
  <c r="H49" i="36"/>
  <c r="N49" i="36"/>
  <c r="I49" i="36"/>
  <c r="F49" i="36"/>
  <c r="G49" i="36"/>
  <c r="D49" i="36"/>
  <c r="L49" i="36"/>
  <c r="K49" i="36"/>
  <c r="M49" i="36"/>
  <c r="J49" i="36"/>
  <c r="Q49" i="36"/>
  <c r="O49" i="36"/>
  <c r="H19" i="36"/>
  <c r="I20" i="36" s="1"/>
  <c r="H20" i="36"/>
  <c r="I25" i="7"/>
  <c r="I127" i="14" s="1"/>
  <c r="I131" i="14" s="1"/>
  <c r="F25" i="7"/>
  <c r="F127" i="14"/>
  <c r="F131" i="14" s="1"/>
  <c r="G25" i="7"/>
  <c r="G127" i="14"/>
  <c r="G131" i="14" s="1"/>
  <c r="H25" i="7"/>
  <c r="H127" i="14"/>
  <c r="H131" i="14" s="1"/>
  <c r="E127" i="14"/>
  <c r="P26" i="4"/>
  <c r="I217" i="37"/>
  <c r="H293" i="14"/>
  <c r="F293" i="14"/>
  <c r="G293" i="14"/>
  <c r="I293" i="14"/>
  <c r="I55" i="8"/>
  <c r="F55" i="8"/>
  <c r="G55" i="8"/>
  <c r="H55" i="8"/>
  <c r="Q13" i="7"/>
  <c r="Q8" i="7"/>
  <c r="D27" i="21"/>
  <c r="Q16" i="7" s="1"/>
  <c r="D22" i="21"/>
  <c r="Q11" i="7" s="1"/>
  <c r="D21" i="21"/>
  <c r="Q10" i="7" s="1"/>
  <c r="D20" i="21"/>
  <c r="Q9" i="7" s="1"/>
  <c r="D17" i="21"/>
  <c r="D18" i="21" s="1"/>
  <c r="D25" i="21" s="1"/>
  <c r="D23" i="21"/>
  <c r="Q12" i="7" s="1"/>
  <c r="D10" i="15"/>
  <c r="C1" i="32"/>
  <c r="H13" i="25"/>
  <c r="K13" i="25" s="1"/>
  <c r="I13" i="25"/>
  <c r="H15" i="25"/>
  <c r="H18" i="25"/>
  <c r="K18" i="25" s="1"/>
  <c r="H12" i="25"/>
  <c r="K12" i="25" s="1"/>
  <c r="K20" i="25"/>
  <c r="K21" i="25"/>
  <c r="K22" i="25"/>
  <c r="K23" i="25"/>
  <c r="K24" i="25"/>
  <c r="E30" i="25"/>
  <c r="E29" i="25"/>
  <c r="K25" i="25"/>
  <c r="K19" i="25"/>
  <c r="K17" i="25"/>
  <c r="K16" i="25"/>
  <c r="K15" i="25"/>
  <c r="K11" i="25"/>
  <c r="K10" i="25"/>
  <c r="D47" i="1"/>
  <c r="D43" i="1"/>
  <c r="G71" i="22"/>
  <c r="F71" i="22"/>
  <c r="H8" i="23"/>
  <c r="G4" i="23"/>
  <c r="F4" i="23"/>
  <c r="H71" i="22"/>
  <c r="D11" i="15"/>
  <c r="C4" i="2" s="1"/>
  <c r="C2" i="2"/>
  <c r="E71" i="22"/>
  <c r="I71" i="22"/>
  <c r="E2" i="32"/>
  <c r="D16" i="15"/>
  <c r="D33" i="15"/>
  <c r="D32" i="15"/>
  <c r="D31" i="15"/>
  <c r="D30" i="15"/>
  <c r="D25" i="15"/>
  <c r="D21" i="15"/>
  <c r="D20" i="15"/>
  <c r="D19" i="15"/>
  <c r="D23" i="15"/>
  <c r="D24" i="15"/>
  <c r="D18" i="15"/>
  <c r="A3" i="8"/>
  <c r="D27" i="15"/>
  <c r="D13" i="15"/>
  <c r="C5" i="2"/>
  <c r="D14" i="15"/>
  <c r="D12" i="15"/>
  <c r="C8" i="2" s="1"/>
  <c r="J46" i="11"/>
  <c r="E131" i="14"/>
  <c r="E176" i="14" s="1"/>
  <c r="J43" i="11"/>
  <c r="K29" i="11"/>
  <c r="K30" i="11"/>
  <c r="J34" i="11"/>
  <c r="K34" i="11"/>
  <c r="J62" i="11"/>
  <c r="K62" i="11" s="1"/>
  <c r="K31" i="11"/>
  <c r="K33" i="11"/>
  <c r="J35" i="11"/>
  <c r="K35" i="11"/>
  <c r="J61" i="11"/>
  <c r="K61" i="11" s="1"/>
  <c r="J75" i="11"/>
  <c r="K75" i="11"/>
  <c r="K32" i="11"/>
  <c r="E25" i="8"/>
  <c r="C34" i="10"/>
  <c r="C75" i="10"/>
  <c r="C74" i="10"/>
  <c r="C73" i="10"/>
  <c r="C72" i="10"/>
  <c r="C12" i="10"/>
  <c r="C71" i="10"/>
  <c r="C62" i="10"/>
  <c r="C61" i="10"/>
  <c r="C60" i="10"/>
  <c r="C59" i="10"/>
  <c r="C58" i="10"/>
  <c r="F19" i="6"/>
  <c r="F20" i="6"/>
  <c r="F26" i="6"/>
  <c r="P6" i="4"/>
  <c r="P5" i="4"/>
  <c r="P4" i="4"/>
  <c r="I29" i="37"/>
  <c r="L28" i="37"/>
  <c r="N34" i="8"/>
  <c r="N33" i="37" s="1"/>
  <c r="J29" i="37"/>
  <c r="L34" i="8"/>
  <c r="L33" i="37"/>
  <c r="K42" i="8"/>
  <c r="K26" i="37"/>
  <c r="I26" i="37"/>
  <c r="E34" i="8"/>
  <c r="E33" i="37" s="1"/>
  <c r="F28" i="37"/>
  <c r="G40" i="8"/>
  <c r="G34" i="37"/>
  <c r="K40" i="8"/>
  <c r="J38" i="8"/>
  <c r="N38" i="8"/>
  <c r="N208" i="37"/>
  <c r="M29" i="37"/>
  <c r="F208" i="37"/>
  <c r="F34" i="37"/>
  <c r="J206" i="37"/>
  <c r="H28" i="37"/>
  <c r="F206" i="37"/>
  <c r="F210" i="37"/>
  <c r="J204" i="37"/>
  <c r="N210" i="37"/>
  <c r="I28" i="37"/>
  <c r="H34" i="8"/>
  <c r="H33" i="37"/>
  <c r="F42" i="8"/>
  <c r="F204" i="37"/>
  <c r="J40" i="8"/>
  <c r="N40" i="8"/>
  <c r="N29" i="37"/>
  <c r="N34" i="37"/>
  <c r="N35" i="37"/>
  <c r="J208" i="37"/>
  <c r="J210" i="37"/>
  <c r="F27" i="37"/>
  <c r="F38" i="8"/>
  <c r="F40" i="8"/>
  <c r="J42" i="8"/>
  <c r="N42" i="8"/>
  <c r="J34" i="37"/>
  <c r="N36" i="8"/>
  <c r="J28" i="37"/>
  <c r="L29" i="37"/>
  <c r="E59" i="14"/>
  <c r="M556" i="14"/>
  <c r="M170" i="8" s="1"/>
  <c r="E628" i="14"/>
  <c r="E74" i="14" s="1"/>
  <c r="I55" i="14"/>
  <c r="I67" i="46" s="1"/>
  <c r="E52" i="14"/>
  <c r="E64" i="46" s="1"/>
  <c r="I20" i="14"/>
  <c r="I32" i="46"/>
  <c r="I52" i="14"/>
  <c r="I64" i="46" s="1"/>
  <c r="I51" i="14"/>
  <c r="I63" i="46" s="1"/>
  <c r="N216" i="37"/>
  <c r="N70" i="14"/>
  <c r="N29" i="14"/>
  <c r="N10" i="14" s="1"/>
  <c r="F54" i="8"/>
  <c r="F216" i="37"/>
  <c r="N54" i="8"/>
  <c r="F119" i="14"/>
  <c r="F8" i="14" s="1"/>
  <c r="G120" i="14"/>
  <c r="H441" i="14"/>
  <c r="L65" i="14"/>
  <c r="L516" i="14"/>
  <c r="L441" i="14"/>
  <c r="L447" i="14"/>
  <c r="L1824" i="14" s="1"/>
  <c r="L1829" i="14"/>
  <c r="H65" i="14"/>
  <c r="H516" i="14"/>
  <c r="H447" i="14"/>
  <c r="L120" i="14"/>
  <c r="H442" i="14"/>
  <c r="H445" i="14"/>
  <c r="L442" i="14"/>
  <c r="B22" i="34"/>
  <c r="C22" i="34" s="1"/>
  <c r="E74" i="24"/>
  <c r="E77" i="24"/>
  <c r="F76" i="37"/>
  <c r="L101" i="14"/>
  <c r="L12" i="14"/>
  <c r="H50" i="14"/>
  <c r="H62" i="46" s="1"/>
  <c r="L13" i="14"/>
  <c r="L25" i="46" s="1"/>
  <c r="H117" i="14"/>
  <c r="E850" i="14"/>
  <c r="E321" i="14" s="1"/>
  <c r="F49" i="37"/>
  <c r="E28" i="46"/>
  <c r="J352" i="14"/>
  <c r="G352" i="14"/>
  <c r="F352" i="14"/>
  <c r="G67" i="8"/>
  <c r="G71" i="14"/>
  <c r="G443" i="14"/>
  <c r="G439" i="14"/>
  <c r="K442" i="14"/>
  <c r="K438" i="14"/>
  <c r="G447" i="14"/>
  <c r="G1824" i="14" s="1"/>
  <c r="G1829" i="14" s="1"/>
  <c r="K71" i="14"/>
  <c r="G442" i="14"/>
  <c r="G438" i="14"/>
  <c r="K65" i="14"/>
  <c r="K516" i="14"/>
  <c r="K441" i="14"/>
  <c r="Q1016" i="14"/>
  <c r="Q1017" i="14" s="1"/>
  <c r="E1214" i="14"/>
  <c r="G1214" i="14"/>
  <c r="Q1215" i="14"/>
  <c r="Q1216" i="14" s="1"/>
  <c r="E1428" i="14"/>
  <c r="G1428" i="14"/>
  <c r="Q1429" i="14"/>
  <c r="G1627" i="14"/>
  <c r="Q1628" i="14"/>
  <c r="E1067" i="14"/>
  <c r="G1067" i="14"/>
  <c r="Q1068" i="14"/>
  <c r="G1281" i="14"/>
  <c r="Q1282" i="14"/>
  <c r="E1480" i="14"/>
  <c r="G1480" i="14"/>
  <c r="Q1481" i="14"/>
  <c r="Q1482" i="14" s="1"/>
  <c r="E1679" i="14"/>
  <c r="G1679" i="14"/>
  <c r="Q1680" i="14"/>
  <c r="Q1681" i="14" s="1"/>
  <c r="E919" i="14"/>
  <c r="G919" i="14"/>
  <c r="J919" i="14"/>
  <c r="G1116" i="14"/>
  <c r="Q1117" i="14"/>
  <c r="Q1118" i="14"/>
  <c r="G1330" i="14"/>
  <c r="Q1331" i="14"/>
  <c r="I1331" i="14"/>
  <c r="Q1332" i="14"/>
  <c r="E1529" i="14"/>
  <c r="G1529" i="14"/>
  <c r="I1529" i="14"/>
  <c r="Q1530" i="14"/>
  <c r="Q1531" i="14"/>
  <c r="G1728" i="14"/>
  <c r="E1728" i="14"/>
  <c r="Q1729" i="14"/>
  <c r="E1165" i="14"/>
  <c r="G1165" i="14"/>
  <c r="Q1166" i="14"/>
  <c r="Q1167" i="14" s="1"/>
  <c r="E1379" i="14"/>
  <c r="G1379" i="14"/>
  <c r="Q1380" i="14"/>
  <c r="Q1381" i="14" s="1"/>
  <c r="E1578" i="14"/>
  <c r="G1578" i="14"/>
  <c r="Q1579" i="14"/>
  <c r="Q1580" i="14" s="1"/>
  <c r="G1826" i="14"/>
  <c r="Q1827" i="14"/>
  <c r="Q1828" i="14" s="1"/>
  <c r="N1563" i="14"/>
  <c r="J1563" i="14"/>
  <c r="F1563" i="14"/>
  <c r="M1563" i="14"/>
  <c r="I1563" i="14"/>
  <c r="E1563" i="14"/>
  <c r="L1563" i="14"/>
  <c r="H1563" i="14"/>
  <c r="K1563" i="14"/>
  <c r="G1563" i="14"/>
  <c r="L1463" i="14"/>
  <c r="H1463" i="14"/>
  <c r="K1463" i="14"/>
  <c r="G1463" i="14"/>
  <c r="N1463" i="14"/>
  <c r="J1463" i="14"/>
  <c r="F1463" i="14"/>
  <c r="M1463" i="14"/>
  <c r="I1463" i="14"/>
  <c r="E1463" i="14"/>
  <c r="N1565" i="14"/>
  <c r="J1565" i="14"/>
  <c r="F1565" i="14"/>
  <c r="M1565" i="14"/>
  <c r="I1565" i="14"/>
  <c r="E1565" i="14"/>
  <c r="L1565" i="14"/>
  <c r="H1565" i="14"/>
  <c r="K1565" i="14"/>
  <c r="G1565" i="14"/>
  <c r="F1310" i="14"/>
  <c r="J1310" i="14"/>
  <c r="N1310" i="14"/>
  <c r="E1313" i="14"/>
  <c r="I1313" i="14"/>
  <c r="M1313" i="14"/>
  <c r="F1314" i="14"/>
  <c r="J1314" i="14"/>
  <c r="N1314" i="14"/>
  <c r="H1316" i="14"/>
  <c r="E1317" i="14"/>
  <c r="I1317" i="14"/>
  <c r="M1317" i="14"/>
  <c r="F1318" i="14"/>
  <c r="J1318" i="14"/>
  <c r="N1318" i="14"/>
  <c r="E1363" i="14"/>
  <c r="E1367" i="14"/>
  <c r="I1361" i="14"/>
  <c r="M1361" i="14"/>
  <c r="I1363" i="14"/>
  <c r="M1363" i="14"/>
  <c r="I1365" i="14"/>
  <c r="M1365" i="14"/>
  <c r="I1367" i="14"/>
  <c r="M1367" i="14"/>
  <c r="E1515" i="14"/>
  <c r="I1513" i="14"/>
  <c r="M1513" i="14"/>
  <c r="I1515" i="14"/>
  <c r="M1515" i="14"/>
  <c r="K1251" i="14"/>
  <c r="G1251" i="14"/>
  <c r="N1251" i="14"/>
  <c r="J1251" i="14"/>
  <c r="F1251" i="14"/>
  <c r="M1251" i="14"/>
  <c r="I1251" i="14"/>
  <c r="L1251" i="14"/>
  <c r="H1251" i="14"/>
  <c r="K1247" i="14"/>
  <c r="G1247" i="14"/>
  <c r="N1247" i="14"/>
  <c r="J1247" i="14"/>
  <c r="F1247" i="14"/>
  <c r="M1247" i="14"/>
  <c r="I1247" i="14"/>
  <c r="L1247" i="14"/>
  <c r="H1247" i="14"/>
  <c r="K1243" i="14"/>
  <c r="G1243" i="14"/>
  <c r="N1243" i="14"/>
  <c r="J1243" i="14"/>
  <c r="F1243" i="14"/>
  <c r="M1243" i="14"/>
  <c r="I1243" i="14"/>
  <c r="L1243" i="14"/>
  <c r="H1243" i="14"/>
  <c r="F1051" i="14"/>
  <c r="H1051" i="14"/>
  <c r="E1051" i="14"/>
  <c r="G1051" i="14"/>
  <c r="I1051" i="14"/>
  <c r="J1051" i="14"/>
  <c r="L1051" i="14"/>
  <c r="M1051" i="14"/>
  <c r="N1051" i="14"/>
  <c r="K1051" i="14"/>
  <c r="F1047" i="14"/>
  <c r="H1047" i="14"/>
  <c r="E1047" i="14"/>
  <c r="G1047" i="14"/>
  <c r="I1047" i="14"/>
  <c r="J1047" i="14"/>
  <c r="L1047" i="14"/>
  <c r="M1047" i="14"/>
  <c r="N1047" i="14"/>
  <c r="K1047" i="14"/>
  <c r="F1043" i="14"/>
  <c r="H1043" i="14"/>
  <c r="E1043" i="14"/>
  <c r="G1043" i="14"/>
  <c r="I1043" i="14"/>
  <c r="J1043" i="14"/>
  <c r="L1043" i="14"/>
  <c r="M1043" i="14"/>
  <c r="N1043" i="14"/>
  <c r="K1043" i="14"/>
  <c r="F1039" i="14"/>
  <c r="H1039" i="14"/>
  <c r="E1039" i="14"/>
  <c r="G1039" i="14"/>
  <c r="I1039" i="14"/>
  <c r="J1039" i="14"/>
  <c r="L1039" i="14"/>
  <c r="M1039" i="14"/>
  <c r="N1039" i="14"/>
  <c r="K1039" i="14"/>
  <c r="E1002" i="14"/>
  <c r="G1002" i="14"/>
  <c r="H1002" i="14"/>
  <c r="F1002" i="14"/>
  <c r="I1002" i="14"/>
  <c r="J1002" i="14"/>
  <c r="L1002" i="14"/>
  <c r="M1002" i="14"/>
  <c r="N1002" i="14"/>
  <c r="K1002" i="14"/>
  <c r="E998" i="14"/>
  <c r="G998" i="14"/>
  <c r="H998" i="14"/>
  <c r="F998" i="14"/>
  <c r="I998" i="14"/>
  <c r="J998" i="14"/>
  <c r="L998" i="14"/>
  <c r="M998" i="14"/>
  <c r="N998" i="14"/>
  <c r="K998" i="14"/>
  <c r="E994" i="14"/>
  <c r="G994" i="14"/>
  <c r="H994" i="14"/>
  <c r="F994" i="14"/>
  <c r="I994" i="14"/>
  <c r="J994" i="14"/>
  <c r="L994" i="14"/>
  <c r="M994" i="14"/>
  <c r="N994" i="14"/>
  <c r="K994" i="14"/>
  <c r="E990" i="14"/>
  <c r="G990" i="14"/>
  <c r="H990" i="14"/>
  <c r="F990" i="14"/>
  <c r="I990" i="14"/>
  <c r="J990" i="14"/>
  <c r="L990" i="14"/>
  <c r="M990" i="14"/>
  <c r="N990" i="14"/>
  <c r="K990" i="14"/>
  <c r="F954" i="14"/>
  <c r="H954" i="14"/>
  <c r="E954" i="14"/>
  <c r="G954" i="14"/>
  <c r="I954" i="14"/>
  <c r="J954" i="14"/>
  <c r="L954" i="14"/>
  <c r="M954" i="14"/>
  <c r="N954" i="14"/>
  <c r="K954" i="14"/>
  <c r="F950" i="14"/>
  <c r="H950" i="14"/>
  <c r="E950" i="14"/>
  <c r="G950" i="14"/>
  <c r="I950" i="14"/>
  <c r="J950" i="14"/>
  <c r="L950" i="14"/>
  <c r="M950" i="14"/>
  <c r="N950" i="14"/>
  <c r="K950" i="14"/>
  <c r="F946" i="14"/>
  <c r="H946" i="14"/>
  <c r="E946" i="14"/>
  <c r="G946" i="14"/>
  <c r="I946" i="14"/>
  <c r="J946" i="14"/>
  <c r="L946" i="14"/>
  <c r="K946" i="14"/>
  <c r="M946" i="14"/>
  <c r="N946" i="14"/>
  <c r="F942" i="14"/>
  <c r="H942" i="14"/>
  <c r="E942" i="14"/>
  <c r="G942" i="14"/>
  <c r="I942" i="14"/>
  <c r="J942" i="14"/>
  <c r="L942" i="14"/>
  <c r="K942" i="14"/>
  <c r="M942" i="14"/>
  <c r="N942" i="14"/>
  <c r="F938" i="14"/>
  <c r="H938" i="14"/>
  <c r="E938" i="14"/>
  <c r="G938" i="14"/>
  <c r="I938" i="14"/>
  <c r="J938" i="14"/>
  <c r="L938" i="14"/>
  <c r="K938" i="14"/>
  <c r="M938" i="14"/>
  <c r="N938" i="14"/>
  <c r="N1815" i="14"/>
  <c r="I1815" i="14"/>
  <c r="F1815" i="14"/>
  <c r="E1815" i="14"/>
  <c r="H1815" i="14"/>
  <c r="K1815" i="14"/>
  <c r="L1815" i="14"/>
  <c r="M1815" i="14"/>
  <c r="G1815" i="14"/>
  <c r="J1815" i="14"/>
  <c r="N1766" i="14"/>
  <c r="H1766" i="14"/>
  <c r="I1766" i="14"/>
  <c r="G1766" i="14"/>
  <c r="L1766" i="14"/>
  <c r="E1766" i="14"/>
  <c r="J1766" i="14"/>
  <c r="F1766" i="14"/>
  <c r="K1766" i="14"/>
  <c r="M1766" i="14"/>
  <c r="N1717" i="14"/>
  <c r="E1717" i="14"/>
  <c r="G1717" i="14"/>
  <c r="I1717" i="14"/>
  <c r="M1717" i="14"/>
  <c r="J1717" i="14"/>
  <c r="L1717" i="14"/>
  <c r="F1717" i="14"/>
  <c r="H1717" i="14"/>
  <c r="K1717" i="14"/>
  <c r="G1777" i="14"/>
  <c r="E1777" i="14"/>
  <c r="E1144" i="14"/>
  <c r="E1148" i="14"/>
  <c r="E1152" i="14"/>
  <c r="G1141" i="14"/>
  <c r="K1141" i="14"/>
  <c r="F1142" i="14"/>
  <c r="J1142" i="14"/>
  <c r="N1142" i="14"/>
  <c r="I1143" i="14"/>
  <c r="M1143" i="14"/>
  <c r="H1144" i="14"/>
  <c r="L1144" i="14"/>
  <c r="G1145" i="14"/>
  <c r="K1145" i="14"/>
  <c r="F1146" i="14"/>
  <c r="J1146" i="14"/>
  <c r="N1146" i="14"/>
  <c r="I1147" i="14"/>
  <c r="M1147" i="14"/>
  <c r="H1148" i="14"/>
  <c r="L1148" i="14"/>
  <c r="G1149" i="14"/>
  <c r="K1149" i="14"/>
  <c r="F1150" i="14"/>
  <c r="J1150" i="14"/>
  <c r="N1150" i="14"/>
  <c r="I1151" i="14"/>
  <c r="M1151" i="14"/>
  <c r="H1152" i="14"/>
  <c r="L1152" i="14"/>
  <c r="G1153" i="14"/>
  <c r="K1153" i="14"/>
  <c r="F1154" i="14"/>
  <c r="J1154" i="14"/>
  <c r="N1154" i="14"/>
  <c r="I1191" i="14"/>
  <c r="M1191" i="14"/>
  <c r="H1192" i="14"/>
  <c r="L1192" i="14"/>
  <c r="G1193" i="14"/>
  <c r="K1193" i="14"/>
  <c r="F1194" i="14"/>
  <c r="J1194" i="14"/>
  <c r="N1194" i="14"/>
  <c r="I1195" i="14"/>
  <c r="M1195" i="14"/>
  <c r="H1196" i="14"/>
  <c r="L1196" i="14"/>
  <c r="G1197" i="14"/>
  <c r="K1197" i="14"/>
  <c r="F1198" i="14"/>
  <c r="J1198" i="14"/>
  <c r="N1198" i="14"/>
  <c r="I1199" i="14"/>
  <c r="M1199" i="14"/>
  <c r="H1200" i="14"/>
  <c r="L1200" i="14"/>
  <c r="G1201" i="14"/>
  <c r="K1201" i="14"/>
  <c r="F1202" i="14"/>
  <c r="J1202" i="14"/>
  <c r="N1202" i="14"/>
  <c r="I1203" i="14"/>
  <c r="M1203" i="14"/>
  <c r="E1243" i="14"/>
  <c r="E1247" i="14"/>
  <c r="E1251" i="14"/>
  <c r="K1241" i="14"/>
  <c r="N1567" i="14"/>
  <c r="J1567" i="14"/>
  <c r="F1567" i="14"/>
  <c r="M1567" i="14"/>
  <c r="I1567" i="14"/>
  <c r="E1567" i="14"/>
  <c r="L1567" i="14"/>
  <c r="H1567" i="14"/>
  <c r="K1567" i="14"/>
  <c r="G1567" i="14"/>
  <c r="N1466" i="14"/>
  <c r="J1466" i="14"/>
  <c r="F1466" i="14"/>
  <c r="M1466" i="14"/>
  <c r="I1466" i="14"/>
  <c r="E1466" i="14"/>
  <c r="L1466" i="14"/>
  <c r="H1466" i="14"/>
  <c r="K1466" i="14"/>
  <c r="G1466" i="14"/>
  <c r="N1462" i="14"/>
  <c r="J1462" i="14"/>
  <c r="F1462" i="14"/>
  <c r="M1462" i="14"/>
  <c r="I1462" i="14"/>
  <c r="E1462" i="14"/>
  <c r="L1462" i="14"/>
  <c r="H1462" i="14"/>
  <c r="K1462" i="14"/>
  <c r="G1462" i="14"/>
  <c r="L1564" i="14"/>
  <c r="H1564" i="14"/>
  <c r="K1564" i="14"/>
  <c r="G1564" i="14"/>
  <c r="N1564" i="14"/>
  <c r="J1564" i="14"/>
  <c r="F1564" i="14"/>
  <c r="M1564" i="14"/>
  <c r="I1564" i="14"/>
  <c r="E1564" i="14"/>
  <c r="N1665" i="14"/>
  <c r="J1665" i="14"/>
  <c r="F1665" i="14"/>
  <c r="M1665" i="14"/>
  <c r="I1665" i="14"/>
  <c r="E1665" i="14"/>
  <c r="L1665" i="14"/>
  <c r="H1665" i="14"/>
  <c r="K1665" i="14"/>
  <c r="G1665" i="14"/>
  <c r="F1313" i="14"/>
  <c r="J1313" i="14"/>
  <c r="N1313" i="14"/>
  <c r="F1317" i="14"/>
  <c r="J1317" i="14"/>
  <c r="N1317" i="14"/>
  <c r="F1361" i="14"/>
  <c r="J1361" i="14"/>
  <c r="N1361" i="14"/>
  <c r="H1362" i="14"/>
  <c r="L1362" i="14"/>
  <c r="F1363" i="14"/>
  <c r="J1363" i="14"/>
  <c r="N1363" i="14"/>
  <c r="H1364" i="14"/>
  <c r="L1364" i="14"/>
  <c r="F1365" i="14"/>
  <c r="J1365" i="14"/>
  <c r="N1365" i="14"/>
  <c r="H1366" i="14"/>
  <c r="L1366" i="14"/>
  <c r="F1367" i="14"/>
  <c r="J1367" i="14"/>
  <c r="N1367" i="14"/>
  <c r="H1368" i="14"/>
  <c r="L1368" i="14"/>
  <c r="E1410" i="14"/>
  <c r="I1410" i="14"/>
  <c r="I1412" i="14"/>
  <c r="I1414" i="14"/>
  <c r="I1416" i="14"/>
  <c r="F1513" i="14"/>
  <c r="J1513" i="14"/>
  <c r="N1513" i="14"/>
  <c r="H1514" i="14"/>
  <c r="L1514" i="14"/>
  <c r="F1515" i="14"/>
  <c r="J1515" i="14"/>
  <c r="N1515" i="14"/>
  <c r="L1516" i="14"/>
  <c r="L1518" i="14"/>
  <c r="M1613" i="14"/>
  <c r="M1615" i="14"/>
  <c r="L1250" i="14"/>
  <c r="H1250" i="14"/>
  <c r="K1250" i="14"/>
  <c r="G1250" i="14"/>
  <c r="N1250" i="14"/>
  <c r="J1250" i="14"/>
  <c r="F1250" i="14"/>
  <c r="M1250" i="14"/>
  <c r="I1250" i="14"/>
  <c r="L1246" i="14"/>
  <c r="H1246" i="14"/>
  <c r="K1246" i="14"/>
  <c r="G1246" i="14"/>
  <c r="N1246" i="14"/>
  <c r="J1246" i="14"/>
  <c r="F1246" i="14"/>
  <c r="M1246" i="14"/>
  <c r="I1246" i="14"/>
  <c r="L1242" i="14"/>
  <c r="H1242" i="14"/>
  <c r="K1242" i="14"/>
  <c r="G1242" i="14"/>
  <c r="N1242" i="14"/>
  <c r="J1242" i="14"/>
  <c r="F1242" i="14"/>
  <c r="M1242" i="14"/>
  <c r="I1242" i="14"/>
  <c r="F1050" i="14"/>
  <c r="H1050" i="14"/>
  <c r="E1050" i="14"/>
  <c r="G1050" i="14"/>
  <c r="I1050" i="14"/>
  <c r="J1050" i="14"/>
  <c r="M1050" i="14"/>
  <c r="N1050" i="14"/>
  <c r="L1050" i="14"/>
  <c r="K1050" i="14"/>
  <c r="F1046" i="14"/>
  <c r="H1046" i="14"/>
  <c r="E1046" i="14"/>
  <c r="G1046" i="14"/>
  <c r="I1046" i="14"/>
  <c r="J1046" i="14"/>
  <c r="M1046" i="14"/>
  <c r="N1046" i="14"/>
  <c r="L1046" i="14"/>
  <c r="K1046" i="14"/>
  <c r="F1042" i="14"/>
  <c r="H1042" i="14"/>
  <c r="E1042" i="14"/>
  <c r="G1042" i="14"/>
  <c r="I1042" i="14"/>
  <c r="J1042" i="14"/>
  <c r="M1042" i="14"/>
  <c r="N1042" i="14"/>
  <c r="L1042" i="14"/>
  <c r="K1042" i="14"/>
  <c r="F1038" i="14"/>
  <c r="H1038" i="14"/>
  <c r="E1038" i="14"/>
  <c r="G1038" i="14"/>
  <c r="I1038" i="14"/>
  <c r="J1038" i="14"/>
  <c r="M1038" i="14"/>
  <c r="N1038" i="14"/>
  <c r="L1038" i="14"/>
  <c r="K1038" i="14"/>
  <c r="G1001" i="14"/>
  <c r="H1001" i="14"/>
  <c r="F1001" i="14"/>
  <c r="E1001" i="14"/>
  <c r="I1001" i="14"/>
  <c r="J1001" i="14"/>
  <c r="M1001" i="14"/>
  <c r="N1001" i="14"/>
  <c r="L1001" i="14"/>
  <c r="K1001" i="14"/>
  <c r="G997" i="14"/>
  <c r="H997" i="14"/>
  <c r="F997" i="14"/>
  <c r="E997" i="14"/>
  <c r="I997" i="14"/>
  <c r="J997" i="14"/>
  <c r="M997" i="14"/>
  <c r="N997" i="14"/>
  <c r="L997" i="14"/>
  <c r="K997" i="14"/>
  <c r="G993" i="14"/>
  <c r="H993" i="14"/>
  <c r="F993" i="14"/>
  <c r="E993" i="14"/>
  <c r="I993" i="14"/>
  <c r="J993" i="14"/>
  <c r="M993" i="14"/>
  <c r="N993" i="14"/>
  <c r="L993" i="14"/>
  <c r="K993" i="14"/>
  <c r="G989" i="14"/>
  <c r="H989" i="14"/>
  <c r="F989" i="14"/>
  <c r="E989" i="14"/>
  <c r="I989" i="14"/>
  <c r="J989" i="14"/>
  <c r="M989" i="14"/>
  <c r="N989" i="14"/>
  <c r="L989" i="14"/>
  <c r="K989" i="14"/>
  <c r="F953" i="14"/>
  <c r="H953" i="14"/>
  <c r="E953" i="14"/>
  <c r="G953" i="14"/>
  <c r="I953" i="14"/>
  <c r="J953" i="14"/>
  <c r="M953" i="14"/>
  <c r="N953" i="14"/>
  <c r="L953" i="14"/>
  <c r="K953" i="14"/>
  <c r="F949" i="14"/>
  <c r="H949" i="14"/>
  <c r="E949" i="14"/>
  <c r="G949" i="14"/>
  <c r="I949" i="14"/>
  <c r="J949" i="14"/>
  <c r="M949" i="14"/>
  <c r="N949" i="14"/>
  <c r="L949" i="14"/>
  <c r="K949" i="14"/>
  <c r="F945" i="14"/>
  <c r="H945" i="14"/>
  <c r="E945" i="14"/>
  <c r="G945" i="14"/>
  <c r="I945" i="14"/>
  <c r="J945" i="14"/>
  <c r="M945" i="14"/>
  <c r="N945" i="14"/>
  <c r="L945" i="14"/>
  <c r="K945" i="14"/>
  <c r="F941" i="14"/>
  <c r="H941" i="14"/>
  <c r="E941" i="14"/>
  <c r="G941" i="14"/>
  <c r="I941" i="14"/>
  <c r="J941" i="14"/>
  <c r="M941" i="14"/>
  <c r="N941" i="14"/>
  <c r="L941" i="14"/>
  <c r="K941" i="14"/>
  <c r="E906" i="14"/>
  <c r="G906" i="14"/>
  <c r="H906" i="14"/>
  <c r="F906" i="14"/>
  <c r="I906" i="14"/>
  <c r="J906" i="14"/>
  <c r="M906" i="14"/>
  <c r="N906" i="14"/>
  <c r="L906" i="14"/>
  <c r="K906" i="14"/>
  <c r="F902" i="14"/>
  <c r="E902" i="14"/>
  <c r="G902" i="14"/>
  <c r="H902" i="14"/>
  <c r="I902" i="14"/>
  <c r="J902" i="14"/>
  <c r="L902" i="14"/>
  <c r="K902" i="14"/>
  <c r="M902" i="14"/>
  <c r="N902" i="14"/>
  <c r="F898" i="14"/>
  <c r="E898" i="14"/>
  <c r="G898" i="14"/>
  <c r="H898" i="14"/>
  <c r="I898" i="14"/>
  <c r="J898" i="14"/>
  <c r="N898" i="14"/>
  <c r="L898" i="14"/>
  <c r="K898" i="14"/>
  <c r="M898" i="14"/>
  <c r="H894" i="14"/>
  <c r="F894" i="14"/>
  <c r="E894" i="14"/>
  <c r="G894" i="14"/>
  <c r="I894" i="14"/>
  <c r="J894" i="14"/>
  <c r="N894" i="14"/>
  <c r="L894" i="14"/>
  <c r="M894" i="14"/>
  <c r="K894" i="14"/>
  <c r="E890" i="14"/>
  <c r="G890" i="14"/>
  <c r="H890" i="14"/>
  <c r="F890" i="14"/>
  <c r="I890" i="14"/>
  <c r="J890" i="14"/>
  <c r="M890" i="14"/>
  <c r="N890" i="14"/>
  <c r="L890" i="14"/>
  <c r="K890" i="14"/>
  <c r="N1765" i="14"/>
  <c r="H1765" i="14"/>
  <c r="I1765" i="14"/>
  <c r="E1765" i="14"/>
  <c r="F1765" i="14"/>
  <c r="G1765" i="14"/>
  <c r="K1765" i="14"/>
  <c r="J1765" i="14"/>
  <c r="M1765" i="14"/>
  <c r="L1765" i="14"/>
  <c r="N1716" i="14"/>
  <c r="E1716" i="14"/>
  <c r="G1716" i="14"/>
  <c r="I1716" i="14"/>
  <c r="F1716" i="14"/>
  <c r="K1716" i="14"/>
  <c r="J1716" i="14"/>
  <c r="L1716" i="14"/>
  <c r="H1716" i="14"/>
  <c r="M1716" i="14"/>
  <c r="L1662" i="14"/>
  <c r="H1662" i="14"/>
  <c r="K1662" i="14"/>
  <c r="G1662" i="14"/>
  <c r="N1662" i="14"/>
  <c r="J1662" i="14"/>
  <c r="F1662" i="14"/>
  <c r="M1662" i="14"/>
  <c r="I1662" i="14"/>
  <c r="E1662" i="14"/>
  <c r="E1141" i="14"/>
  <c r="E1145" i="14"/>
  <c r="E1149" i="14"/>
  <c r="E1153" i="14"/>
  <c r="H1141" i="14"/>
  <c r="L1141" i="14"/>
  <c r="G1142" i="14"/>
  <c r="K1142" i="14"/>
  <c r="F1143" i="14"/>
  <c r="J1143" i="14"/>
  <c r="N1143" i="14"/>
  <c r="I1144" i="14"/>
  <c r="M1144" i="14"/>
  <c r="H1145" i="14"/>
  <c r="L1145" i="14"/>
  <c r="G1146" i="14"/>
  <c r="K1146" i="14"/>
  <c r="F1147" i="14"/>
  <c r="J1147" i="14"/>
  <c r="N1147" i="14"/>
  <c r="I1148" i="14"/>
  <c r="M1148" i="14"/>
  <c r="H1149" i="14"/>
  <c r="L1149" i="14"/>
  <c r="G1150" i="14"/>
  <c r="K1150" i="14"/>
  <c r="F1151" i="14"/>
  <c r="J1151" i="14"/>
  <c r="N1151" i="14"/>
  <c r="I1152" i="14"/>
  <c r="M1152" i="14"/>
  <c r="H1153" i="14"/>
  <c r="L1153" i="14"/>
  <c r="G1154" i="14"/>
  <c r="K1154" i="14"/>
  <c r="F1191" i="14"/>
  <c r="J1191" i="14"/>
  <c r="N1191" i="14"/>
  <c r="I1192" i="14"/>
  <c r="M1192" i="14"/>
  <c r="H1193" i="14"/>
  <c r="L1193" i="14"/>
  <c r="G1194" i="14"/>
  <c r="K1194" i="14"/>
  <c r="F1195" i="14"/>
  <c r="J1195" i="14"/>
  <c r="N1195" i="14"/>
  <c r="I1196" i="14"/>
  <c r="M1196" i="14"/>
  <c r="H1197" i="14"/>
  <c r="L1197" i="14"/>
  <c r="G1198" i="14"/>
  <c r="K1198" i="14"/>
  <c r="F1199" i="14"/>
  <c r="J1199" i="14"/>
  <c r="N1199" i="14"/>
  <c r="I1200" i="14"/>
  <c r="M1200" i="14"/>
  <c r="H1201" i="14"/>
  <c r="L1201" i="14"/>
  <c r="G1202" i="14"/>
  <c r="K1202" i="14"/>
  <c r="F1203" i="14"/>
  <c r="J1203" i="14"/>
  <c r="N1203" i="14"/>
  <c r="L1465" i="14"/>
  <c r="H1465" i="14"/>
  <c r="K1465" i="14"/>
  <c r="G1465" i="14"/>
  <c r="N1465" i="14"/>
  <c r="J1465" i="14"/>
  <c r="F1465" i="14"/>
  <c r="M1465" i="14"/>
  <c r="I1465" i="14"/>
  <c r="E1465" i="14"/>
  <c r="L1664" i="14"/>
  <c r="H1664" i="14"/>
  <c r="K1664" i="14"/>
  <c r="G1664" i="14"/>
  <c r="N1664" i="14"/>
  <c r="J1664" i="14"/>
  <c r="F1664" i="14"/>
  <c r="M1664" i="14"/>
  <c r="I1664" i="14"/>
  <c r="E1664" i="14"/>
  <c r="M1518" i="14"/>
  <c r="G266" i="22"/>
  <c r="M1249" i="14"/>
  <c r="I1249" i="14"/>
  <c r="L1249" i="14"/>
  <c r="H1249" i="14"/>
  <c r="K1249" i="14"/>
  <c r="G1249" i="14"/>
  <c r="N1249" i="14"/>
  <c r="J1249" i="14"/>
  <c r="F1249" i="14"/>
  <c r="M1245" i="14"/>
  <c r="I1245" i="14"/>
  <c r="L1245" i="14"/>
  <c r="H1245" i="14"/>
  <c r="K1245" i="14"/>
  <c r="G1245" i="14"/>
  <c r="N1245" i="14"/>
  <c r="J1245" i="14"/>
  <c r="F1245" i="14"/>
  <c r="H1053" i="14"/>
  <c r="E1053" i="14"/>
  <c r="G1053" i="14"/>
  <c r="F1053" i="14"/>
  <c r="I1053" i="14"/>
  <c r="J1053" i="14"/>
  <c r="N1053" i="14"/>
  <c r="L1053" i="14"/>
  <c r="M1053" i="14"/>
  <c r="K1053" i="14"/>
  <c r="H1049" i="14"/>
  <c r="E1049" i="14"/>
  <c r="G1049" i="14"/>
  <c r="F1049" i="14"/>
  <c r="I1049" i="14"/>
  <c r="J1049" i="14"/>
  <c r="N1049" i="14"/>
  <c r="L1049" i="14"/>
  <c r="M1049" i="14"/>
  <c r="K1049" i="14"/>
  <c r="H1045" i="14"/>
  <c r="E1045" i="14"/>
  <c r="G1045" i="14"/>
  <c r="F1045" i="14"/>
  <c r="I1045" i="14"/>
  <c r="J1045" i="14"/>
  <c r="N1045" i="14"/>
  <c r="L1045" i="14"/>
  <c r="M1045" i="14"/>
  <c r="K1045" i="14"/>
  <c r="H1041" i="14"/>
  <c r="E1041" i="14"/>
  <c r="G1041" i="14"/>
  <c r="F1041" i="14"/>
  <c r="I1041" i="14"/>
  <c r="J1041" i="14"/>
  <c r="N1041" i="14"/>
  <c r="L1041" i="14"/>
  <c r="M1041" i="14"/>
  <c r="K1041" i="14"/>
  <c r="H1004" i="14"/>
  <c r="F1004" i="14"/>
  <c r="E1004" i="14"/>
  <c r="G1004" i="14"/>
  <c r="I1004" i="14"/>
  <c r="J1004" i="14"/>
  <c r="N1004" i="14"/>
  <c r="L1004" i="14"/>
  <c r="M1004" i="14"/>
  <c r="K1004" i="14"/>
  <c r="H1000" i="14"/>
  <c r="F1000" i="14"/>
  <c r="E1000" i="14"/>
  <c r="G1000" i="14"/>
  <c r="I1000" i="14"/>
  <c r="J1000" i="14"/>
  <c r="N1000" i="14"/>
  <c r="L1000" i="14"/>
  <c r="M1000" i="14"/>
  <c r="K1000" i="14"/>
  <c r="H996" i="14"/>
  <c r="F996" i="14"/>
  <c r="E996" i="14"/>
  <c r="G996" i="14"/>
  <c r="I996" i="14"/>
  <c r="J996" i="14"/>
  <c r="N996" i="14"/>
  <c r="L996" i="14"/>
  <c r="M996" i="14"/>
  <c r="K996" i="14"/>
  <c r="H992" i="14"/>
  <c r="F992" i="14"/>
  <c r="E992" i="14"/>
  <c r="G992" i="14"/>
  <c r="I992" i="14"/>
  <c r="J992" i="14"/>
  <c r="N992" i="14"/>
  <c r="L992" i="14"/>
  <c r="M992" i="14"/>
  <c r="K992" i="14"/>
  <c r="H988" i="14"/>
  <c r="F988" i="14"/>
  <c r="E988" i="14"/>
  <c r="G988" i="14"/>
  <c r="I988" i="14"/>
  <c r="J988" i="14"/>
  <c r="N988" i="14"/>
  <c r="L988" i="14"/>
  <c r="M988" i="14"/>
  <c r="K988" i="14"/>
  <c r="F952" i="14"/>
  <c r="H952" i="14"/>
  <c r="E952" i="14"/>
  <c r="G952" i="14"/>
  <c r="J952" i="14"/>
  <c r="I952" i="14"/>
  <c r="N952" i="14"/>
  <c r="L952" i="14"/>
  <c r="M952" i="14"/>
  <c r="K952" i="14"/>
  <c r="F948" i="14"/>
  <c r="H948" i="14"/>
  <c r="E948" i="14"/>
  <c r="G948" i="14"/>
  <c r="J948" i="14"/>
  <c r="I948" i="14"/>
  <c r="N948" i="14"/>
  <c r="L948" i="14"/>
  <c r="M948" i="14"/>
  <c r="K948" i="14"/>
  <c r="F944" i="14"/>
  <c r="H944" i="14"/>
  <c r="E944" i="14"/>
  <c r="G944" i="14"/>
  <c r="J944" i="14"/>
  <c r="I944" i="14"/>
  <c r="N944" i="14"/>
  <c r="L944" i="14"/>
  <c r="M944" i="14"/>
  <c r="K944" i="14"/>
  <c r="F940" i="14"/>
  <c r="H940" i="14"/>
  <c r="E940" i="14"/>
  <c r="G940" i="14"/>
  <c r="J940" i="14"/>
  <c r="I940" i="14"/>
  <c r="N940" i="14"/>
  <c r="L940" i="14"/>
  <c r="M940" i="14"/>
  <c r="K940" i="14"/>
  <c r="H905" i="14"/>
  <c r="F905" i="14"/>
  <c r="E905" i="14"/>
  <c r="G905" i="14"/>
  <c r="I905" i="14"/>
  <c r="J905" i="14"/>
  <c r="N905" i="14"/>
  <c r="L905" i="14"/>
  <c r="M905" i="14"/>
  <c r="K905" i="14"/>
  <c r="E901" i="14"/>
  <c r="G901" i="14"/>
  <c r="H901" i="14"/>
  <c r="F901" i="14"/>
  <c r="I901" i="14"/>
  <c r="J901" i="14"/>
  <c r="M901" i="14"/>
  <c r="N901" i="14"/>
  <c r="L901" i="14"/>
  <c r="K901" i="14"/>
  <c r="F897" i="14"/>
  <c r="E897" i="14"/>
  <c r="G897" i="14"/>
  <c r="H897" i="14"/>
  <c r="I897" i="14"/>
  <c r="J897" i="14"/>
  <c r="L897" i="14"/>
  <c r="K897" i="14"/>
  <c r="M897" i="14"/>
  <c r="N897" i="14"/>
  <c r="F893" i="14"/>
  <c r="E893" i="14"/>
  <c r="G893" i="14"/>
  <c r="H893" i="14"/>
  <c r="I893" i="14"/>
  <c r="J893" i="14"/>
  <c r="N893" i="14"/>
  <c r="L893" i="14"/>
  <c r="K893" i="14"/>
  <c r="M893" i="14"/>
  <c r="H889" i="14"/>
  <c r="F889" i="14"/>
  <c r="E889" i="14"/>
  <c r="G889" i="14"/>
  <c r="I889" i="14"/>
  <c r="J889" i="14"/>
  <c r="N889" i="14"/>
  <c r="L889" i="14"/>
  <c r="M889" i="14"/>
  <c r="K889" i="14"/>
  <c r="N1715" i="14"/>
  <c r="F1715" i="14"/>
  <c r="K1715" i="14"/>
  <c r="H1715" i="14"/>
  <c r="J1715" i="14"/>
  <c r="G1715" i="14"/>
  <c r="L1715" i="14"/>
  <c r="E1715" i="14"/>
  <c r="I1715" i="14"/>
  <c r="M1715" i="14"/>
  <c r="L1562" i="14"/>
  <c r="H1562" i="14"/>
  <c r="K1562" i="14"/>
  <c r="G1562" i="14"/>
  <c r="N1562" i="14"/>
  <c r="J1562" i="14"/>
  <c r="F1562" i="14"/>
  <c r="M1562" i="14"/>
  <c r="I1562" i="14"/>
  <c r="E1562" i="14"/>
  <c r="M1241" i="14"/>
  <c r="I1241" i="14"/>
  <c r="N1241" i="14"/>
  <c r="J1241" i="14"/>
  <c r="F1241" i="14"/>
  <c r="E886" i="14"/>
  <c r="E935" i="14" s="1"/>
  <c r="E984" i="14" s="1"/>
  <c r="G886" i="14"/>
  <c r="G935" i="14" s="1"/>
  <c r="G984" i="14" s="1"/>
  <c r="F886" i="14"/>
  <c r="F935" i="14" s="1"/>
  <c r="F984" i="14" s="1"/>
  <c r="H886" i="14"/>
  <c r="H935" i="14" s="1"/>
  <c r="H984" i="14" s="1"/>
  <c r="I886" i="14"/>
  <c r="I935" i="14" s="1"/>
  <c r="I984" i="14" s="1"/>
  <c r="N886" i="14"/>
  <c r="N935" i="14" s="1"/>
  <c r="N984" i="14" s="1"/>
  <c r="J886" i="14"/>
  <c r="J935" i="14" s="1"/>
  <c r="J984" i="14" s="1"/>
  <c r="K886" i="14"/>
  <c r="K935" i="14" s="1"/>
  <c r="K984" i="14" s="1"/>
  <c r="L886" i="14"/>
  <c r="L935" i="14" s="1"/>
  <c r="L984" i="14" s="1"/>
  <c r="M886" i="14"/>
  <c r="M935" i="14" s="1"/>
  <c r="M984" i="14" s="1"/>
  <c r="F885" i="14"/>
  <c r="F934" i="14" s="1"/>
  <c r="H885" i="14"/>
  <c r="H934" i="14" s="1"/>
  <c r="E885" i="14"/>
  <c r="E934" i="14" s="1"/>
  <c r="G885" i="14"/>
  <c r="G934" i="14" s="1"/>
  <c r="N885" i="14"/>
  <c r="N934" i="14" s="1"/>
  <c r="J885" i="14"/>
  <c r="J934" i="14" s="1"/>
  <c r="K885" i="14"/>
  <c r="K934" i="14" s="1"/>
  <c r="I885" i="14"/>
  <c r="I934" i="14" s="1"/>
  <c r="L885" i="14"/>
  <c r="L934" i="14" s="1"/>
  <c r="M885" i="14"/>
  <c r="M934" i="14" s="1"/>
  <c r="E1142" i="14"/>
  <c r="E1146" i="14"/>
  <c r="E1150" i="14"/>
  <c r="E1154" i="14"/>
  <c r="I1141" i="14"/>
  <c r="M1141" i="14"/>
  <c r="H1142" i="14"/>
  <c r="L1142" i="14"/>
  <c r="G1143" i="14"/>
  <c r="K1143" i="14"/>
  <c r="F1144" i="14"/>
  <c r="J1144" i="14"/>
  <c r="N1144" i="14"/>
  <c r="I1145" i="14"/>
  <c r="M1145" i="14"/>
  <c r="H1146" i="14"/>
  <c r="L1146" i="14"/>
  <c r="G1147" i="14"/>
  <c r="K1147" i="14"/>
  <c r="F1148" i="14"/>
  <c r="J1148" i="14"/>
  <c r="N1148" i="14"/>
  <c r="I1149" i="14"/>
  <c r="M1149" i="14"/>
  <c r="H1150" i="14"/>
  <c r="L1150" i="14"/>
  <c r="G1151" i="14"/>
  <c r="K1151" i="14"/>
  <c r="F1152" i="14"/>
  <c r="J1152" i="14"/>
  <c r="N1152" i="14"/>
  <c r="I1153" i="14"/>
  <c r="M1153" i="14"/>
  <c r="H1154" i="14"/>
  <c r="L1154" i="14"/>
  <c r="G1191" i="14"/>
  <c r="K1191" i="14"/>
  <c r="F1192" i="14"/>
  <c r="J1192" i="14"/>
  <c r="N1192" i="14"/>
  <c r="I1193" i="14"/>
  <c r="M1193" i="14"/>
  <c r="H1194" i="14"/>
  <c r="L1194" i="14"/>
  <c r="G1195" i="14"/>
  <c r="K1195" i="14"/>
  <c r="F1196" i="14"/>
  <c r="J1196" i="14"/>
  <c r="N1196" i="14"/>
  <c r="I1197" i="14"/>
  <c r="M1197" i="14"/>
  <c r="H1198" i="14"/>
  <c r="L1198" i="14"/>
  <c r="G1199" i="14"/>
  <c r="K1199" i="14"/>
  <c r="F1200" i="14"/>
  <c r="J1200" i="14"/>
  <c r="N1200" i="14"/>
  <c r="I1201" i="14"/>
  <c r="M1201" i="14"/>
  <c r="H1202" i="14"/>
  <c r="L1202" i="14"/>
  <c r="G1203" i="14"/>
  <c r="K1203" i="14"/>
  <c r="E1241" i="14"/>
  <c r="E1245" i="14"/>
  <c r="E1249" i="14"/>
  <c r="G1241" i="14"/>
  <c r="L1461" i="14"/>
  <c r="H1461" i="14"/>
  <c r="K1461" i="14"/>
  <c r="G1461" i="14"/>
  <c r="N1461" i="14"/>
  <c r="J1461" i="14"/>
  <c r="F1461" i="14"/>
  <c r="M1461" i="14"/>
  <c r="I1461" i="14"/>
  <c r="E1461" i="14"/>
  <c r="N1464" i="14"/>
  <c r="J1464" i="14"/>
  <c r="F1464" i="14"/>
  <c r="M1464" i="14"/>
  <c r="I1464" i="14"/>
  <c r="E1464" i="14"/>
  <c r="L1464" i="14"/>
  <c r="H1464" i="14"/>
  <c r="K1464" i="14"/>
  <c r="G1464" i="14"/>
  <c r="N1460" i="14"/>
  <c r="J1460" i="14"/>
  <c r="F1460" i="14"/>
  <c r="M1460" i="14"/>
  <c r="I1460" i="14"/>
  <c r="E1460" i="14"/>
  <c r="L1460" i="14"/>
  <c r="H1460" i="14"/>
  <c r="K1460" i="14"/>
  <c r="G1460" i="14"/>
  <c r="L1566" i="14"/>
  <c r="H1566" i="14"/>
  <c r="K1566" i="14"/>
  <c r="G1566" i="14"/>
  <c r="N1566" i="14"/>
  <c r="J1566" i="14"/>
  <c r="F1566" i="14"/>
  <c r="M1566" i="14"/>
  <c r="I1566" i="14"/>
  <c r="E1566" i="14"/>
  <c r="N1663" i="14"/>
  <c r="J1663" i="14"/>
  <c r="F1663" i="14"/>
  <c r="M1663" i="14"/>
  <c r="I1663" i="14"/>
  <c r="E1663" i="14"/>
  <c r="L1663" i="14"/>
  <c r="H1663" i="14"/>
  <c r="K1663" i="14"/>
  <c r="G1663" i="14"/>
  <c r="E1310" i="14"/>
  <c r="I1310" i="14"/>
  <c r="H1313" i="14"/>
  <c r="E1314" i="14"/>
  <c r="I1314" i="14"/>
  <c r="H1317" i="14"/>
  <c r="E1318" i="14"/>
  <c r="I1318" i="14"/>
  <c r="H1361" i="14"/>
  <c r="F1362" i="14"/>
  <c r="J1362" i="14"/>
  <c r="H1363" i="14"/>
  <c r="F1364" i="14"/>
  <c r="J1364" i="14"/>
  <c r="H1365" i="14"/>
  <c r="F1366" i="14"/>
  <c r="J1366" i="14"/>
  <c r="H1367" i="14"/>
  <c r="H1513" i="14"/>
  <c r="H1515" i="14"/>
  <c r="N1252" i="14"/>
  <c r="J1252" i="14"/>
  <c r="F1252" i="14"/>
  <c r="M1252" i="14"/>
  <c r="I1252" i="14"/>
  <c r="L1252" i="14"/>
  <c r="H1252" i="14"/>
  <c r="K1252" i="14"/>
  <c r="G1252" i="14"/>
  <c r="N1248" i="14"/>
  <c r="J1248" i="14"/>
  <c r="F1248" i="14"/>
  <c r="M1248" i="14"/>
  <c r="I1248" i="14"/>
  <c r="L1248" i="14"/>
  <c r="H1248" i="14"/>
  <c r="K1248" i="14"/>
  <c r="G1248" i="14"/>
  <c r="N1244" i="14"/>
  <c r="J1244" i="14"/>
  <c r="F1244" i="14"/>
  <c r="M1244" i="14"/>
  <c r="I1244" i="14"/>
  <c r="L1244" i="14"/>
  <c r="H1244" i="14"/>
  <c r="K1244" i="14"/>
  <c r="G1244" i="14"/>
  <c r="E1052" i="14"/>
  <c r="G1052" i="14"/>
  <c r="F1052" i="14"/>
  <c r="H1052" i="14"/>
  <c r="I1052" i="14"/>
  <c r="J1052" i="14"/>
  <c r="N1052" i="14"/>
  <c r="L1052" i="14"/>
  <c r="M1052" i="14"/>
  <c r="K1052" i="14"/>
  <c r="E1048" i="14"/>
  <c r="G1048" i="14"/>
  <c r="F1048" i="14"/>
  <c r="H1048" i="14"/>
  <c r="I1048" i="14"/>
  <c r="J1048" i="14"/>
  <c r="N1048" i="14"/>
  <c r="L1048" i="14"/>
  <c r="M1048" i="14"/>
  <c r="K1048" i="14"/>
  <c r="E1044" i="14"/>
  <c r="G1044" i="14"/>
  <c r="F1044" i="14"/>
  <c r="H1044" i="14"/>
  <c r="I1044" i="14"/>
  <c r="J1044" i="14"/>
  <c r="N1044" i="14"/>
  <c r="L1044" i="14"/>
  <c r="M1044" i="14"/>
  <c r="K1044" i="14"/>
  <c r="E1040" i="14"/>
  <c r="G1040" i="14"/>
  <c r="F1040" i="14"/>
  <c r="H1040" i="14"/>
  <c r="I1040" i="14"/>
  <c r="J1040" i="14"/>
  <c r="N1040" i="14"/>
  <c r="L1040" i="14"/>
  <c r="M1040" i="14"/>
  <c r="K1040" i="14"/>
  <c r="F1003" i="14"/>
  <c r="E1003" i="14"/>
  <c r="G1003" i="14"/>
  <c r="H1003" i="14"/>
  <c r="J1003" i="14"/>
  <c r="I1003" i="14"/>
  <c r="N1003" i="14"/>
  <c r="L1003" i="14"/>
  <c r="M1003" i="14"/>
  <c r="K1003" i="14"/>
  <c r="F999" i="14"/>
  <c r="E999" i="14"/>
  <c r="G999" i="14"/>
  <c r="H999" i="14"/>
  <c r="J999" i="14"/>
  <c r="I999" i="14"/>
  <c r="N999" i="14"/>
  <c r="L999" i="14"/>
  <c r="M999" i="14"/>
  <c r="K999" i="14"/>
  <c r="F995" i="14"/>
  <c r="E995" i="14"/>
  <c r="G995" i="14"/>
  <c r="H995" i="14"/>
  <c r="J995" i="14"/>
  <c r="I995" i="14"/>
  <c r="N995" i="14"/>
  <c r="L995" i="14"/>
  <c r="M995" i="14"/>
  <c r="K995" i="14"/>
  <c r="F991" i="14"/>
  <c r="E991" i="14"/>
  <c r="G991" i="14"/>
  <c r="H991" i="14"/>
  <c r="J991" i="14"/>
  <c r="I991" i="14"/>
  <c r="N991" i="14"/>
  <c r="L991" i="14"/>
  <c r="M991" i="14"/>
  <c r="K991" i="14"/>
  <c r="E955" i="14"/>
  <c r="G955" i="14"/>
  <c r="F955" i="14"/>
  <c r="H955" i="14"/>
  <c r="I955" i="14"/>
  <c r="J955" i="14"/>
  <c r="N955" i="14"/>
  <c r="L955" i="14"/>
  <c r="M955" i="14"/>
  <c r="K955" i="14"/>
  <c r="E951" i="14"/>
  <c r="G951" i="14"/>
  <c r="F951" i="14"/>
  <c r="H951" i="14"/>
  <c r="I951" i="14"/>
  <c r="J951" i="14"/>
  <c r="N951" i="14"/>
  <c r="L951" i="14"/>
  <c r="M951" i="14"/>
  <c r="K951" i="14"/>
  <c r="E947" i="14"/>
  <c r="G947" i="14"/>
  <c r="F947" i="14"/>
  <c r="H947" i="14"/>
  <c r="I947" i="14"/>
  <c r="J947" i="14"/>
  <c r="N947" i="14"/>
  <c r="L947" i="14"/>
  <c r="M947" i="14"/>
  <c r="K947" i="14"/>
  <c r="E943" i="14"/>
  <c r="G943" i="14"/>
  <c r="F943" i="14"/>
  <c r="H943" i="14"/>
  <c r="I943" i="14"/>
  <c r="J943" i="14"/>
  <c r="N943" i="14"/>
  <c r="L943" i="14"/>
  <c r="K943" i="14"/>
  <c r="M943" i="14"/>
  <c r="E939" i="14"/>
  <c r="G939" i="14"/>
  <c r="F939" i="14"/>
  <c r="H939" i="14"/>
  <c r="I939" i="14"/>
  <c r="J939" i="14"/>
  <c r="N939" i="14"/>
  <c r="L939" i="14"/>
  <c r="K939" i="14"/>
  <c r="M939" i="14"/>
  <c r="F904" i="14"/>
  <c r="E904" i="14"/>
  <c r="G904" i="14"/>
  <c r="H904" i="14"/>
  <c r="I904" i="14"/>
  <c r="J904" i="14"/>
  <c r="N904" i="14"/>
  <c r="L904" i="14"/>
  <c r="K904" i="14"/>
  <c r="M904" i="14"/>
  <c r="H900" i="14"/>
  <c r="F900" i="14"/>
  <c r="E900" i="14"/>
  <c r="G900" i="14"/>
  <c r="I900" i="14"/>
  <c r="J900" i="14"/>
  <c r="N900" i="14"/>
  <c r="L900" i="14"/>
  <c r="M900" i="14"/>
  <c r="K900" i="14"/>
  <c r="E896" i="14"/>
  <c r="G896" i="14"/>
  <c r="H896" i="14"/>
  <c r="F896" i="14"/>
  <c r="I896" i="14"/>
  <c r="J896" i="14"/>
  <c r="M896" i="14"/>
  <c r="N896" i="14"/>
  <c r="L896" i="14"/>
  <c r="K896" i="14"/>
  <c r="F892" i="14"/>
  <c r="E892" i="14"/>
  <c r="G892" i="14"/>
  <c r="H892" i="14"/>
  <c r="I892" i="14"/>
  <c r="J892" i="14"/>
  <c r="L892" i="14"/>
  <c r="K892" i="14"/>
  <c r="M892" i="14"/>
  <c r="N892" i="14"/>
  <c r="F888" i="14"/>
  <c r="E888" i="14"/>
  <c r="G888" i="14"/>
  <c r="H888" i="14"/>
  <c r="J888" i="14"/>
  <c r="I888" i="14"/>
  <c r="N888" i="14"/>
  <c r="L888" i="14"/>
  <c r="K888" i="14"/>
  <c r="M888" i="14"/>
  <c r="L1459" i="14"/>
  <c r="H1459" i="14"/>
  <c r="K1459" i="14"/>
  <c r="G1459" i="14"/>
  <c r="N1459" i="14"/>
  <c r="J1459" i="14"/>
  <c r="F1459" i="14"/>
  <c r="M1459" i="14"/>
  <c r="I1459" i="14"/>
  <c r="E1459" i="14"/>
  <c r="E1191" i="14"/>
  <c r="Q1778" i="14"/>
  <c r="E1143" i="14"/>
  <c r="E1147" i="14"/>
  <c r="E1151" i="14"/>
  <c r="F1141" i="14"/>
  <c r="J1141" i="14"/>
  <c r="I1142" i="14"/>
  <c r="H1143" i="14"/>
  <c r="G1144" i="14"/>
  <c r="F1145" i="14"/>
  <c r="J1145" i="14"/>
  <c r="I1146" i="14"/>
  <c r="H1147" i="14"/>
  <c r="G1148" i="14"/>
  <c r="F1149" i="14"/>
  <c r="J1149" i="14"/>
  <c r="I1150" i="14"/>
  <c r="H1151" i="14"/>
  <c r="G1152" i="14"/>
  <c r="F1153" i="14"/>
  <c r="J1153" i="14"/>
  <c r="I1154" i="14"/>
  <c r="H1191" i="14"/>
  <c r="G1192" i="14"/>
  <c r="F1193" i="14"/>
  <c r="J1193" i="14"/>
  <c r="I1194" i="14"/>
  <c r="H1195" i="14"/>
  <c r="G1196" i="14"/>
  <c r="F1197" i="14"/>
  <c r="J1197" i="14"/>
  <c r="I1198" i="14"/>
  <c r="H1199" i="14"/>
  <c r="G1200" i="14"/>
  <c r="F1201" i="14"/>
  <c r="J1201" i="14"/>
  <c r="I1202" i="14"/>
  <c r="H1203" i="14"/>
  <c r="E1242" i="14"/>
  <c r="E1246" i="14"/>
  <c r="E1250" i="14"/>
  <c r="H1241" i="14"/>
  <c r="K1480" i="14"/>
  <c r="M869" i="14"/>
  <c r="M868" i="14"/>
  <c r="L869" i="14"/>
  <c r="J870" i="14"/>
  <c r="I601" i="14"/>
  <c r="K869" i="14"/>
  <c r="N1332" i="14"/>
  <c r="I12" i="14"/>
  <c r="I24" i="46" s="1"/>
  <c r="I917" i="14"/>
  <c r="I918" i="14"/>
  <c r="G869" i="14"/>
  <c r="F870" i="14"/>
  <c r="G917" i="14"/>
  <c r="E966" i="14"/>
  <c r="H869" i="14"/>
  <c r="F917" i="14"/>
  <c r="G870" i="14"/>
  <c r="F919" i="14"/>
  <c r="N20" i="14"/>
  <c r="N32" i="46" s="1"/>
  <c r="H1827" i="14"/>
  <c r="H1579" i="14"/>
  <c r="H1380" i="14"/>
  <c r="H1215" i="14"/>
  <c r="G1680" i="14"/>
  <c r="G1628" i="14"/>
  <c r="G1579" i="14"/>
  <c r="G1530" i="14"/>
  <c r="G1481" i="14"/>
  <c r="G1429" i="14"/>
  <c r="G1380" i="14"/>
  <c r="G1331" i="14"/>
  <c r="G1282" i="14"/>
  <c r="G1215" i="14"/>
  <c r="G1166" i="14"/>
  <c r="G1117" i="14"/>
  <c r="G1068" i="14"/>
  <c r="H1729" i="14"/>
  <c r="H1530" i="14"/>
  <c r="H1166" i="14"/>
  <c r="G1729" i="14"/>
  <c r="G1016" i="14"/>
  <c r="G918" i="14"/>
  <c r="I1579" i="14"/>
  <c r="H1778" i="14"/>
  <c r="H1680" i="14"/>
  <c r="H1481" i="14"/>
  <c r="H1331" i="14"/>
  <c r="H1117" i="14"/>
  <c r="G1827" i="14"/>
  <c r="M1579" i="14"/>
  <c r="H233" i="37"/>
  <c r="M74" i="14"/>
  <c r="I1116" i="14"/>
  <c r="F36" i="14"/>
  <c r="I26" i="46"/>
  <c r="M1826" i="14"/>
  <c r="I1330" i="14"/>
  <c r="G516" i="14"/>
  <c r="G59" i="14"/>
  <c r="G71" i="46" s="1"/>
  <c r="E447" i="14"/>
  <c r="E1824" i="14" s="1"/>
  <c r="E1829" i="14"/>
  <c r="K59" i="14"/>
  <c r="K71" i="46"/>
  <c r="E71" i="46"/>
  <c r="F232" i="37"/>
  <c r="H59" i="14"/>
  <c r="H71" i="46"/>
  <c r="L59" i="14"/>
  <c r="L71" i="46"/>
  <c r="J67" i="8"/>
  <c r="N67" i="8"/>
  <c r="M1729" i="14"/>
  <c r="M1628" i="14"/>
  <c r="I1827" i="14"/>
  <c r="I1628" i="14"/>
  <c r="I1380" i="14"/>
  <c r="I1282" i="14"/>
  <c r="I1215" i="14"/>
  <c r="I1166" i="14"/>
  <c r="I1117" i="14"/>
  <c r="I1680" i="14"/>
  <c r="I1429" i="14"/>
  <c r="I1068" i="14"/>
  <c r="I1016" i="14"/>
  <c r="I1778" i="14"/>
  <c r="I1530" i="14"/>
  <c r="I1481" i="14"/>
  <c r="I556" i="14"/>
  <c r="I170" i="8"/>
  <c r="E36" i="14"/>
  <c r="M1214" i="14"/>
  <c r="I59" i="14"/>
  <c r="I71" i="46"/>
  <c r="E54" i="14"/>
  <c r="E66" i="46"/>
  <c r="K235" i="37"/>
  <c r="G111" i="14"/>
  <c r="K118" i="14"/>
  <c r="K111" i="14"/>
  <c r="J51" i="37"/>
  <c r="L29" i="46"/>
  <c r="K29" i="46"/>
  <c r="H51" i="37"/>
  <c r="E849" i="14"/>
  <c r="E118" i="14"/>
  <c r="E100" i="14" s="1"/>
  <c r="E86" i="37" s="1"/>
  <c r="G849" i="14"/>
  <c r="E1068" i="14"/>
  <c r="E1282" i="14"/>
  <c r="E1481" i="14"/>
  <c r="E1680" i="14"/>
  <c r="E1729" i="14"/>
  <c r="E967" i="14"/>
  <c r="E1117" i="14"/>
  <c r="E1331" i="14"/>
  <c r="E1530" i="14"/>
  <c r="E918" i="14"/>
  <c r="E1166" i="14"/>
  <c r="E1380" i="14"/>
  <c r="E1579" i="14"/>
  <c r="E1827" i="14"/>
  <c r="E1016" i="14"/>
  <c r="E1628" i="14"/>
  <c r="E1215" i="14"/>
  <c r="E1778" i="14"/>
  <c r="B19" i="34"/>
  <c r="C19" i="34" s="1"/>
  <c r="E848" i="14"/>
  <c r="E276" i="14"/>
  <c r="M848" i="14"/>
  <c r="M276" i="14"/>
  <c r="M119" i="14"/>
  <c r="M48" i="14"/>
  <c r="G850" i="14"/>
  <c r="G321" i="14" s="1"/>
  <c r="G117" i="14"/>
  <c r="G13" i="14"/>
  <c r="G25" i="46"/>
  <c r="G50" i="14"/>
  <c r="G62" i="46"/>
  <c r="G68" i="14"/>
  <c r="K117" i="14"/>
  <c r="K13" i="14"/>
  <c r="K25" i="46"/>
  <c r="K850" i="14"/>
  <c r="K321" i="14"/>
  <c r="K68" i="14"/>
  <c r="K50" i="14"/>
  <c r="G851" i="14"/>
  <c r="G403" i="14"/>
  <c r="G109" i="14"/>
  <c r="G54" i="14"/>
  <c r="G398" i="14"/>
  <c r="G67" i="14"/>
  <c r="G399" i="14"/>
  <c r="K116" i="14"/>
  <c r="K51" i="14" s="1"/>
  <c r="K63" i="46" s="1"/>
  <c r="K109" i="14"/>
  <c r="K399" i="14"/>
  <c r="K67" i="14"/>
  <c r="K851" i="14"/>
  <c r="K403" i="14" s="1"/>
  <c r="K397" i="14"/>
  <c r="H872" i="14"/>
  <c r="H1169" i="14"/>
  <c r="H1383" i="14"/>
  <c r="H1582" i="14"/>
  <c r="H1830" i="14"/>
  <c r="H1218" i="14"/>
  <c r="H1432" i="14"/>
  <c r="H1631" i="14"/>
  <c r="H1781" i="14"/>
  <c r="H1019" i="14"/>
  <c r="H921" i="14"/>
  <c r="H970" i="14"/>
  <c r="H1071" i="14"/>
  <c r="H1120" i="14"/>
  <c r="H1484" i="14"/>
  <c r="H1533" i="14"/>
  <c r="H99" i="14"/>
  <c r="H84" i="37"/>
  <c r="H1732" i="14"/>
  <c r="L99" i="14"/>
  <c r="L84" i="37" s="1"/>
  <c r="L1285" i="14"/>
  <c r="L1533" i="14"/>
  <c r="L1683" i="14"/>
  <c r="L921" i="14"/>
  <c r="L1019" i="14"/>
  <c r="L1120" i="14"/>
  <c r="L1383" i="14"/>
  <c r="L1631" i="14"/>
  <c r="L1732" i="14"/>
  <c r="L1781" i="14"/>
  <c r="L1830" i="14"/>
  <c r="L872" i="14"/>
  <c r="L1218" i="14"/>
  <c r="L1334" i="14"/>
  <c r="L1484" i="14"/>
  <c r="L1582" i="14"/>
  <c r="F120" i="14"/>
  <c r="F440" i="14"/>
  <c r="F71" i="14"/>
  <c r="F65" i="14"/>
  <c r="F441" i="14"/>
  <c r="F438" i="14"/>
  <c r="F442" i="14"/>
  <c r="J65" i="14"/>
  <c r="J120" i="14"/>
  <c r="J447" i="14"/>
  <c r="J439" i="14"/>
  <c r="J71" i="14"/>
  <c r="J440" i="14"/>
  <c r="J441" i="14"/>
  <c r="N120" i="14"/>
  <c r="N447" i="14"/>
  <c r="N439" i="14"/>
  <c r="N440" i="14"/>
  <c r="N441" i="14"/>
  <c r="N65" i="14"/>
  <c r="H622" i="14"/>
  <c r="H624" i="14" s="1"/>
  <c r="H631" i="14" s="1"/>
  <c r="H119" i="22" s="1"/>
  <c r="H36" i="14"/>
  <c r="H628" i="14"/>
  <c r="H917" i="14"/>
  <c r="H14" i="14"/>
  <c r="L622" i="14"/>
  <c r="L624" i="14" s="1"/>
  <c r="L631" i="14" s="1"/>
  <c r="L36" i="14"/>
  <c r="L14" i="14"/>
  <c r="L233" i="37"/>
  <c r="L628" i="14"/>
  <c r="F551" i="14"/>
  <c r="F852" i="14"/>
  <c r="F72" i="14"/>
  <c r="F37" i="14"/>
  <c r="J37" i="14"/>
  <c r="J852" i="14"/>
  <c r="J918" i="14"/>
  <c r="J551" i="14"/>
  <c r="J72" i="14"/>
  <c r="N37" i="14"/>
  <c r="N852" i="14"/>
  <c r="N1215" i="14" s="1"/>
  <c r="N551" i="14"/>
  <c r="N72" i="14"/>
  <c r="N57" i="14"/>
  <c r="N69" i="46" s="1"/>
  <c r="H587" i="14"/>
  <c r="H853" i="14"/>
  <c r="H58" i="14"/>
  <c r="H70" i="46" s="1"/>
  <c r="L38" i="14"/>
  <c r="L853" i="14"/>
  <c r="L968" i="14"/>
  <c r="L73" i="14"/>
  <c r="M231" i="37"/>
  <c r="M59" i="14"/>
  <c r="M71" i="46"/>
  <c r="H14" i="42"/>
  <c r="L31" i="24"/>
  <c r="M26" i="37"/>
  <c r="K34" i="37"/>
  <c r="K208" i="37"/>
  <c r="K225" i="37"/>
  <c r="J232" i="37"/>
  <c r="N232" i="37"/>
  <c r="N71" i="14"/>
  <c r="F439" i="14"/>
  <c r="N442" i="14"/>
  <c r="L1432" i="14"/>
  <c r="K870" i="14"/>
  <c r="K968" i="14"/>
  <c r="K1332" i="14"/>
  <c r="K1531" i="14"/>
  <c r="K598" i="14"/>
  <c r="K1118" i="14"/>
  <c r="K919" i="14"/>
  <c r="K592" i="14"/>
  <c r="K601" i="14"/>
  <c r="K1824" i="14"/>
  <c r="K1829" i="14"/>
  <c r="E1429" i="14"/>
  <c r="I90" i="22"/>
  <c r="I180" i="8"/>
  <c r="K14" i="42"/>
  <c r="U26" i="23"/>
  <c r="I26" i="23" s="1"/>
  <c r="N26" i="37"/>
  <c r="M34" i="8"/>
  <c r="M33" i="37"/>
  <c r="K35" i="37"/>
  <c r="L76" i="37"/>
  <c r="L230" i="37"/>
  <c r="L58" i="14"/>
  <c r="L70" i="46" s="1"/>
  <c r="K398" i="14"/>
  <c r="M516" i="14"/>
  <c r="M521" i="14"/>
  <c r="N438" i="14"/>
  <c r="L970" i="14"/>
  <c r="I87" i="22"/>
  <c r="I177" i="8"/>
  <c r="E76" i="37"/>
  <c r="H76" i="37"/>
  <c r="V26" i="23"/>
  <c r="J26" i="23" s="1"/>
  <c r="U7" i="23"/>
  <c r="I7" i="23" s="1"/>
  <c r="J27" i="37"/>
  <c r="K220" i="37"/>
  <c r="H73" i="14"/>
  <c r="F57" i="14"/>
  <c r="F69" i="46"/>
  <c r="J442" i="14"/>
  <c r="M870" i="14"/>
  <c r="M598" i="14"/>
  <c r="M592" i="14"/>
  <c r="M601" i="14"/>
  <c r="M595" i="14"/>
  <c r="M1824" i="14"/>
  <c r="M1829" i="14"/>
  <c r="L1071" i="14"/>
  <c r="H1285" i="14"/>
  <c r="N63" i="37"/>
  <c r="N50" i="46"/>
  <c r="H1824" i="14"/>
  <c r="H1829" i="14"/>
  <c r="H38" i="14"/>
  <c r="N443" i="14"/>
  <c r="N1531" i="14"/>
  <c r="M1530" i="14"/>
  <c r="M1166" i="14"/>
  <c r="I870" i="14"/>
  <c r="I919" i="14"/>
  <c r="I595" i="14"/>
  <c r="I596" i="14" s="1"/>
  <c r="I599" i="14" s="1"/>
  <c r="I602" i="14" s="1"/>
  <c r="I605" i="14" s="1"/>
  <c r="I1332" i="14"/>
  <c r="I968" i="14"/>
  <c r="I598" i="14"/>
  <c r="I1531" i="14"/>
  <c r="J443" i="14"/>
  <c r="F443" i="14"/>
  <c r="N919" i="14"/>
  <c r="M101" i="14"/>
  <c r="M12" i="14"/>
  <c r="G966" i="14"/>
  <c r="F968" i="14"/>
  <c r="E968" i="14"/>
  <c r="E516" i="14"/>
  <c r="E521" i="14" s="1"/>
  <c r="I516" i="14"/>
  <c r="J77" i="11"/>
  <c r="K77" i="11" s="1"/>
  <c r="J74" i="11"/>
  <c r="K74" i="11" s="1"/>
  <c r="J49" i="11"/>
  <c r="M1117" i="14"/>
  <c r="N870" i="14"/>
  <c r="M97" i="14"/>
  <c r="M85" i="37"/>
  <c r="E102" i="14"/>
  <c r="E56" i="14"/>
  <c r="I102" i="14"/>
  <c r="I15" i="14"/>
  <c r="I56" i="14"/>
  <c r="M102" i="14"/>
  <c r="M15" i="14"/>
  <c r="M56" i="14"/>
  <c r="M68" i="46" s="1"/>
  <c r="F102" i="14"/>
  <c r="F15" i="14"/>
  <c r="F56" i="14"/>
  <c r="F68" i="46" s="1"/>
  <c r="J102" i="14"/>
  <c r="J15" i="14"/>
  <c r="J56" i="14"/>
  <c r="J77" i="37" s="1"/>
  <c r="N102" i="14"/>
  <c r="N15" i="14"/>
  <c r="N52" i="37"/>
  <c r="N56" i="14"/>
  <c r="J59" i="11"/>
  <c r="K59" i="11" s="1"/>
  <c r="J69" i="11"/>
  <c r="K69" i="11" s="1"/>
  <c r="E31" i="25"/>
  <c r="H919" i="14"/>
  <c r="K6" i="4"/>
  <c r="G56" i="14"/>
  <c r="G68" i="46" s="1"/>
  <c r="G102" i="14"/>
  <c r="G15" i="14"/>
  <c r="K56" i="14"/>
  <c r="K77" i="37" s="1"/>
  <c r="K102" i="14"/>
  <c r="K15" i="14"/>
  <c r="M1827" i="14"/>
  <c r="M1680" i="14"/>
  <c r="M1481" i="14"/>
  <c r="M1068" i="14"/>
  <c r="L1067" i="14"/>
  <c r="K1827" i="14"/>
  <c r="K1680" i="14"/>
  <c r="K1628" i="14"/>
  <c r="K1579" i="14"/>
  <c r="K1530" i="14"/>
  <c r="K1481" i="14"/>
  <c r="N1118" i="14"/>
  <c r="F6" i="4"/>
  <c r="N6" i="4"/>
  <c r="H56" i="14"/>
  <c r="H68" i="46" s="1"/>
  <c r="H102" i="14"/>
  <c r="H15" i="14"/>
  <c r="L56" i="14"/>
  <c r="L68" i="46" s="1"/>
  <c r="L102" i="14"/>
  <c r="L15" i="14"/>
  <c r="M10" i="42"/>
  <c r="I12" i="24"/>
  <c r="E26" i="24"/>
  <c r="E28" i="24"/>
  <c r="E33" i="24"/>
  <c r="E31" i="24"/>
  <c r="N12" i="24"/>
  <c r="N19" i="24"/>
  <c r="N17" i="24"/>
  <c r="G18" i="29"/>
  <c r="R18" i="29"/>
  <c r="I353" i="14"/>
  <c r="I354" i="14"/>
  <c r="M353" i="14"/>
  <c r="M354" i="14"/>
  <c r="M137" i="14" s="1"/>
  <c r="F353" i="14"/>
  <c r="F354" i="14"/>
  <c r="F137" i="14"/>
  <c r="J353" i="14"/>
  <c r="J354" i="14"/>
  <c r="J137" i="14" s="1"/>
  <c r="N353" i="14"/>
  <c r="N354" i="14"/>
  <c r="G353" i="14"/>
  <c r="G354" i="14"/>
  <c r="K353" i="14"/>
  <c r="K354" i="14"/>
  <c r="H353" i="14"/>
  <c r="H354" i="14"/>
  <c r="H137" i="14"/>
  <c r="L353" i="14"/>
  <c r="L354" i="14"/>
  <c r="L137" i="14" s="1"/>
  <c r="F29" i="37"/>
  <c r="E29" i="37"/>
  <c r="K18" i="4"/>
  <c r="N18" i="4"/>
  <c r="N43" i="8" s="1"/>
  <c r="J18" i="4"/>
  <c r="J43" i="8" s="1"/>
  <c r="F18" i="4"/>
  <c r="F43" i="8" s="1"/>
  <c r="M18" i="4"/>
  <c r="M43" i="8" s="1"/>
  <c r="I18" i="4"/>
  <c r="I43" i="8" s="1"/>
  <c r="E18" i="4"/>
  <c r="E43" i="8" s="1"/>
  <c r="L18" i="4"/>
  <c r="L43" i="8" s="1"/>
  <c r="L25" i="10" s="1"/>
  <c r="H18" i="4"/>
  <c r="H43" i="8" s="1"/>
  <c r="E279" i="14"/>
  <c r="E139" i="8" s="1"/>
  <c r="M216" i="37"/>
  <c r="H48" i="14"/>
  <c r="H47" i="37"/>
  <c r="N20" i="46"/>
  <c r="N47" i="37"/>
  <c r="I54" i="8"/>
  <c r="M70" i="14"/>
  <c r="M79" i="14"/>
  <c r="M87" i="14" s="1"/>
  <c r="I48" i="14"/>
  <c r="I72" i="37"/>
  <c r="I848" i="14"/>
  <c r="I276" i="14"/>
  <c r="N48" i="14"/>
  <c r="E54" i="8"/>
  <c r="I216" i="37"/>
  <c r="E216" i="37"/>
  <c r="M54" i="8"/>
  <c r="I70" i="14"/>
  <c r="F48" i="14"/>
  <c r="E70" i="14"/>
  <c r="E119" i="14"/>
  <c r="E8" i="14"/>
  <c r="E20" i="46" s="1"/>
  <c r="J15" i="24"/>
  <c r="J19" i="24"/>
  <c r="J11" i="24"/>
  <c r="V5" i="23" s="1"/>
  <c r="J5" i="23" s="1"/>
  <c r="J145" i="14" s="1"/>
  <c r="M222" i="37"/>
  <c r="J17" i="24"/>
  <c r="E352" i="14"/>
  <c r="I372" i="14"/>
  <c r="M58" i="8"/>
  <c r="I58" i="8"/>
  <c r="I222" i="37"/>
  <c r="M14" i="24"/>
  <c r="G15" i="24"/>
  <c r="M16" i="24"/>
  <c r="G17" i="24"/>
  <c r="M18" i="24"/>
  <c r="G19" i="24"/>
  <c r="M20" i="24"/>
  <c r="N27" i="46"/>
  <c r="G12" i="24"/>
  <c r="S10" i="23" s="1"/>
  <c r="G10" i="23" s="1"/>
  <c r="G61" i="14" s="1"/>
  <c r="I352" i="14"/>
  <c r="E58" i="8"/>
  <c r="E372" i="14"/>
  <c r="M372" i="14"/>
  <c r="J14" i="24"/>
  <c r="N14" i="24"/>
  <c r="J16" i="24"/>
  <c r="N16" i="24"/>
  <c r="J18" i="24"/>
  <c r="N18" i="24"/>
  <c r="J20" i="24"/>
  <c r="N20" i="24"/>
  <c r="G11" i="24"/>
  <c r="S5" i="23" s="1"/>
  <c r="G5" i="23" s="1"/>
  <c r="G145" i="14" s="1"/>
  <c r="M11" i="24"/>
  <c r="Y5" i="23" s="1"/>
  <c r="M5" i="23" s="1"/>
  <c r="M145" i="14" s="1"/>
  <c r="E222" i="37"/>
  <c r="G14" i="24"/>
  <c r="M15" i="24"/>
  <c r="G16" i="24"/>
  <c r="M17" i="24"/>
  <c r="G18" i="24"/>
  <c r="M19" i="24"/>
  <c r="G20" i="24"/>
  <c r="M12" i="24"/>
  <c r="J12" i="24"/>
  <c r="V10" i="23" s="1"/>
  <c r="J10" i="23" s="1"/>
  <c r="J61" i="14" s="1"/>
  <c r="M352" i="14"/>
  <c r="J45" i="11"/>
  <c r="J48" i="11"/>
  <c r="J29" i="11"/>
  <c r="J31" i="11"/>
  <c r="J71" i="11"/>
  <c r="K71" i="11" s="1"/>
  <c r="C80" i="10"/>
  <c r="C83" i="10"/>
  <c r="J47" i="11"/>
  <c r="L28" i="7"/>
  <c r="N28" i="7"/>
  <c r="J28" i="7"/>
  <c r="M28" i="7"/>
  <c r="J32" i="11"/>
  <c r="J73" i="11"/>
  <c r="K73" i="11" s="1"/>
  <c r="J63" i="11"/>
  <c r="K63" i="11" s="1"/>
  <c r="J70" i="11"/>
  <c r="K70" i="11"/>
  <c r="J44" i="11"/>
  <c r="J176" i="14"/>
  <c r="J25" i="8"/>
  <c r="Q7" i="23"/>
  <c r="E7" i="23" s="1"/>
  <c r="L43" i="10"/>
  <c r="L51" i="10" s="1"/>
  <c r="G43" i="10"/>
  <c r="M43" i="10"/>
  <c r="M51" i="10"/>
  <c r="J43" i="10"/>
  <c r="F43" i="10"/>
  <c r="H43" i="10"/>
  <c r="N43" i="10"/>
  <c r="N51" i="10" s="1"/>
  <c r="I43" i="10"/>
  <c r="E43" i="10"/>
  <c r="K43" i="10"/>
  <c r="K51" i="10" s="1"/>
  <c r="A13" i="46"/>
  <c r="A9" i="46"/>
  <c r="A5" i="46"/>
  <c r="A12" i="46"/>
  <c r="A8" i="46"/>
  <c r="A11" i="46"/>
  <c r="A7" i="46"/>
  <c r="A14" i="46"/>
  <c r="A10" i="46"/>
  <c r="A6" i="46"/>
  <c r="F343" i="8"/>
  <c r="L5" i="4"/>
  <c r="H5" i="4"/>
  <c r="K5" i="4"/>
  <c r="N5" i="4"/>
  <c r="J5" i="4"/>
  <c r="F5" i="4"/>
  <c r="M5" i="4"/>
  <c r="I5" i="4"/>
  <c r="E5" i="4"/>
  <c r="Q26" i="23"/>
  <c r="E26" i="23" s="1"/>
  <c r="N4" i="4"/>
  <c r="J4" i="4"/>
  <c r="F4" i="4"/>
  <c r="M4" i="4"/>
  <c r="I4" i="4"/>
  <c r="E4" i="4"/>
  <c r="L4" i="4"/>
  <c r="H4" i="4"/>
  <c r="K4" i="4"/>
  <c r="G341" i="8"/>
  <c r="L341" i="8"/>
  <c r="I342" i="8"/>
  <c r="G344" i="8"/>
  <c r="N344" i="8"/>
  <c r="F265" i="22"/>
  <c r="N345" i="8"/>
  <c r="J345" i="8"/>
  <c r="W7" i="23"/>
  <c r="K7" i="23" s="1"/>
  <c r="J341" i="8"/>
  <c r="E343" i="8"/>
  <c r="M343" i="8"/>
  <c r="F268" i="22"/>
  <c r="F266" i="22"/>
  <c r="M266" i="22"/>
  <c r="H219" i="8"/>
  <c r="N181" i="8"/>
  <c r="J598" i="14"/>
  <c r="E870" i="14"/>
  <c r="M1332" i="14"/>
  <c r="M968" i="14"/>
  <c r="M919" i="14"/>
  <c r="L1531" i="14"/>
  <c r="L1166" i="14"/>
  <c r="L1117" i="14"/>
  <c r="N968" i="14"/>
  <c r="F37" i="24"/>
  <c r="J968" i="14"/>
  <c r="H601" i="14"/>
  <c r="H592" i="14"/>
  <c r="H1016" i="14"/>
  <c r="H968" i="14"/>
  <c r="G598" i="14"/>
  <c r="G967" i="14"/>
  <c r="H6" i="4"/>
  <c r="L6" i="4"/>
  <c r="M17" i="10"/>
  <c r="E219" i="8"/>
  <c r="M1778" i="14"/>
  <c r="M1531" i="14"/>
  <c r="M1380" i="14"/>
  <c r="M1331" i="14"/>
  <c r="M1282" i="14"/>
  <c r="M1215" i="14"/>
  <c r="M1118" i="14"/>
  <c r="M967" i="14"/>
  <c r="M918" i="14"/>
  <c r="J595" i="14"/>
  <c r="J596" i="14" s="1"/>
  <c r="H598" i="14"/>
  <c r="H556" i="14"/>
  <c r="H170" i="8"/>
  <c r="H967" i="14"/>
  <c r="G595" i="14"/>
  <c r="E556" i="14"/>
  <c r="G11" i="31"/>
  <c r="E869" i="14"/>
  <c r="B25" i="34"/>
  <c r="C25" i="34" s="1"/>
  <c r="E6" i="4"/>
  <c r="I6" i="4"/>
  <c r="E851" i="14"/>
  <c r="E403" i="14"/>
  <c r="B21" i="34"/>
  <c r="C21" i="34" s="1"/>
  <c r="F622" i="14"/>
  <c r="F624" i="14" s="1"/>
  <c r="F631" i="14" s="1"/>
  <c r="J233" i="37"/>
  <c r="J622" i="14"/>
  <c r="J624" i="14" s="1"/>
  <c r="N622" i="14"/>
  <c r="N624" i="14" s="1"/>
  <c r="M219" i="8"/>
  <c r="G219" i="8"/>
  <c r="E181" i="8"/>
  <c r="E917" i="14"/>
  <c r="B24" i="34"/>
  <c r="C24" i="34" s="1"/>
  <c r="M12" i="42"/>
  <c r="F26" i="24"/>
  <c r="F29" i="24"/>
  <c r="F28" i="24"/>
  <c r="F30" i="24"/>
  <c r="F31" i="24"/>
  <c r="F33" i="24"/>
  <c r="H12" i="42"/>
  <c r="G30" i="24"/>
  <c r="G32" i="24"/>
  <c r="I12" i="42"/>
  <c r="F25" i="24"/>
  <c r="G26" i="24"/>
  <c r="L26" i="24"/>
  <c r="F27" i="24"/>
  <c r="G28" i="24"/>
  <c r="N29" i="24"/>
  <c r="N31" i="24"/>
  <c r="N32" i="24"/>
  <c r="I33" i="24"/>
  <c r="I29" i="24"/>
  <c r="J58" i="11"/>
  <c r="K58" i="11" s="1"/>
  <c r="J57" i="11"/>
  <c r="K57" i="11" s="1"/>
  <c r="J33" i="11"/>
  <c r="J76" i="11"/>
  <c r="K76" i="11" s="1"/>
  <c r="J72" i="11"/>
  <c r="K72" i="11" s="1"/>
  <c r="J60" i="11"/>
  <c r="K60" i="11" s="1"/>
  <c r="J30" i="11"/>
  <c r="J68" i="11"/>
  <c r="K68" i="11" s="1"/>
  <c r="M60" i="37"/>
  <c r="E26" i="46"/>
  <c r="F1529" i="14"/>
  <c r="F1826" i="14"/>
  <c r="F1330" i="14"/>
  <c r="J628" i="14"/>
  <c r="J1529" i="14"/>
  <c r="F1116" i="14"/>
  <c r="F14" i="14"/>
  <c r="N233" i="37"/>
  <c r="J74" i="14"/>
  <c r="I1728" i="14"/>
  <c r="I1679" i="14"/>
  <c r="I1480" i="14"/>
  <c r="I1281" i="14"/>
  <c r="I1067" i="14"/>
  <c r="F1728" i="14"/>
  <c r="F1679" i="14"/>
  <c r="F1480" i="14"/>
  <c r="F1281" i="14"/>
  <c r="F1067" i="14"/>
  <c r="N628" i="14"/>
  <c r="N1777" i="14"/>
  <c r="N36" i="14"/>
  <c r="J36" i="14"/>
  <c r="F68" i="8"/>
  <c r="J68" i="8"/>
  <c r="N68" i="8"/>
  <c r="M209" i="8"/>
  <c r="I74" i="14"/>
  <c r="I1777" i="14"/>
  <c r="I1627" i="14"/>
  <c r="I1428" i="14"/>
  <c r="I1214" i="14"/>
  <c r="F1777" i="14"/>
  <c r="F1627" i="14"/>
  <c r="F1428" i="14"/>
  <c r="F1214" i="14"/>
  <c r="J14" i="14"/>
  <c r="N14" i="14"/>
  <c r="G50" i="37"/>
  <c r="F74" i="14"/>
  <c r="F233" i="37"/>
  <c r="K631" i="14"/>
  <c r="K119" i="22"/>
  <c r="I1826" i="14"/>
  <c r="I1578" i="14"/>
  <c r="I1379" i="14"/>
  <c r="I1165" i="14"/>
  <c r="F1578" i="14"/>
  <c r="F1379" i="14"/>
  <c r="F1165" i="14"/>
  <c r="M1480" i="14"/>
  <c r="M1428" i="14"/>
  <c r="I1015" i="14"/>
  <c r="M1728" i="14"/>
  <c r="M1679" i="14"/>
  <c r="M1067" i="14"/>
  <c r="M1015" i="14"/>
  <c r="I966" i="14"/>
  <c r="M1777" i="14"/>
  <c r="M1627" i="14"/>
  <c r="E12" i="24"/>
  <c r="Q10" i="23" s="1"/>
  <c r="E10" i="23" s="1"/>
  <c r="E61" i="14" s="1"/>
  <c r="L12" i="24"/>
  <c r="E28" i="37"/>
  <c r="H27" i="37"/>
  <c r="I27" i="37"/>
  <c r="E26" i="37"/>
  <c r="M52" i="24"/>
  <c r="K53" i="24"/>
  <c r="M54" i="24"/>
  <c r="K55" i="24"/>
  <c r="M56" i="24"/>
  <c r="K57" i="24"/>
  <c r="M58" i="24"/>
  <c r="K59" i="24"/>
  <c r="M50" i="24"/>
  <c r="Y22" i="23"/>
  <c r="M22" i="23" s="1"/>
  <c r="K50" i="24"/>
  <c r="E51" i="37"/>
  <c r="K52" i="24"/>
  <c r="M53" i="24"/>
  <c r="K54" i="24"/>
  <c r="M55" i="24"/>
  <c r="K56" i="24"/>
  <c r="M57" i="24"/>
  <c r="K58" i="24"/>
  <c r="M59" i="24"/>
  <c r="K72" i="24"/>
  <c r="K98" i="24"/>
  <c r="G96" i="24"/>
  <c r="F693" i="14"/>
  <c r="F695" i="14" s="1"/>
  <c r="F713" i="14"/>
  <c r="F715" i="14" s="1"/>
  <c r="I37" i="24"/>
  <c r="X7" i="23"/>
  <c r="L7" i="23" s="1"/>
  <c r="Y26" i="23"/>
  <c r="M26" i="23" s="1"/>
  <c r="T7" i="23"/>
  <c r="H7" i="23" s="1"/>
  <c r="Y7" i="23"/>
  <c r="M7" i="23" s="1"/>
  <c r="M22" i="42"/>
  <c r="H22" i="42"/>
  <c r="K22" i="42"/>
  <c r="L22" i="42"/>
  <c r="E22" i="42"/>
  <c r="J22" i="42"/>
  <c r="K77" i="24"/>
  <c r="W21" i="23" s="1"/>
  <c r="K21" i="23" s="1"/>
  <c r="K20" i="42"/>
  <c r="I77" i="24"/>
  <c r="U21" i="23"/>
  <c r="I21" i="23" s="1"/>
  <c r="E16" i="42"/>
  <c r="I16" i="42"/>
  <c r="N50" i="24"/>
  <c r="Z22" i="23"/>
  <c r="N22" i="23" s="1"/>
  <c r="L16" i="42"/>
  <c r="M16" i="42"/>
  <c r="J16" i="42"/>
  <c r="L14" i="42"/>
  <c r="E37" i="24"/>
  <c r="I14" i="42"/>
  <c r="E14" i="42"/>
  <c r="J14" i="42"/>
  <c r="W10" i="23"/>
  <c r="K10" i="23" s="1"/>
  <c r="K61" i="14" s="1"/>
  <c r="K73" i="46" s="1"/>
  <c r="I26" i="24"/>
  <c r="I30" i="24"/>
  <c r="L25" i="24"/>
  <c r="I27" i="24"/>
  <c r="L28" i="24"/>
  <c r="L29" i="24"/>
  <c r="I31" i="24"/>
  <c r="L32" i="24"/>
  <c r="L33" i="24"/>
  <c r="I28" i="24"/>
  <c r="I32" i="24"/>
  <c r="E12" i="42"/>
  <c r="I10" i="42"/>
  <c r="J20" i="42"/>
  <c r="M20" i="42"/>
  <c r="K12" i="42"/>
  <c r="G25" i="24"/>
  <c r="K25" i="24"/>
  <c r="G27" i="24"/>
  <c r="K27" i="24"/>
  <c r="G29" i="24"/>
  <c r="K29" i="24"/>
  <c r="G31" i="24"/>
  <c r="K31" i="24"/>
  <c r="G33" i="24"/>
  <c r="K33" i="24"/>
  <c r="U5" i="23"/>
  <c r="I5" i="23" s="1"/>
  <c r="I145" i="14" s="1"/>
  <c r="U10" i="23"/>
  <c r="I10" i="23" s="1"/>
  <c r="I61" i="14" s="1"/>
  <c r="I73" i="46" s="1"/>
  <c r="M37" i="24"/>
  <c r="G37" i="24"/>
  <c r="V21" i="23"/>
  <c r="J21" i="23" s="1"/>
  <c r="Q22" i="23"/>
  <c r="E22" i="23" s="1"/>
  <c r="E1066" i="14" s="1"/>
  <c r="Y12" i="23"/>
  <c r="M12" i="23" s="1"/>
  <c r="M40" i="14" s="1"/>
  <c r="M64" i="37" s="1"/>
  <c r="R27" i="23"/>
  <c r="F27" i="23" s="1"/>
  <c r="X27" i="23"/>
  <c r="L27" i="23" s="1"/>
  <c r="Z12" i="23"/>
  <c r="N12" i="23" s="1"/>
  <c r="N40" i="14" s="1"/>
  <c r="N64" i="37" s="1"/>
  <c r="E10" i="42"/>
  <c r="J10" i="42"/>
  <c r="K10" i="42"/>
  <c r="E20" i="42"/>
  <c r="H10" i="42"/>
  <c r="J18" i="42"/>
  <c r="L20" i="42"/>
  <c r="L24" i="42"/>
  <c r="T26" i="23"/>
  <c r="H26" i="23" s="1"/>
  <c r="X26" i="23"/>
  <c r="L26" i="23" s="1"/>
  <c r="R7" i="23"/>
  <c r="F7" i="23" s="1"/>
  <c r="V7" i="23"/>
  <c r="J7" i="23" s="1"/>
  <c r="Z7" i="23"/>
  <c r="N7" i="23" s="1"/>
  <c r="W22" i="23"/>
  <c r="K22" i="23" s="1"/>
  <c r="L37" i="24"/>
  <c r="Y27" i="23"/>
  <c r="M27" i="23" s="1"/>
  <c r="M47" i="14" s="1"/>
  <c r="M71" i="37" s="1"/>
  <c r="W12" i="23"/>
  <c r="K12" i="23" s="1"/>
  <c r="K40" i="14" s="1"/>
  <c r="Z27" i="23"/>
  <c r="N27" i="23" s="1"/>
  <c r="W11" i="23"/>
  <c r="K11" i="23" s="1"/>
  <c r="K104" i="14" s="1"/>
  <c r="K89" i="37" s="1"/>
  <c r="S21" i="23"/>
  <c r="G21" i="23" s="1"/>
  <c r="X5" i="23"/>
  <c r="L5" i="23" s="1"/>
  <c r="L145" i="14" s="1"/>
  <c r="G48" i="37"/>
  <c r="E55" i="8"/>
  <c r="E293" i="14"/>
  <c r="E217" i="37"/>
  <c r="M29" i="14"/>
  <c r="M10" i="14"/>
  <c r="M22" i="46" s="1"/>
  <c r="I29" i="14"/>
  <c r="I10" i="14" s="1"/>
  <c r="E29" i="14"/>
  <c r="E10" i="14"/>
  <c r="M8" i="14"/>
  <c r="M20" i="46"/>
  <c r="I8" i="14"/>
  <c r="I274" i="14"/>
  <c r="F397" i="14"/>
  <c r="M54" i="14"/>
  <c r="M66" i="46" s="1"/>
  <c r="G397" i="14"/>
  <c r="G401" i="14" s="1"/>
  <c r="L94" i="14"/>
  <c r="L103" i="14"/>
  <c r="L88" i="37" s="1"/>
  <c r="J95" i="14"/>
  <c r="J96" i="14"/>
  <c r="J98" i="14"/>
  <c r="J103" i="14"/>
  <c r="J88" i="37" s="1"/>
  <c r="J97" i="14"/>
  <c r="J85" i="37" s="1"/>
  <c r="J51" i="14"/>
  <c r="J63" i="46" s="1"/>
  <c r="J171" i="14"/>
  <c r="L225" i="37"/>
  <c r="N93" i="24"/>
  <c r="N54" i="14"/>
  <c r="N66" i="46"/>
  <c r="I54" i="14"/>
  <c r="I66" i="46"/>
  <c r="G52" i="14"/>
  <c r="G64" i="46" s="1"/>
  <c r="E51" i="14"/>
  <c r="E63" i="46" s="1"/>
  <c r="L851" i="14"/>
  <c r="L403" i="14" s="1"/>
  <c r="M399" i="14"/>
  <c r="J109" i="14"/>
  <c r="J53" i="14"/>
  <c r="F116" i="14"/>
  <c r="F94" i="14"/>
  <c r="H397" i="14"/>
  <c r="E399" i="14"/>
  <c r="Z17" i="29" s="1"/>
  <c r="E397" i="14"/>
  <c r="I397" i="14"/>
  <c r="M397" i="14"/>
  <c r="L67" i="14"/>
  <c r="L398" i="14"/>
  <c r="H399" i="14"/>
  <c r="N55" i="14"/>
  <c r="N67" i="46"/>
  <c r="L397" i="14"/>
  <c r="K64" i="24"/>
  <c r="G91" i="24"/>
  <c r="G98" i="24"/>
  <c r="N68" i="24"/>
  <c r="L71" i="24"/>
  <c r="J93" i="24"/>
  <c r="L72" i="24"/>
  <c r="J96" i="24"/>
  <c r="N64" i="24"/>
  <c r="N72" i="24"/>
  <c r="G92" i="24"/>
  <c r="G94" i="24"/>
  <c r="G97" i="24"/>
  <c r="N65" i="24"/>
  <c r="N70" i="24"/>
  <c r="N67" i="24"/>
  <c r="N69" i="24"/>
  <c r="K71" i="24"/>
  <c r="G90" i="24"/>
  <c r="G93" i="24"/>
  <c r="G95" i="24"/>
  <c r="E53" i="14"/>
  <c r="E65" i="46"/>
  <c r="G61" i="8"/>
  <c r="K90" i="24"/>
  <c r="H97" i="24"/>
  <c r="G64" i="24"/>
  <c r="G68" i="24"/>
  <c r="G72" i="24"/>
  <c r="N91" i="24"/>
  <c r="F96" i="24"/>
  <c r="N96" i="24"/>
  <c r="G66" i="24"/>
  <c r="F61" i="8"/>
  <c r="F226" i="37"/>
  <c r="G70" i="24"/>
  <c r="L96" i="24"/>
  <c r="N397" i="14"/>
  <c r="J94" i="14"/>
  <c r="I103" i="14"/>
  <c r="E103" i="14"/>
  <c r="M98" i="14"/>
  <c r="M87" i="37"/>
  <c r="G97" i="14"/>
  <c r="G85" i="37" s="1"/>
  <c r="E98" i="14"/>
  <c r="E87" i="37" s="1"/>
  <c r="N103" i="14"/>
  <c r="M94" i="14"/>
  <c r="M55" i="14"/>
  <c r="M67" i="46" s="1"/>
  <c r="L53" i="14"/>
  <c r="L65" i="46" s="1"/>
  <c r="G51" i="14"/>
  <c r="G63" i="46" s="1"/>
  <c r="L20" i="14"/>
  <c r="L32" i="46"/>
  <c r="L97" i="14"/>
  <c r="L85" i="37"/>
  <c r="G103" i="14"/>
  <c r="G88" i="37" s="1"/>
  <c r="G96" i="14"/>
  <c r="L52" i="14"/>
  <c r="L64" i="46" s="1"/>
  <c r="E55" i="14"/>
  <c r="E67" i="46" s="1"/>
  <c r="L96" i="14"/>
  <c r="G95" i="14"/>
  <c r="G171" i="14"/>
  <c r="L171" i="14"/>
  <c r="L55" i="14"/>
  <c r="L67" i="46" s="1"/>
  <c r="L51" i="14"/>
  <c r="L63" i="46" s="1"/>
  <c r="L95" i="14"/>
  <c r="G98" i="14"/>
  <c r="F98" i="14"/>
  <c r="F87" i="37" s="1"/>
  <c r="I697" i="14"/>
  <c r="I699" i="14" s="1"/>
  <c r="J70" i="24"/>
  <c r="I226" i="37"/>
  <c r="E226" i="37"/>
  <c r="F357" i="14"/>
  <c r="I53" i="14"/>
  <c r="I65" i="46"/>
  <c r="I61" i="8"/>
  <c r="H357" i="14"/>
  <c r="J64" i="24"/>
  <c r="J66" i="24"/>
  <c r="J68" i="24"/>
  <c r="J72" i="24"/>
  <c r="J701" i="14"/>
  <c r="J703" i="14" s="1"/>
  <c r="E61" i="8"/>
  <c r="F64" i="24"/>
  <c r="K69" i="24"/>
  <c r="K70" i="24"/>
  <c r="F72" i="24"/>
  <c r="H95" i="24"/>
  <c r="I94" i="14"/>
  <c r="E94" i="14"/>
  <c r="M61" i="8"/>
  <c r="E67" i="24"/>
  <c r="K67" i="24"/>
  <c r="E68" i="24"/>
  <c r="K68" i="24"/>
  <c r="F69" i="24"/>
  <c r="F70" i="24"/>
  <c r="L70" i="24"/>
  <c r="N90" i="24"/>
  <c r="K92" i="24"/>
  <c r="K94" i="24"/>
  <c r="K95" i="24"/>
  <c r="F97" i="24"/>
  <c r="K97" i="24"/>
  <c r="N98" i="24"/>
  <c r="J226" i="37"/>
  <c r="N226" i="37"/>
  <c r="F53" i="14"/>
  <c r="F65" i="46"/>
  <c r="M19" i="14"/>
  <c r="M31" i="46"/>
  <c r="E19" i="14"/>
  <c r="E31" i="46"/>
  <c r="J397" i="14"/>
  <c r="F71" i="24"/>
  <c r="H91" i="24"/>
  <c r="M226" i="37"/>
  <c r="E65" i="24"/>
  <c r="K65" i="24"/>
  <c r="E66" i="24"/>
  <c r="K66" i="24"/>
  <c r="F67" i="24"/>
  <c r="F68" i="24"/>
  <c r="L68" i="24"/>
  <c r="F90" i="24"/>
  <c r="F91" i="24"/>
  <c r="K91" i="24"/>
  <c r="N92" i="24"/>
  <c r="K93" i="24"/>
  <c r="N94" i="24"/>
  <c r="N95" i="24"/>
  <c r="K96" i="24"/>
  <c r="N97" i="24"/>
  <c r="G697" i="14"/>
  <c r="G699" i="14" s="1"/>
  <c r="M53" i="14"/>
  <c r="M65" i="46" s="1"/>
  <c r="N94" i="14"/>
  <c r="H92" i="24"/>
  <c r="L94" i="24"/>
  <c r="H96" i="24"/>
  <c r="H98" i="24"/>
  <c r="G693" i="14"/>
  <c r="G695" i="14" s="1"/>
  <c r="G709" i="14"/>
  <c r="G711" i="14" s="1"/>
  <c r="H93" i="24"/>
  <c r="G705" i="14"/>
  <c r="G707" i="14" s="1"/>
  <c r="U13" i="23"/>
  <c r="I13" i="23" s="1"/>
  <c r="T13" i="23"/>
  <c r="H13" i="23" s="1"/>
  <c r="H90" i="24"/>
  <c r="H94" i="24"/>
  <c r="G205" i="37"/>
  <c r="K205" i="37"/>
  <c r="N27" i="37"/>
  <c r="E27" i="37"/>
  <c r="G13" i="10"/>
  <c r="G28" i="37"/>
  <c r="K13" i="10"/>
  <c r="K28" i="37"/>
  <c r="M28" i="37"/>
  <c r="G17" i="10"/>
  <c r="G27" i="37"/>
  <c r="P18" i="4"/>
  <c r="L27" i="37"/>
  <c r="K27" i="37"/>
  <c r="L24" i="32"/>
  <c r="K29" i="37"/>
  <c r="G41" i="8"/>
  <c r="H29" i="37"/>
  <c r="K43" i="8"/>
  <c r="L556" i="14"/>
  <c r="L170" i="8" s="1"/>
  <c r="L1680" i="14"/>
  <c r="L1579" i="14"/>
  <c r="L1530" i="14"/>
  <c r="L1429" i="14"/>
  <c r="L1380" i="14"/>
  <c r="L918" i="14"/>
  <c r="K1729" i="14"/>
  <c r="L1827" i="14"/>
  <c r="L1729" i="14"/>
  <c r="N1166" i="14"/>
  <c r="K1429" i="14"/>
  <c r="K1380" i="14"/>
  <c r="K1331" i="14"/>
  <c r="K1282" i="14"/>
  <c r="K1215" i="14"/>
  <c r="K1166" i="14"/>
  <c r="K1117" i="14"/>
  <c r="K1068" i="14"/>
  <c r="K1016" i="14"/>
  <c r="K967" i="14"/>
  <c r="K918" i="14"/>
  <c r="N918" i="14"/>
  <c r="K1214" i="14"/>
  <c r="G1015" i="14"/>
  <c r="F966" i="14"/>
  <c r="M1281" i="14"/>
  <c r="K1777" i="14"/>
  <c r="F1015" i="14"/>
  <c r="M445" i="14"/>
  <c r="M450" i="14"/>
  <c r="N77" i="24"/>
  <c r="J76" i="24"/>
  <c r="G65" i="24"/>
  <c r="G67" i="24"/>
  <c r="G69" i="24"/>
  <c r="G71" i="24"/>
  <c r="H65" i="24"/>
  <c r="H67" i="24"/>
  <c r="H69" i="24"/>
  <c r="H71" i="24"/>
  <c r="I90" i="24"/>
  <c r="I96" i="24"/>
  <c r="I97" i="24"/>
  <c r="H64" i="24"/>
  <c r="H66" i="24"/>
  <c r="H68" i="24"/>
  <c r="H70" i="24"/>
  <c r="H72" i="24"/>
  <c r="I91" i="24"/>
  <c r="I98" i="24"/>
  <c r="M96" i="14"/>
  <c r="M83" i="37" s="1"/>
  <c r="L98" i="14"/>
  <c r="L87" i="37" s="1"/>
  <c r="K97" i="14"/>
  <c r="K85" i="37" s="1"/>
  <c r="I95" i="14"/>
  <c r="F97" i="14"/>
  <c r="F85" i="37"/>
  <c r="E97" i="14"/>
  <c r="E85" i="37"/>
  <c r="N95" i="14"/>
  <c r="M103" i="14"/>
  <c r="F95" i="14"/>
  <c r="E96" i="14"/>
  <c r="F324" i="14"/>
  <c r="F325" i="14"/>
  <c r="I49" i="37"/>
  <c r="E47" i="37"/>
  <c r="J92" i="24"/>
  <c r="J94" i="24"/>
  <c r="J95" i="24"/>
  <c r="L48" i="37"/>
  <c r="F92" i="24"/>
  <c r="F94" i="24"/>
  <c r="J98" i="24"/>
  <c r="J72" i="37"/>
  <c r="J8" i="14"/>
  <c r="J20" i="46"/>
  <c r="M29" i="46"/>
  <c r="M51" i="37"/>
  <c r="L50" i="24"/>
  <c r="I17" i="14"/>
  <c r="J51" i="24"/>
  <c r="M100" i="14"/>
  <c r="G50" i="24"/>
  <c r="L92" i="24"/>
  <c r="I94" i="24"/>
  <c r="I95" i="24"/>
  <c r="G689" i="14"/>
  <c r="G691" i="14" s="1"/>
  <c r="G717" i="14"/>
  <c r="G719" i="14" s="1"/>
  <c r="F12" i="24"/>
  <c r="R10" i="23"/>
  <c r="F10" i="23" s="1"/>
  <c r="F61" i="14" s="1"/>
  <c r="L90" i="24"/>
  <c r="I92" i="24"/>
  <c r="I93" i="24"/>
  <c r="L98" i="24"/>
  <c r="F11" i="24"/>
  <c r="R5" i="23" s="1"/>
  <c r="F5" i="23" s="1"/>
  <c r="F145" i="14" s="1"/>
  <c r="G701" i="14"/>
  <c r="G703" i="14" s="1"/>
  <c r="G713" i="14"/>
  <c r="G715" i="14" s="1"/>
  <c r="I269" i="22"/>
  <c r="I345" i="8"/>
  <c r="N608" i="14"/>
  <c r="N241" i="22" s="1"/>
  <c r="N160" i="14"/>
  <c r="N142" i="14"/>
  <c r="I219" i="8"/>
  <c r="J219" i="8"/>
  <c r="F269" i="22"/>
  <c r="K345" i="8"/>
  <c r="L679" i="14"/>
  <c r="L682" i="14" s="1"/>
  <c r="L685" i="14" s="1"/>
  <c r="J76" i="37"/>
  <c r="N76" i="37"/>
  <c r="J215" i="8"/>
  <c r="L216" i="8"/>
  <c r="F217" i="8"/>
  <c r="J217" i="8"/>
  <c r="N217" i="8"/>
  <c r="M218" i="8"/>
  <c r="E341" i="8"/>
  <c r="K343" i="8"/>
  <c r="N269" i="22"/>
  <c r="L128" i="22"/>
  <c r="L219" i="8" s="1"/>
  <c r="L218" i="8"/>
  <c r="F219" i="8"/>
  <c r="E91" i="22"/>
  <c r="G215" i="8"/>
  <c r="K215" i="8"/>
  <c r="I216" i="8"/>
  <c r="I218" i="8"/>
  <c r="F345" i="8"/>
  <c r="H267" i="22"/>
  <c r="H265" i="22"/>
  <c r="L267" i="22"/>
  <c r="L345" i="8" s="1"/>
  <c r="N219" i="8"/>
  <c r="N91" i="22"/>
  <c r="K342" i="8"/>
  <c r="G267" i="22"/>
  <c r="G345" i="8"/>
  <c r="G343" i="8"/>
  <c r="K129" i="22"/>
  <c r="N709" i="14"/>
  <c r="N711" i="14" s="1"/>
  <c r="N713" i="14"/>
  <c r="N715" i="14" s="1"/>
  <c r="K269" i="22"/>
  <c r="F55" i="14"/>
  <c r="M632" i="14"/>
  <c r="M635" i="14" s="1"/>
  <c r="M634" i="14"/>
  <c r="M20" i="14"/>
  <c r="M32" i="46" s="1"/>
  <c r="L19" i="14"/>
  <c r="L31" i="46" s="1"/>
  <c r="N274" i="14"/>
  <c r="N41" i="37" s="1"/>
  <c r="E274" i="14"/>
  <c r="E41" i="37" s="1"/>
  <c r="E269" i="22"/>
  <c r="M269" i="22"/>
  <c r="M345" i="8"/>
  <c r="E608" i="14"/>
  <c r="E142" i="14"/>
  <c r="E160" i="14"/>
  <c r="E345" i="8"/>
  <c r="M129" i="22"/>
  <c r="G129" i="22"/>
  <c r="L342" i="8"/>
  <c r="L344" i="8"/>
  <c r="J269" i="22"/>
  <c r="H129" i="22"/>
  <c r="E342" i="8"/>
  <c r="E344" i="8"/>
  <c r="I344" i="8"/>
  <c r="N129" i="22"/>
  <c r="I129" i="22"/>
  <c r="F129" i="22"/>
  <c r="J342" i="8"/>
  <c r="J344" i="8"/>
  <c r="J129" i="22"/>
  <c r="E129" i="22"/>
  <c r="E21" i="14"/>
  <c r="E33" i="46" s="1"/>
  <c r="F274" i="14"/>
  <c r="M274" i="14"/>
  <c r="M41" i="37"/>
  <c r="E20" i="14"/>
  <c r="M21" i="14"/>
  <c r="K557" i="14"/>
  <c r="K80" i="22"/>
  <c r="L557" i="14"/>
  <c r="I80" i="22"/>
  <c r="I557" i="14"/>
  <c r="M80" i="22"/>
  <c r="M557" i="14"/>
  <c r="M1429" i="14"/>
  <c r="M1016" i="14"/>
  <c r="L1778" i="14"/>
  <c r="L1628" i="14"/>
  <c r="L1481" i="14"/>
  <c r="L1331" i="14"/>
  <c r="L1282" i="14"/>
  <c r="L1068" i="14"/>
  <c r="K1778" i="14"/>
  <c r="I869" i="14"/>
  <c r="G556" i="14"/>
  <c r="F556" i="14"/>
  <c r="E557" i="14"/>
  <c r="L1215" i="14"/>
  <c r="L1016" i="14"/>
  <c r="L967" i="14"/>
  <c r="I967" i="14"/>
  <c r="H918" i="14"/>
  <c r="G119" i="22"/>
  <c r="M1578" i="14"/>
  <c r="M1379" i="14"/>
  <c r="M1165" i="14"/>
  <c r="M966" i="14"/>
  <c r="K1826" i="14"/>
  <c r="G868" i="14"/>
  <c r="F868" i="14"/>
  <c r="E868" i="14"/>
  <c r="M1529" i="14"/>
  <c r="M1330" i="14"/>
  <c r="M1116" i="14"/>
  <c r="M917" i="14"/>
  <c r="K1627" i="14"/>
  <c r="I868" i="14"/>
  <c r="I445" i="14"/>
  <c r="F76" i="24"/>
  <c r="R12" i="23" s="1"/>
  <c r="F12" i="23" s="1"/>
  <c r="F40" i="14" s="1"/>
  <c r="N401" i="14"/>
  <c r="N43" i="37" s="1"/>
  <c r="I401" i="14"/>
  <c r="I43" i="37" s="1"/>
  <c r="M401" i="14"/>
  <c r="M43" i="37" s="1"/>
  <c r="I19" i="14"/>
  <c r="F19" i="14"/>
  <c r="N19" i="14"/>
  <c r="I96" i="14"/>
  <c r="N96" i="14"/>
  <c r="L21" i="14"/>
  <c r="I21" i="14"/>
  <c r="I33" i="46"/>
  <c r="F21" i="14"/>
  <c r="F33" i="46"/>
  <c r="N21" i="14"/>
  <c r="N33" i="46"/>
  <c r="I98" i="14"/>
  <c r="I87" i="37"/>
  <c r="F103" i="14"/>
  <c r="F88" i="37"/>
  <c r="N98" i="14"/>
  <c r="M324" i="14"/>
  <c r="M325" i="14" s="1"/>
  <c r="N324" i="14"/>
  <c r="N145" i="8" s="1"/>
  <c r="H324" i="14"/>
  <c r="H55" i="22" s="1"/>
  <c r="L324" i="14"/>
  <c r="L145" i="8" s="1"/>
  <c r="I324" i="14"/>
  <c r="I145" i="8" s="1"/>
  <c r="J324" i="14"/>
  <c r="J145" i="8" s="1"/>
  <c r="E324" i="14"/>
  <c r="E145" i="8" s="1"/>
  <c r="L91" i="24"/>
  <c r="L93" i="24"/>
  <c r="L95" i="24"/>
  <c r="L97" i="24"/>
  <c r="N705" i="14"/>
  <c r="N707" i="14" s="1"/>
  <c r="L321" i="14"/>
  <c r="M91" i="24"/>
  <c r="M93" i="24"/>
  <c r="M95" i="24"/>
  <c r="M97" i="24"/>
  <c r="N701" i="14"/>
  <c r="N703" i="14" s="1"/>
  <c r="N12" i="14"/>
  <c r="M90" i="24"/>
  <c r="M92" i="24"/>
  <c r="M94" i="24"/>
  <c r="M96" i="24"/>
  <c r="M98" i="24"/>
  <c r="N689" i="14"/>
  <c r="N691" i="14" s="1"/>
  <c r="K48" i="37"/>
  <c r="K23" i="46"/>
  <c r="I23" i="46"/>
  <c r="J274" i="14"/>
  <c r="J41" i="37"/>
  <c r="G274" i="14"/>
  <c r="F48" i="37"/>
  <c r="F22" i="46"/>
  <c r="G119" i="14"/>
  <c r="G8" i="14" s="1"/>
  <c r="G47" i="37" s="1"/>
  <c r="G848" i="14"/>
  <c r="G276" i="14" s="1"/>
  <c r="G279" i="14" s="1"/>
  <c r="G70" i="14"/>
  <c r="G216" i="37"/>
  <c r="G54" i="8"/>
  <c r="K119" i="14"/>
  <c r="K8" i="14"/>
  <c r="K848" i="14"/>
  <c r="K276" i="14"/>
  <c r="K279" i="14" s="1"/>
  <c r="K274" i="14"/>
  <c r="K70" i="14"/>
  <c r="M23" i="46"/>
  <c r="K54" i="8"/>
  <c r="K216" i="37"/>
  <c r="J23" i="46"/>
  <c r="J48" i="37"/>
  <c r="F697" i="14"/>
  <c r="F699" i="14" s="1"/>
  <c r="F717" i="14"/>
  <c r="F719" i="14" s="1"/>
  <c r="H848" i="14"/>
  <c r="H276" i="14"/>
  <c r="H279" i="14" s="1"/>
  <c r="H70" i="14"/>
  <c r="L274" i="14"/>
  <c r="L279" i="14"/>
  <c r="L119" i="14"/>
  <c r="L8" i="14"/>
  <c r="J693" i="14"/>
  <c r="J695" i="14" s="1"/>
  <c r="H274" i="14"/>
  <c r="J377" i="14"/>
  <c r="J357" i="14"/>
  <c r="F50" i="24"/>
  <c r="I51" i="24"/>
  <c r="N189" i="14"/>
  <c r="N191" i="14" s="1"/>
  <c r="N717" i="14"/>
  <c r="N719" i="14" s="1"/>
  <c r="N697" i="14"/>
  <c r="N699" i="14" s="1"/>
  <c r="H50" i="24"/>
  <c r="H51" i="24"/>
  <c r="I193" i="14"/>
  <c r="I195" i="14" s="1"/>
  <c r="K521" i="14"/>
  <c r="K522" i="14"/>
  <c r="E445" i="14"/>
  <c r="G9" i="31"/>
  <c r="L868" i="14"/>
  <c r="L1116" i="14"/>
  <c r="L1165" i="14"/>
  <c r="L1529" i="14"/>
  <c r="L1578" i="14"/>
  <c r="L1728" i="14"/>
  <c r="L1015" i="14"/>
  <c r="L1281" i="14"/>
  <c r="L1428" i="14"/>
  <c r="L1679" i="14"/>
  <c r="L917" i="14"/>
  <c r="L966" i="14"/>
  <c r="L1330" i="14"/>
  <c r="L1379" i="14"/>
  <c r="L1826" i="14"/>
  <c r="L521" i="14"/>
  <c r="L522" i="14"/>
  <c r="N185" i="14"/>
  <c r="N187" i="14" s="1"/>
  <c r="K868" i="14"/>
  <c r="K1116" i="14"/>
  <c r="K1165" i="14"/>
  <c r="K1529" i="14"/>
  <c r="K1578" i="14"/>
  <c r="K1728" i="14"/>
  <c r="K1015" i="14"/>
  <c r="K1281" i="14"/>
  <c r="K1428" i="14"/>
  <c r="K1679" i="14"/>
  <c r="K917" i="14"/>
  <c r="K966" i="14"/>
  <c r="K1330" i="14"/>
  <c r="K1379" i="14"/>
  <c r="K1067" i="14"/>
  <c r="J189" i="14"/>
  <c r="J191" i="14" s="1"/>
  <c r="J193" i="14"/>
  <c r="J195" i="14" s="1"/>
  <c r="N868" i="14"/>
  <c r="I631" i="14"/>
  <c r="I632" i="14" s="1"/>
  <c r="H521" i="14"/>
  <c r="H522" i="14" s="1"/>
  <c r="G189" i="14"/>
  <c r="G191" i="14" s="1"/>
  <c r="G185" i="14"/>
  <c r="G187" i="14" s="1"/>
  <c r="G197" i="14"/>
  <c r="G199" i="14" s="1"/>
  <c r="E631" i="14"/>
  <c r="E632" i="14"/>
  <c r="F189" i="14"/>
  <c r="F191" i="14" s="1"/>
  <c r="F193" i="14"/>
  <c r="F195" i="14" s="1"/>
  <c r="G76" i="24"/>
  <c r="S12" i="23" s="1"/>
  <c r="G12" i="23" s="1"/>
  <c r="G40" i="14" s="1"/>
  <c r="E120" i="14"/>
  <c r="F447" i="14"/>
  <c r="E1015" i="14"/>
  <c r="G77" i="37"/>
  <c r="L77" i="37"/>
  <c r="E76" i="24"/>
  <c r="L445" i="14"/>
  <c r="H450" i="14"/>
  <c r="H101" i="22" s="1"/>
  <c r="K445" i="14"/>
  <c r="K450" i="14"/>
  <c r="G450" i="14"/>
  <c r="G191" i="8" s="1"/>
  <c r="L450" i="14"/>
  <c r="L101" i="22"/>
  <c r="E84" i="24"/>
  <c r="E82" i="24"/>
  <c r="E80" i="24"/>
  <c r="E78" i="24"/>
  <c r="E85" i="24"/>
  <c r="E83" i="24"/>
  <c r="E81" i="24"/>
  <c r="E79" i="24"/>
  <c r="K401" i="14"/>
  <c r="K43" i="37"/>
  <c r="L24" i="46"/>
  <c r="L49" i="37"/>
  <c r="H101" i="14"/>
  <c r="H12" i="14"/>
  <c r="E55" i="22"/>
  <c r="L55" i="22"/>
  <c r="J68" i="46"/>
  <c r="N88" i="37"/>
  <c r="E88" i="37"/>
  <c r="E15" i="24"/>
  <c r="E20" i="24"/>
  <c r="E18" i="24"/>
  <c r="E16" i="24"/>
  <c r="E14" i="24"/>
  <c r="E19" i="24"/>
  <c r="E17" i="24"/>
  <c r="M522" i="14"/>
  <c r="M524" i="14"/>
  <c r="M525" i="14" s="1"/>
  <c r="I1729" i="14"/>
  <c r="Q1730" i="14"/>
  <c r="H1429" i="14"/>
  <c r="Q1430" i="14"/>
  <c r="G1778" i="14"/>
  <c r="Q1779" i="14"/>
  <c r="H1628" i="14"/>
  <c r="Q1629" i="14"/>
  <c r="H1068" i="14"/>
  <c r="Q1069" i="14"/>
  <c r="J83" i="37"/>
  <c r="E1531" i="14"/>
  <c r="F1531" i="14"/>
  <c r="G1531" i="14"/>
  <c r="J1531" i="14"/>
  <c r="E1332" i="14"/>
  <c r="F1332" i="14"/>
  <c r="G1332" i="14"/>
  <c r="J1332" i="14"/>
  <c r="E1118" i="14"/>
  <c r="F1118" i="14"/>
  <c r="G1118" i="14"/>
  <c r="I1118" i="14"/>
  <c r="J1118" i="14"/>
  <c r="H1282" i="14"/>
  <c r="Q1283" i="14"/>
  <c r="L1283" i="14" s="1"/>
  <c r="L80" i="22"/>
  <c r="J1627" i="14"/>
  <c r="J19" i="14"/>
  <c r="E325" i="14"/>
  <c r="E328" i="14" s="1"/>
  <c r="E327" i="14"/>
  <c r="H557" i="14"/>
  <c r="N1214" i="14"/>
  <c r="J966" i="14"/>
  <c r="N966" i="14"/>
  <c r="F60" i="37"/>
  <c r="F48" i="46"/>
  <c r="J1281" i="14"/>
  <c r="J1330" i="14"/>
  <c r="K632" i="14"/>
  <c r="K101" i="22"/>
  <c r="K191" i="8"/>
  <c r="F445" i="14"/>
  <c r="J445" i="14"/>
  <c r="J450" i="14"/>
  <c r="E450" i="14"/>
  <c r="E101" i="22"/>
  <c r="I450" i="14"/>
  <c r="M451" i="14"/>
  <c r="M453" i="14"/>
  <c r="J1777" i="14"/>
  <c r="J1480" i="14"/>
  <c r="E48" i="46"/>
  <c r="E60" i="37"/>
  <c r="N445" i="14"/>
  <c r="N451" i="14" s="1"/>
  <c r="E401" i="14"/>
  <c r="E43" i="37"/>
  <c r="F55" i="22"/>
  <c r="F145" i="8"/>
  <c r="E35" i="14"/>
  <c r="M60" i="46"/>
  <c r="M72" i="37"/>
  <c r="F327" i="14"/>
  <c r="F328" i="14"/>
  <c r="M49" i="37"/>
  <c r="M24" i="46"/>
  <c r="M89" i="22"/>
  <c r="M179" i="8"/>
  <c r="J869" i="14"/>
  <c r="J1117" i="14"/>
  <c r="J1331" i="14"/>
  <c r="J1530" i="14"/>
  <c r="J1068" i="14"/>
  <c r="J1282" i="14"/>
  <c r="J1481" i="14"/>
  <c r="J1680" i="14"/>
  <c r="J1778" i="14"/>
  <c r="J1215" i="14"/>
  <c r="J1429" i="14"/>
  <c r="J1628" i="14"/>
  <c r="J1827" i="14"/>
  <c r="J1579" i="14"/>
  <c r="J553" i="14"/>
  <c r="J1166" i="14"/>
  <c r="J1729" i="14"/>
  <c r="J1380" i="14"/>
  <c r="H1165" i="14"/>
  <c r="H1379" i="14"/>
  <c r="H1578" i="14"/>
  <c r="H1826" i="14"/>
  <c r="H1214" i="14"/>
  <c r="H1428" i="14"/>
  <c r="H1627" i="14"/>
  <c r="H1777" i="14"/>
  <c r="H1281" i="14"/>
  <c r="H1330" i="14"/>
  <c r="H1679" i="14"/>
  <c r="H74" i="14"/>
  <c r="H1067" i="14"/>
  <c r="H1116" i="14"/>
  <c r="H1480" i="14"/>
  <c r="H1529" i="14"/>
  <c r="H1728" i="14"/>
  <c r="H966" i="14"/>
  <c r="N917" i="14"/>
  <c r="N1679" i="14"/>
  <c r="H80" i="22"/>
  <c r="G76" i="37"/>
  <c r="N967" i="14"/>
  <c r="N1016" i="14"/>
  <c r="G19" i="14"/>
  <c r="K20" i="14"/>
  <c r="K32" i="46"/>
  <c r="O11" i="31"/>
  <c r="L1629" i="14"/>
  <c r="L1730" i="14"/>
  <c r="M178" i="8"/>
  <c r="M88" i="22"/>
  <c r="K90" i="22"/>
  <c r="K180" i="8"/>
  <c r="L63" i="37"/>
  <c r="L50" i="46"/>
  <c r="N49" i="46"/>
  <c r="N61" i="37"/>
  <c r="J49" i="46"/>
  <c r="J61" i="37"/>
  <c r="L48" i="46"/>
  <c r="L60" i="37"/>
  <c r="H48" i="46"/>
  <c r="H60" i="37"/>
  <c r="J1824" i="14"/>
  <c r="J1829" i="14"/>
  <c r="L870" i="14"/>
  <c r="L595" i="14"/>
  <c r="L598" i="14"/>
  <c r="L601" i="14"/>
  <c r="L592" i="14"/>
  <c r="L589" i="14"/>
  <c r="N869" i="14"/>
  <c r="N1827" i="14"/>
  <c r="N1729" i="14"/>
  <c r="N1380" i="14"/>
  <c r="N1429" i="14"/>
  <c r="N1481" i="14"/>
  <c r="N1530" i="14"/>
  <c r="N1579" i="14"/>
  <c r="N1628" i="14"/>
  <c r="N1680" i="14"/>
  <c r="N1778" i="14"/>
  <c r="N553" i="14"/>
  <c r="L26" i="46"/>
  <c r="L50" i="37"/>
  <c r="N1627" i="14"/>
  <c r="M76" i="14"/>
  <c r="M84" i="14" s="1"/>
  <c r="K48" i="14"/>
  <c r="K72" i="37"/>
  <c r="N1281" i="14"/>
  <c r="N1379" i="14"/>
  <c r="N1165" i="14"/>
  <c r="K324" i="14"/>
  <c r="K96" i="14"/>
  <c r="K94" i="14"/>
  <c r="G21" i="14"/>
  <c r="G33" i="46" s="1"/>
  <c r="N1728" i="14"/>
  <c r="G20" i="14"/>
  <c r="G32" i="46" s="1"/>
  <c r="N1068" i="14"/>
  <c r="N1282" i="14"/>
  <c r="G53" i="14"/>
  <c r="G65" i="46" s="1"/>
  <c r="G55" i="14"/>
  <c r="G67" i="46" s="1"/>
  <c r="K21" i="14"/>
  <c r="K33" i="46"/>
  <c r="J1015" i="14"/>
  <c r="J1214" i="14"/>
  <c r="J1679" i="14"/>
  <c r="J967" i="14"/>
  <c r="L919" i="14"/>
  <c r="L1069" i="14"/>
  <c r="L1430" i="14"/>
  <c r="H63" i="37"/>
  <c r="H50" i="46"/>
  <c r="M90" i="22"/>
  <c r="M180" i="8"/>
  <c r="M94" i="22"/>
  <c r="M184" i="8"/>
  <c r="K87" i="22"/>
  <c r="K177" i="8"/>
  <c r="K593" i="14"/>
  <c r="K596" i="14" s="1"/>
  <c r="K599" i="14" s="1"/>
  <c r="K602" i="14" s="1"/>
  <c r="K605" i="14" s="1"/>
  <c r="F49" i="46"/>
  <c r="F61" i="37"/>
  <c r="L1777" i="14"/>
  <c r="L1214" i="14"/>
  <c r="L1480" i="14"/>
  <c r="L74" i="14"/>
  <c r="L1627" i="14"/>
  <c r="N450" i="14"/>
  <c r="N453" i="14"/>
  <c r="N1824" i="14"/>
  <c r="N1829" i="14"/>
  <c r="F516" i="14"/>
  <c r="F521" i="14"/>
  <c r="F522" i="14" s="1"/>
  <c r="F59" i="14"/>
  <c r="F71" i="46" s="1"/>
  <c r="K62" i="46"/>
  <c r="K76" i="37"/>
  <c r="K101" i="14"/>
  <c r="K12" i="14"/>
  <c r="I89" i="22"/>
  <c r="I179" i="8"/>
  <c r="I88" i="22"/>
  <c r="I178" i="8"/>
  <c r="K179" i="8"/>
  <c r="K89" i="22"/>
  <c r="F869" i="14"/>
  <c r="F1827" i="14"/>
  <c r="F967" i="14"/>
  <c r="F1729" i="14"/>
  <c r="F1016" i="14"/>
  <c r="F1068" i="14"/>
  <c r="F1117" i="14"/>
  <c r="F1166" i="14"/>
  <c r="F1215" i="14"/>
  <c r="F1282" i="14"/>
  <c r="F1331" i="14"/>
  <c r="F1380" i="14"/>
  <c r="F1429" i="14"/>
  <c r="F1481" i="14"/>
  <c r="F1530" i="14"/>
  <c r="F1579" i="14"/>
  <c r="F1628" i="14"/>
  <c r="F1680" i="14"/>
  <c r="F1778" i="14"/>
  <c r="F918" i="14"/>
  <c r="F553" i="14"/>
  <c r="K95" i="14"/>
  <c r="K171" i="14"/>
  <c r="H1015" i="14"/>
  <c r="N325" i="14"/>
  <c r="N327" i="14" s="1"/>
  <c r="H868" i="14"/>
  <c r="I55" i="22"/>
  <c r="N1428" i="14"/>
  <c r="N1330" i="14"/>
  <c r="N1116" i="14"/>
  <c r="N55" i="22"/>
  <c r="K103" i="14"/>
  <c r="K88" i="37" s="1"/>
  <c r="K98" i="14"/>
  <c r="N1480" i="14"/>
  <c r="K19" i="14"/>
  <c r="E48" i="14"/>
  <c r="E60" i="46"/>
  <c r="N1117" i="14"/>
  <c r="N1331" i="14"/>
  <c r="J917" i="14"/>
  <c r="J1428" i="14"/>
  <c r="J1116" i="14"/>
  <c r="J599" i="14"/>
  <c r="J602" i="14" s="1"/>
  <c r="J605" i="14"/>
  <c r="L1332" i="14"/>
  <c r="J1016" i="14"/>
  <c r="L1118" i="14"/>
  <c r="L1482" i="14"/>
  <c r="K68" i="46"/>
  <c r="F77" i="37"/>
  <c r="M101" i="22"/>
  <c r="M191" i="8"/>
  <c r="M87" i="22"/>
  <c r="M177" i="8"/>
  <c r="M593" i="14"/>
  <c r="M596" i="14" s="1"/>
  <c r="M599" i="14" s="1"/>
  <c r="M602" i="14" s="1"/>
  <c r="M605" i="14" s="1"/>
  <c r="H870" i="14"/>
  <c r="H1017" i="14"/>
  <c r="H1069" i="14"/>
  <c r="H1283" i="14"/>
  <c r="H1482" i="14"/>
  <c r="H1681" i="14"/>
  <c r="H1730" i="14"/>
  <c r="H1118" i="14"/>
  <c r="H1332" i="14"/>
  <c r="H1531" i="14"/>
  <c r="H1430" i="14"/>
  <c r="H595" i="14"/>
  <c r="H1381" i="14"/>
  <c r="H1216" i="14"/>
  <c r="H1629" i="14"/>
  <c r="H1779" i="14"/>
  <c r="H1828" i="14"/>
  <c r="H1580" i="14"/>
  <c r="H589" i="14"/>
  <c r="H1167" i="14"/>
  <c r="N556" i="14"/>
  <c r="J556" i="14"/>
  <c r="H26" i="46"/>
  <c r="H50" i="37"/>
  <c r="N516" i="14"/>
  <c r="N521" i="14" s="1"/>
  <c r="N59" i="14"/>
  <c r="N71" i="46" s="1"/>
  <c r="J516" i="14"/>
  <c r="J59" i="14"/>
  <c r="J71" i="46"/>
  <c r="K54" i="14"/>
  <c r="K66" i="46"/>
  <c r="K55" i="14"/>
  <c r="K67" i="46"/>
  <c r="K53" i="14"/>
  <c r="J142" i="14"/>
  <c r="L325" i="14"/>
  <c r="L129" i="22"/>
  <c r="Z15" i="29"/>
  <c r="R15" i="29" s="1"/>
  <c r="N609" i="14"/>
  <c r="N317" i="8"/>
  <c r="I81" i="14"/>
  <c r="I89" i="14" s="1"/>
  <c r="K27" i="46"/>
  <c r="K52" i="37"/>
  <c r="F52" i="37"/>
  <c r="F27" i="46"/>
  <c r="N631" i="14"/>
  <c r="N119" i="22" s="1"/>
  <c r="H52" i="37"/>
  <c r="H27" i="46"/>
  <c r="N77" i="37"/>
  <c r="N68" i="46"/>
  <c r="J27" i="46"/>
  <c r="J52" i="37"/>
  <c r="H269" i="22"/>
  <c r="H77" i="37"/>
  <c r="L52" i="37"/>
  <c r="L27" i="46"/>
  <c r="M77" i="37"/>
  <c r="L30" i="37"/>
  <c r="I77" i="14"/>
  <c r="I85" i="14" s="1"/>
  <c r="L49" i="22"/>
  <c r="L139" i="8"/>
  <c r="N279" i="14"/>
  <c r="N280" i="14"/>
  <c r="I60" i="46"/>
  <c r="I79" i="14"/>
  <c r="I87" i="14" s="1"/>
  <c r="J279" i="14"/>
  <c r="H60" i="46"/>
  <c r="H72" i="37"/>
  <c r="E49" i="22"/>
  <c r="G32" i="29"/>
  <c r="I279" i="14"/>
  <c r="I49" i="22"/>
  <c r="F279" i="14"/>
  <c r="M279" i="14"/>
  <c r="M280" i="14" s="1"/>
  <c r="M282" i="14" s="1"/>
  <c r="M47" i="37"/>
  <c r="M48" i="37"/>
  <c r="H80" i="14"/>
  <c r="H88" i="14" s="1"/>
  <c r="E80" i="14"/>
  <c r="E88" i="14" s="1"/>
  <c r="F41" i="37"/>
  <c r="E79" i="14"/>
  <c r="E87" i="14" s="1"/>
  <c r="J47" i="37"/>
  <c r="I41" i="37"/>
  <c r="F60" i="46"/>
  <c r="F72" i="37"/>
  <c r="E78" i="14"/>
  <c r="E86" i="14" s="1"/>
  <c r="E81" i="14"/>
  <c r="E89" i="14" s="1"/>
  <c r="N72" i="37"/>
  <c r="N60" i="46"/>
  <c r="E280" i="14"/>
  <c r="E282" i="14" s="1"/>
  <c r="M88" i="37"/>
  <c r="I88" i="37"/>
  <c r="I77" i="37"/>
  <c r="I68" i="46"/>
  <c r="I52" i="37"/>
  <c r="I27" i="46"/>
  <c r="L355" i="14"/>
  <c r="M27" i="46"/>
  <c r="M52" i="37"/>
  <c r="H355" i="14"/>
  <c r="H42" i="37" s="1"/>
  <c r="E52" i="37"/>
  <c r="E27" i="46"/>
  <c r="E68" i="46"/>
  <c r="E77" i="37"/>
  <c r="G178" i="8"/>
  <c r="H90" i="22"/>
  <c r="H180" i="8"/>
  <c r="J89" i="22"/>
  <c r="J179" i="8"/>
  <c r="H22" i="37"/>
  <c r="H23" i="37"/>
  <c r="H2" i="46"/>
  <c r="H5" i="22"/>
  <c r="H11" i="38"/>
  <c r="H12" i="38"/>
  <c r="H3" i="14"/>
  <c r="M22" i="37"/>
  <c r="M23" i="37" s="1"/>
  <c r="M2" i="46"/>
  <c r="M5" i="22"/>
  <c r="M3" i="14"/>
  <c r="N1529" i="14"/>
  <c r="N1578" i="14"/>
  <c r="J88" i="22"/>
  <c r="J178" i="8"/>
  <c r="L22" i="37"/>
  <c r="L23" i="37" s="1"/>
  <c r="L2" i="46"/>
  <c r="L5" i="22"/>
  <c r="L3" i="14"/>
  <c r="F22" i="37"/>
  <c r="F23" i="37"/>
  <c r="F2" i="46"/>
  <c r="F11" i="38"/>
  <c r="F12" i="38" s="1"/>
  <c r="F3" i="14"/>
  <c r="F5" i="22"/>
  <c r="N1826" i="14"/>
  <c r="J1067" i="14"/>
  <c r="J1728" i="14"/>
  <c r="J631" i="14"/>
  <c r="E94" i="22"/>
  <c r="G22" i="37"/>
  <c r="G23" i="37" s="1"/>
  <c r="G2" i="46"/>
  <c r="G5" i="22"/>
  <c r="G11" i="38"/>
  <c r="G12" i="38" s="1"/>
  <c r="G3" i="14"/>
  <c r="E22" i="37"/>
  <c r="E23" i="37"/>
  <c r="E2" i="46"/>
  <c r="E3" i="14"/>
  <c r="E5" i="22"/>
  <c r="E11" i="38"/>
  <c r="E12" i="38" s="1"/>
  <c r="J22" i="37"/>
  <c r="J23" i="37" s="1"/>
  <c r="J2" i="46"/>
  <c r="J5" i="22"/>
  <c r="J3" i="14"/>
  <c r="O43" i="10"/>
  <c r="O52" i="10"/>
  <c r="L48" i="14"/>
  <c r="L72" i="37" s="1"/>
  <c r="E80" i="22"/>
  <c r="E170" i="8"/>
  <c r="H89" i="22"/>
  <c r="H179" i="8"/>
  <c r="H87" i="22"/>
  <c r="H593" i="14"/>
  <c r="H177" i="8"/>
  <c r="K22" i="37"/>
  <c r="K23" i="37" s="1"/>
  <c r="K2" i="46"/>
  <c r="K5" i="22"/>
  <c r="K3" i="14"/>
  <c r="I22" i="37"/>
  <c r="I23" i="37"/>
  <c r="I2" i="46"/>
  <c r="I5" i="22"/>
  <c r="I11" i="38"/>
  <c r="I12" i="38"/>
  <c r="I3" i="14"/>
  <c r="N22" i="37"/>
  <c r="N23" i="37" s="1"/>
  <c r="N2" i="46"/>
  <c r="N5" i="22"/>
  <c r="N3" i="14"/>
  <c r="K209" i="8"/>
  <c r="F26" i="46"/>
  <c r="F50" i="37"/>
  <c r="J868" i="14"/>
  <c r="J1578" i="14"/>
  <c r="J1826" i="14"/>
  <c r="J1379" i="14"/>
  <c r="J1165" i="14"/>
  <c r="N26" i="46"/>
  <c r="N50" i="37"/>
  <c r="J60" i="37"/>
  <c r="J48" i="46"/>
  <c r="N1067" i="14"/>
  <c r="N1015" i="14"/>
  <c r="N74" i="14"/>
  <c r="J50" i="37"/>
  <c r="J26" i="46"/>
  <c r="N60" i="37"/>
  <c r="N48" i="46"/>
  <c r="N73" i="37"/>
  <c r="L401" i="14"/>
  <c r="L43" i="37" s="1"/>
  <c r="L83" i="37"/>
  <c r="G1217" i="14"/>
  <c r="G1119" i="14"/>
  <c r="G1731" i="14"/>
  <c r="G1532" i="14"/>
  <c r="G1070" i="14"/>
  <c r="G1333" i="14"/>
  <c r="G1682" i="14"/>
  <c r="G1431" i="14"/>
  <c r="G1168" i="14"/>
  <c r="G920" i="14"/>
  <c r="G969" i="14"/>
  <c r="G871" i="14"/>
  <c r="G1018" i="14"/>
  <c r="M1119" i="14"/>
  <c r="M1168" i="14"/>
  <c r="M1780" i="14"/>
  <c r="M1070" i="14"/>
  <c r="M1682" i="14"/>
  <c r="M1581" i="14"/>
  <c r="M1284" i="14"/>
  <c r="M1382" i="14"/>
  <c r="M920" i="14"/>
  <c r="M969" i="14"/>
  <c r="M1630" i="14"/>
  <c r="M871" i="14"/>
  <c r="M1431" i="14"/>
  <c r="M1532" i="14"/>
  <c r="M1483" i="14"/>
  <c r="M1333" i="14"/>
  <c r="M1731" i="14"/>
  <c r="M1018" i="14"/>
  <c r="M1217" i="14"/>
  <c r="N1018" i="14"/>
  <c r="N1682" i="14"/>
  <c r="N969" i="14"/>
  <c r="N1431" i="14"/>
  <c r="N1532" i="14"/>
  <c r="N1483" i="14"/>
  <c r="N1119" i="14"/>
  <c r="N1780" i="14"/>
  <c r="N1070" i="14"/>
  <c r="N1581" i="14"/>
  <c r="N1284" i="14"/>
  <c r="N1168" i="14"/>
  <c r="N1630" i="14"/>
  <c r="N920" i="14"/>
  <c r="N1382" i="14"/>
  <c r="N871" i="14"/>
  <c r="N1333" i="14"/>
  <c r="N1731" i="14"/>
  <c r="N1217" i="14"/>
  <c r="L1217" i="14"/>
  <c r="L1431" i="14"/>
  <c r="L1483" i="14"/>
  <c r="L969" i="14"/>
  <c r="L1333" i="14"/>
  <c r="L1382" i="14"/>
  <c r="L1630" i="14"/>
  <c r="L1682" i="14"/>
  <c r="L1119" i="14"/>
  <c r="L1168" i="14"/>
  <c r="L1018" i="14"/>
  <c r="L1581" i="14"/>
  <c r="L920" i="14"/>
  <c r="L1731" i="14"/>
  <c r="L1532" i="14"/>
  <c r="L1284" i="14"/>
  <c r="L1070" i="14"/>
  <c r="L871" i="14"/>
  <c r="L1780" i="14"/>
  <c r="E1284" i="14"/>
  <c r="E1483" i="14"/>
  <c r="E1217" i="14"/>
  <c r="E1333" i="14"/>
  <c r="E1018" i="14"/>
  <c r="E1630" i="14"/>
  <c r="E1070" i="14"/>
  <c r="E1382" i="14"/>
  <c r="E1731" i="14"/>
  <c r="E1431" i="14"/>
  <c r="E1532" i="14"/>
  <c r="E1581" i="14"/>
  <c r="E1168" i="14"/>
  <c r="E1682" i="14"/>
  <c r="E1119" i="14"/>
  <c r="E969" i="14"/>
  <c r="E1780" i="14"/>
  <c r="E920" i="14"/>
  <c r="K1382" i="14"/>
  <c r="K1431" i="14"/>
  <c r="K920" i="14"/>
  <c r="K969" i="14"/>
  <c r="K1168" i="14"/>
  <c r="K1284" i="14"/>
  <c r="K1070" i="14"/>
  <c r="K1119" i="14"/>
  <c r="K1731" i="14"/>
  <c r="K1483" i="14"/>
  <c r="K871" i="14"/>
  <c r="K1682" i="14"/>
  <c r="Q21" i="23"/>
  <c r="E21" i="23" s="1"/>
  <c r="Q12" i="23"/>
  <c r="E12" i="23" s="1"/>
  <c r="E40" i="14" s="1"/>
  <c r="U27" i="23"/>
  <c r="I27" i="23" s="1"/>
  <c r="V12" i="23"/>
  <c r="J12" i="23" s="1"/>
  <c r="J40" i="14" s="1"/>
  <c r="V27" i="23"/>
  <c r="J27" i="23" s="1"/>
  <c r="T27" i="23"/>
  <c r="H27" i="23" s="1"/>
  <c r="H1013" i="14" s="1"/>
  <c r="R22" i="23"/>
  <c r="F22" i="23" s="1"/>
  <c r="S22" i="23"/>
  <c r="G22" i="23" s="1"/>
  <c r="G867" i="14" s="1"/>
  <c r="T22" i="23"/>
  <c r="H22" i="23" s="1"/>
  <c r="X22" i="23"/>
  <c r="L22" i="23" s="1"/>
  <c r="Z21" i="23"/>
  <c r="N21" i="23" s="1"/>
  <c r="E22" i="46"/>
  <c r="E48" i="37"/>
  <c r="I20" i="46"/>
  <c r="I47" i="37"/>
  <c r="H401" i="14"/>
  <c r="H43" i="37" s="1"/>
  <c r="F96" i="14"/>
  <c r="F51" i="14"/>
  <c r="F63" i="46"/>
  <c r="F171" i="14"/>
  <c r="I73" i="37"/>
  <c r="E73" i="37"/>
  <c r="F54" i="14"/>
  <c r="F66" i="46"/>
  <c r="F20" i="14"/>
  <c r="F32" i="46"/>
  <c r="J21" i="14"/>
  <c r="J33" i="46"/>
  <c r="J20" i="14"/>
  <c r="J32" i="46"/>
  <c r="J54" i="14"/>
  <c r="J66" i="46"/>
  <c r="J55" i="14"/>
  <c r="J67" i="46"/>
  <c r="K406" i="14"/>
  <c r="K407" i="14" s="1"/>
  <c r="L73" i="37"/>
  <c r="I83" i="37"/>
  <c r="M406" i="14"/>
  <c r="M407" i="14"/>
  <c r="M409" i="14" s="1"/>
  <c r="M73" i="37"/>
  <c r="E83" i="37"/>
  <c r="J65" i="46"/>
  <c r="N30" i="37"/>
  <c r="N25" i="10"/>
  <c r="I25" i="10"/>
  <c r="I30" i="37"/>
  <c r="H30" i="37"/>
  <c r="H25" i="10"/>
  <c r="J30" i="37"/>
  <c r="J25" i="10"/>
  <c r="E25" i="10"/>
  <c r="E30" i="37"/>
  <c r="K25" i="10"/>
  <c r="K30" i="37"/>
  <c r="F25" i="10"/>
  <c r="F30" i="37"/>
  <c r="M25" i="10"/>
  <c r="M30" i="37"/>
  <c r="N83" i="37"/>
  <c r="I406" i="14"/>
  <c r="I407" i="14"/>
  <c r="I409" i="14" s="1"/>
  <c r="L406" i="14"/>
  <c r="L407" i="14"/>
  <c r="L409" i="14" s="1"/>
  <c r="J31" i="46"/>
  <c r="I355" i="14"/>
  <c r="I137" i="14"/>
  <c r="N355" i="14"/>
  <c r="N137" i="14"/>
  <c r="K355" i="14"/>
  <c r="K137" i="14"/>
  <c r="H325" i="14"/>
  <c r="H327" i="14"/>
  <c r="H146" i="8" s="1"/>
  <c r="I51" i="37"/>
  <c r="I29" i="46"/>
  <c r="H345" i="8"/>
  <c r="J55" i="22"/>
  <c r="K31" i="46"/>
  <c r="K53" i="37"/>
  <c r="F67" i="46"/>
  <c r="G269" i="22"/>
  <c r="J325" i="14"/>
  <c r="J327" i="14" s="1"/>
  <c r="H145" i="8"/>
  <c r="E317" i="8"/>
  <c r="E241" i="22"/>
  <c r="N406" i="14"/>
  <c r="N163" i="8" s="1"/>
  <c r="M33" i="46"/>
  <c r="M53" i="37"/>
  <c r="N611" i="14"/>
  <c r="E32" i="46"/>
  <c r="E53" i="37"/>
  <c r="E609" i="14"/>
  <c r="M559" i="14"/>
  <c r="H559" i="14"/>
  <c r="E559" i="14"/>
  <c r="E560" i="14"/>
  <c r="I559" i="14"/>
  <c r="L559" i="14"/>
  <c r="L560" i="14" s="1"/>
  <c r="F80" i="22"/>
  <c r="F170" i="8"/>
  <c r="G80" i="22"/>
  <c r="F557" i="14"/>
  <c r="K559" i="14"/>
  <c r="K560" i="14" s="1"/>
  <c r="L451" i="14"/>
  <c r="N87" i="37"/>
  <c r="N31" i="46"/>
  <c r="N53" i="37"/>
  <c r="I31" i="46"/>
  <c r="I53" i="37"/>
  <c r="L33" i="46"/>
  <c r="L53" i="37"/>
  <c r="F31" i="46"/>
  <c r="M355" i="14"/>
  <c r="J355" i="14"/>
  <c r="F355" i="14"/>
  <c r="M55" i="22"/>
  <c r="M145" i="8"/>
  <c r="N24" i="46"/>
  <c r="N49" i="37"/>
  <c r="F56" i="22"/>
  <c r="L280" i="14"/>
  <c r="L41" i="37"/>
  <c r="K60" i="46"/>
  <c r="K280" i="14"/>
  <c r="K41" i="37"/>
  <c r="K20" i="46"/>
  <c r="K47" i="37"/>
  <c r="H280" i="14"/>
  <c r="H41" i="37"/>
  <c r="L20" i="46"/>
  <c r="L47" i="37"/>
  <c r="H139" i="8"/>
  <c r="H49" i="22"/>
  <c r="K139" i="8"/>
  <c r="K49" i="22"/>
  <c r="G48" i="14"/>
  <c r="L524" i="14"/>
  <c r="L525" i="14"/>
  <c r="M637" i="14"/>
  <c r="M638" i="14"/>
  <c r="K524" i="14"/>
  <c r="E119" i="22"/>
  <c r="E209" i="8"/>
  <c r="G101" i="22"/>
  <c r="H209" i="8"/>
  <c r="K634" i="14"/>
  <c r="E634" i="14"/>
  <c r="E635" i="14"/>
  <c r="I634" i="14"/>
  <c r="I635" i="14" s="1"/>
  <c r="K451" i="14"/>
  <c r="L327" i="14"/>
  <c r="I119" i="22"/>
  <c r="I209" i="8"/>
  <c r="H94" i="22"/>
  <c r="H184" i="8"/>
  <c r="H632" i="14"/>
  <c r="L184" i="8"/>
  <c r="L94" i="22"/>
  <c r="M120" i="22"/>
  <c r="M210" i="8"/>
  <c r="F119" i="22"/>
  <c r="F209" i="8"/>
  <c r="H56" i="22"/>
  <c r="F969" i="14"/>
  <c r="F1018" i="14"/>
  <c r="F920" i="14"/>
  <c r="F450" i="14"/>
  <c r="F871" i="14"/>
  <c r="F1284" i="14"/>
  <c r="F1431" i="14"/>
  <c r="F1682" i="14"/>
  <c r="F1333" i="14"/>
  <c r="F1382" i="14"/>
  <c r="F1824" i="14"/>
  <c r="F1829" i="14"/>
  <c r="F1070" i="14"/>
  <c r="F1217" i="14"/>
  <c r="F1483" i="14"/>
  <c r="F1630" i="14"/>
  <c r="F1780" i="14"/>
  <c r="F1119" i="14"/>
  <c r="F1532" i="14"/>
  <c r="F1581" i="14"/>
  <c r="F1731" i="14"/>
  <c r="F1168" i="14"/>
  <c r="F632" i="14"/>
  <c r="H524" i="14"/>
  <c r="L119" i="22"/>
  <c r="L209" i="8"/>
  <c r="L632" i="14"/>
  <c r="K94" i="22"/>
  <c r="K184" i="8"/>
  <c r="N209" i="8"/>
  <c r="N632" i="14"/>
  <c r="F83" i="37"/>
  <c r="G31" i="20"/>
  <c r="E871" i="14"/>
  <c r="H451" i="14"/>
  <c r="L191" i="8"/>
  <c r="M185" i="8"/>
  <c r="F184" i="8"/>
  <c r="M95" i="22"/>
  <c r="F94" i="22"/>
  <c r="E451" i="14"/>
  <c r="E191" i="8"/>
  <c r="E406" i="14"/>
  <c r="E407" i="14"/>
  <c r="E409" i="14" s="1"/>
  <c r="K83" i="37"/>
  <c r="H328" i="14"/>
  <c r="H49" i="37"/>
  <c r="H24" i="46"/>
  <c r="F146" i="8"/>
  <c r="E1629" i="14"/>
  <c r="F1629" i="14"/>
  <c r="J1629" i="14"/>
  <c r="G1629" i="14"/>
  <c r="N1629" i="14"/>
  <c r="K1629" i="14"/>
  <c r="I1629" i="14"/>
  <c r="M1629" i="14"/>
  <c r="N1779" i="14"/>
  <c r="E1779" i="14"/>
  <c r="J1779" i="14"/>
  <c r="G1779" i="14"/>
  <c r="I1779" i="14"/>
  <c r="F1779" i="14"/>
  <c r="K1779" i="14"/>
  <c r="L1779" i="14"/>
  <c r="M1779" i="14"/>
  <c r="E1069" i="14"/>
  <c r="G1069" i="14"/>
  <c r="I1069" i="14"/>
  <c r="J1069" i="14"/>
  <c r="F1069" i="14"/>
  <c r="K1069" i="14"/>
  <c r="N1069" i="14"/>
  <c r="M1069" i="14"/>
  <c r="J1730" i="14"/>
  <c r="F1730" i="14"/>
  <c r="K1730" i="14"/>
  <c r="G1730" i="14"/>
  <c r="E1730" i="14"/>
  <c r="I1730" i="14"/>
  <c r="M1730" i="14"/>
  <c r="N1730" i="14"/>
  <c r="E1283" i="14"/>
  <c r="G1283" i="14"/>
  <c r="F1283" i="14"/>
  <c r="I1283" i="14"/>
  <c r="J1283" i="14"/>
  <c r="N1283" i="14"/>
  <c r="K1283" i="14"/>
  <c r="M1283" i="14"/>
  <c r="E1430" i="14"/>
  <c r="F1430" i="14"/>
  <c r="J1430" i="14"/>
  <c r="G1430" i="14"/>
  <c r="K1430" i="14"/>
  <c r="N1430" i="14"/>
  <c r="I1430" i="14"/>
  <c r="M1430" i="14"/>
  <c r="K87" i="37"/>
  <c r="I139" i="8"/>
  <c r="J451" i="14"/>
  <c r="J453" i="14"/>
  <c r="I191" i="8"/>
  <c r="I101" i="22"/>
  <c r="I451" i="14"/>
  <c r="K1630" i="14"/>
  <c r="K1217" i="14"/>
  <c r="K1780" i="14"/>
  <c r="K1333" i="14"/>
  <c r="K453" i="14"/>
  <c r="K454" i="14"/>
  <c r="L453" i="14"/>
  <c r="N454" i="14"/>
  <c r="E453" i="14"/>
  <c r="G453" i="14"/>
  <c r="H453" i="14"/>
  <c r="K1581" i="14"/>
  <c r="M102" i="22"/>
  <c r="M192" i="8"/>
  <c r="K1532" i="14"/>
  <c r="K1018" i="14"/>
  <c r="M454" i="14"/>
  <c r="F53" i="37"/>
  <c r="E72" i="37"/>
  <c r="K65" i="46"/>
  <c r="K73" i="37"/>
  <c r="J521" i="14"/>
  <c r="J522" i="14"/>
  <c r="I181" i="8"/>
  <c r="I91" i="22"/>
  <c r="N102" i="22"/>
  <c r="N192" i="8"/>
  <c r="L79" i="14"/>
  <c r="L87" i="14" s="1"/>
  <c r="L76" i="14"/>
  <c r="L84" i="14" s="1"/>
  <c r="L77" i="14"/>
  <c r="L85" i="14" s="1"/>
  <c r="K142" i="14"/>
  <c r="K160" i="14"/>
  <c r="K608" i="14"/>
  <c r="K55" i="22"/>
  <c r="K145" i="8"/>
  <c r="K325" i="14"/>
  <c r="K327" i="14" s="1"/>
  <c r="L88" i="22"/>
  <c r="L178" i="8"/>
  <c r="J101" i="22"/>
  <c r="J191" i="8"/>
  <c r="H88" i="22"/>
  <c r="H178" i="8"/>
  <c r="L89" i="22"/>
  <c r="L179" i="8"/>
  <c r="G26" i="28"/>
  <c r="G24" i="41"/>
  <c r="H77" i="14"/>
  <c r="H85" i="14" s="1"/>
  <c r="J80" i="22"/>
  <c r="J557" i="14"/>
  <c r="J559" i="14"/>
  <c r="J170" i="8"/>
  <c r="M91" i="22"/>
  <c r="M181" i="8"/>
  <c r="K24" i="46"/>
  <c r="K49" i="37"/>
  <c r="L90" i="22"/>
  <c r="L180" i="8"/>
  <c r="L87" i="22"/>
  <c r="L177" i="8"/>
  <c r="L593" i="14"/>
  <c r="L596" i="14" s="1"/>
  <c r="L599" i="14" s="1"/>
  <c r="L602" i="14" s="1"/>
  <c r="L605" i="14" s="1"/>
  <c r="J102" i="22"/>
  <c r="J192" i="8"/>
  <c r="G25" i="31"/>
  <c r="H596" i="14"/>
  <c r="H599" i="14" s="1"/>
  <c r="H602" i="14" s="1"/>
  <c r="H605" i="14" s="1"/>
  <c r="H81" i="14"/>
  <c r="H89" i="14" s="1"/>
  <c r="N80" i="22"/>
  <c r="N170" i="8"/>
  <c r="N557" i="14"/>
  <c r="N560" i="14" s="1"/>
  <c r="N559" i="14"/>
  <c r="N101" i="22"/>
  <c r="N191" i="8"/>
  <c r="K181" i="8"/>
  <c r="K91" i="22"/>
  <c r="J454" i="14"/>
  <c r="L60" i="46"/>
  <c r="F49" i="22"/>
  <c r="F139" i="8"/>
  <c r="J49" i="22"/>
  <c r="J139" i="8"/>
  <c r="J280" i="14"/>
  <c r="N49" i="22"/>
  <c r="N139" i="8"/>
  <c r="I280" i="14"/>
  <c r="I282" i="14"/>
  <c r="F280" i="14"/>
  <c r="M49" i="22"/>
  <c r="M139" i="8"/>
  <c r="L42" i="37"/>
  <c r="I39" i="38"/>
  <c r="I15" i="38"/>
  <c r="I47" i="38"/>
  <c r="I31" i="38"/>
  <c r="I23" i="38"/>
  <c r="H174" i="37"/>
  <c r="H31" i="10"/>
  <c r="H248" i="37"/>
  <c r="H261" i="37"/>
  <c r="H181" i="37"/>
  <c r="H143" i="37"/>
  <c r="H58" i="37"/>
  <c r="H32" i="37"/>
  <c r="H240" i="37"/>
  <c r="H167" i="37"/>
  <c r="H155" i="37"/>
  <c r="H255" i="37"/>
  <c r="H119" i="37"/>
  <c r="H113" i="37"/>
  <c r="H82" i="37"/>
  <c r="H46" i="37"/>
  <c r="H224" i="37"/>
  <c r="H188" i="37"/>
  <c r="H131" i="37"/>
  <c r="H107" i="37"/>
  <c r="H94" i="37"/>
  <c r="H70" i="37"/>
  <c r="H195" i="37"/>
  <c r="H39" i="37"/>
  <c r="H25" i="37"/>
  <c r="F73" i="37"/>
  <c r="E47" i="38"/>
  <c r="E23" i="38"/>
  <c r="E15" i="38"/>
  <c r="E39" i="38"/>
  <c r="E31" i="38"/>
  <c r="E248" i="37"/>
  <c r="E174" i="37"/>
  <c r="E31" i="10" s="1"/>
  <c r="E195" i="37"/>
  <c r="E240" i="37"/>
  <c r="E155" i="37"/>
  <c r="E113" i="37"/>
  <c r="E70" i="37"/>
  <c r="E39" i="37"/>
  <c r="E255" i="37"/>
  <c r="E188" i="37"/>
  <c r="E167" i="37"/>
  <c r="E119" i="37"/>
  <c r="E107" i="37"/>
  <c r="E94" i="37"/>
  <c r="E32" i="37"/>
  <c r="E181" i="37"/>
  <c r="E82" i="37"/>
  <c r="E131" i="37"/>
  <c r="E58" i="37"/>
  <c r="E143" i="37"/>
  <c r="E46" i="37"/>
  <c r="E261" i="37"/>
  <c r="E224" i="37"/>
  <c r="E25" i="37"/>
  <c r="F248" i="37"/>
  <c r="F174" i="37"/>
  <c r="F31" i="10" s="1"/>
  <c r="F240" i="37"/>
  <c r="F155" i="37"/>
  <c r="F70" i="37"/>
  <c r="F32" i="37"/>
  <c r="F261" i="37"/>
  <c r="F188" i="37"/>
  <c r="F195" i="37"/>
  <c r="F58" i="37"/>
  <c r="F255" i="37"/>
  <c r="F131" i="37"/>
  <c r="F107" i="37"/>
  <c r="F25" i="37"/>
  <c r="F39" i="37"/>
  <c r="F224" i="37"/>
  <c r="F143" i="37"/>
  <c r="F46" i="37"/>
  <c r="F167" i="37"/>
  <c r="F113" i="37"/>
  <c r="F94" i="37"/>
  <c r="F181" i="37"/>
  <c r="F119" i="37"/>
  <c r="F82" i="37"/>
  <c r="L248" i="37"/>
  <c r="L174" i="37"/>
  <c r="L31" i="10"/>
  <c r="L181" i="37"/>
  <c r="L131" i="37"/>
  <c r="L107" i="37"/>
  <c r="L261" i="37"/>
  <c r="L224" i="37"/>
  <c r="L167" i="37"/>
  <c r="L94" i="37"/>
  <c r="L70" i="37"/>
  <c r="L58" i="37"/>
  <c r="L46" i="37"/>
  <c r="L32" i="37"/>
  <c r="L255" i="37"/>
  <c r="L240" i="37"/>
  <c r="L195" i="37"/>
  <c r="L155" i="37"/>
  <c r="L119" i="37"/>
  <c r="L39" i="37"/>
  <c r="L188" i="37"/>
  <c r="L143" i="37"/>
  <c r="L113" i="37"/>
  <c r="L82" i="37"/>
  <c r="L25" i="37"/>
  <c r="H31" i="38"/>
  <c r="H47" i="38"/>
  <c r="H39" i="38"/>
  <c r="H23" i="38"/>
  <c r="H15" i="38"/>
  <c r="J73" i="37"/>
  <c r="H181" i="8"/>
  <c r="H91" i="22"/>
  <c r="J119" i="22"/>
  <c r="J209" i="8"/>
  <c r="J632" i="14"/>
  <c r="J634" i="14" s="1"/>
  <c r="I174" i="37"/>
  <c r="I31" i="10"/>
  <c r="I248" i="37"/>
  <c r="I224" i="37"/>
  <c r="I167" i="37"/>
  <c r="I155" i="37"/>
  <c r="I113" i="37"/>
  <c r="I70" i="37"/>
  <c r="I32" i="37"/>
  <c r="I261" i="37"/>
  <c r="I181" i="37"/>
  <c r="I143" i="37"/>
  <c r="I240" i="37"/>
  <c r="I131" i="37"/>
  <c r="I94" i="37"/>
  <c r="I39" i="37"/>
  <c r="I255" i="37"/>
  <c r="I107" i="37"/>
  <c r="I46" i="37"/>
  <c r="I119" i="37"/>
  <c r="I82" i="37"/>
  <c r="I195" i="37"/>
  <c r="I188" i="37"/>
  <c r="I58" i="37"/>
  <c r="I25" i="37"/>
  <c r="F39" i="38"/>
  <c r="F15" i="38"/>
  <c r="F47" i="38"/>
  <c r="F31" i="38"/>
  <c r="F23" i="38"/>
  <c r="J91" i="22"/>
  <c r="J181" i="8"/>
  <c r="M248" i="37"/>
  <c r="M174" i="37"/>
  <c r="M31" i="10"/>
  <c r="M261" i="37"/>
  <c r="M224" i="37"/>
  <c r="M167" i="37"/>
  <c r="M94" i="37"/>
  <c r="M70" i="37"/>
  <c r="M58" i="37"/>
  <c r="M46" i="37"/>
  <c r="M32" i="37"/>
  <c r="M255" i="37"/>
  <c r="M240" i="37"/>
  <c r="M195" i="37"/>
  <c r="M155" i="37"/>
  <c r="M119" i="37"/>
  <c r="M39" i="37"/>
  <c r="M188" i="37"/>
  <c r="M143" i="37"/>
  <c r="M113" i="37"/>
  <c r="M82" i="37"/>
  <c r="M25" i="37"/>
  <c r="M181" i="37"/>
  <c r="M131" i="37"/>
  <c r="M107" i="37"/>
  <c r="H406" i="14"/>
  <c r="H407" i="14"/>
  <c r="H409" i="14" s="1"/>
  <c r="H1018" i="14"/>
  <c r="H871" i="14"/>
  <c r="H969" i="14"/>
  <c r="H1731" i="14"/>
  <c r="H1682" i="14"/>
  <c r="H1431" i="14"/>
  <c r="H1382" i="14"/>
  <c r="H1217" i="14"/>
  <c r="H1333" i="14"/>
  <c r="H1119" i="14"/>
  <c r="H1576" i="14"/>
  <c r="H1284" i="14"/>
  <c r="H1532" i="14"/>
  <c r="H1483" i="14"/>
  <c r="H1780" i="14"/>
  <c r="H1168" i="14"/>
  <c r="J53" i="37"/>
  <c r="M73" i="22"/>
  <c r="M163" i="8"/>
  <c r="K163" i="8"/>
  <c r="K73" i="22"/>
  <c r="N73" i="22"/>
  <c r="L163" i="8"/>
  <c r="L73" i="22"/>
  <c r="I163" i="8"/>
  <c r="H163" i="8"/>
  <c r="I73" i="22"/>
  <c r="H73" i="22"/>
  <c r="N407" i="14"/>
  <c r="N409" i="14" s="1"/>
  <c r="N42" i="37"/>
  <c r="K42" i="37"/>
  <c r="I42" i="37"/>
  <c r="N242" i="22"/>
  <c r="N318" i="8"/>
  <c r="N612" i="14"/>
  <c r="E611" i="14"/>
  <c r="E612" i="14"/>
  <c r="I81" i="22"/>
  <c r="I171" i="8"/>
  <c r="M81" i="22"/>
  <c r="M171" i="8"/>
  <c r="F559" i="14"/>
  <c r="F560" i="14"/>
  <c r="I560" i="14"/>
  <c r="M560" i="14"/>
  <c r="K81" i="22"/>
  <c r="K171" i="8"/>
  <c r="E562" i="14"/>
  <c r="H81" i="22"/>
  <c r="H171" i="8"/>
  <c r="N81" i="22"/>
  <c r="N171" i="8"/>
  <c r="L81" i="22"/>
  <c r="L171" i="8"/>
  <c r="E81" i="22"/>
  <c r="E171" i="8"/>
  <c r="H560" i="14"/>
  <c r="F42" i="37"/>
  <c r="J42" i="37"/>
  <c r="E42" i="37"/>
  <c r="M42" i="37"/>
  <c r="J282" i="14"/>
  <c r="J283" i="14" s="1"/>
  <c r="H282" i="14"/>
  <c r="H283" i="14" s="1"/>
  <c r="L282" i="14"/>
  <c r="L283" i="14"/>
  <c r="K282" i="14"/>
  <c r="K283" i="14"/>
  <c r="M640" i="14"/>
  <c r="M641" i="14"/>
  <c r="E330" i="14"/>
  <c r="E331" i="14"/>
  <c r="F101" i="22"/>
  <c r="F191" i="8"/>
  <c r="H95" i="22"/>
  <c r="H185" i="8"/>
  <c r="F634" i="14"/>
  <c r="L527" i="14"/>
  <c r="L528" i="14" s="1"/>
  <c r="H525" i="14"/>
  <c r="K120" i="22"/>
  <c r="K210" i="8"/>
  <c r="K95" i="22"/>
  <c r="K185" i="8"/>
  <c r="L95" i="22"/>
  <c r="L185" i="8"/>
  <c r="N634" i="14"/>
  <c r="L56" i="22"/>
  <c r="L146" i="8"/>
  <c r="E637" i="14"/>
  <c r="M121" i="22"/>
  <c r="M211" i="8"/>
  <c r="N56" i="22"/>
  <c r="N146" i="8"/>
  <c r="L634" i="14"/>
  <c r="L635" i="14" s="1"/>
  <c r="H330" i="14"/>
  <c r="N328" i="14"/>
  <c r="H634" i="14"/>
  <c r="F451" i="14"/>
  <c r="K635" i="14"/>
  <c r="K525" i="14"/>
  <c r="E56" i="22"/>
  <c r="E146" i="8"/>
  <c r="L328" i="14"/>
  <c r="I120" i="22"/>
  <c r="I210" i="8"/>
  <c r="E120" i="22"/>
  <c r="E210" i="8"/>
  <c r="E73" i="22"/>
  <c r="E163" i="8"/>
  <c r="E93" i="24"/>
  <c r="E97" i="24"/>
  <c r="E90" i="24"/>
  <c r="E94" i="24"/>
  <c r="E98" i="24"/>
  <c r="E95" i="24"/>
  <c r="E92" i="24"/>
  <c r="E91" i="24"/>
  <c r="E96" i="24"/>
  <c r="I453" i="14"/>
  <c r="I454" i="14" s="1"/>
  <c r="I457" i="14" s="1"/>
  <c r="I460" i="14" s="1"/>
  <c r="I31" i="8" s="1"/>
  <c r="I456" i="14"/>
  <c r="G456" i="14"/>
  <c r="F453" i="14"/>
  <c r="J1333" i="14"/>
  <c r="J1532" i="14"/>
  <c r="J1483" i="14"/>
  <c r="I1070" i="14"/>
  <c r="I1333" i="14"/>
  <c r="I1682" i="14"/>
  <c r="I1581" i="14"/>
  <c r="J1731" i="14"/>
  <c r="J1168" i="14"/>
  <c r="L102" i="22"/>
  <c r="L192" i="8"/>
  <c r="J1431" i="14"/>
  <c r="I1431" i="14"/>
  <c r="J1581" i="14"/>
  <c r="J1018" i="14"/>
  <c r="I920" i="14"/>
  <c r="I1284" i="14"/>
  <c r="J1630" i="14"/>
  <c r="J456" i="14"/>
  <c r="H102" i="22"/>
  <c r="H192" i="8"/>
  <c r="E102" i="22"/>
  <c r="E192" i="8"/>
  <c r="L454" i="14"/>
  <c r="J1682" i="14"/>
  <c r="I1018" i="14"/>
  <c r="J1382" i="14"/>
  <c r="I1217" i="14"/>
  <c r="H1581" i="14"/>
  <c r="H920" i="14"/>
  <c r="I1780" i="14"/>
  <c r="I1532" i="14"/>
  <c r="I1168" i="14"/>
  <c r="J1119" i="14"/>
  <c r="M456" i="14"/>
  <c r="M457" i="14"/>
  <c r="H454" i="14"/>
  <c r="E454" i="14"/>
  <c r="K102" i="22"/>
  <c r="K192" i="8"/>
  <c r="J1070" i="14"/>
  <c r="I1382" i="14"/>
  <c r="J920" i="14"/>
  <c r="J1217" i="14"/>
  <c r="J969" i="14"/>
  <c r="J1284" i="14"/>
  <c r="I1630" i="14"/>
  <c r="I969" i="14"/>
  <c r="H1630" i="14"/>
  <c r="H1070" i="14"/>
  <c r="I1483" i="14"/>
  <c r="I1731" i="14"/>
  <c r="I1119" i="14"/>
  <c r="I871" i="14"/>
  <c r="J871" i="14"/>
  <c r="J1780" i="14"/>
  <c r="G102" i="22"/>
  <c r="G192" i="8"/>
  <c r="N456" i="14"/>
  <c r="N457" i="14"/>
  <c r="K456" i="14"/>
  <c r="K457" i="14"/>
  <c r="J524" i="14"/>
  <c r="J525" i="14"/>
  <c r="J560" i="14"/>
  <c r="J562" i="14"/>
  <c r="J171" i="8"/>
  <c r="J81" i="22"/>
  <c r="K317" i="8"/>
  <c r="K609" i="14"/>
  <c r="K241" i="22"/>
  <c r="J184" i="8"/>
  <c r="J94" i="22"/>
  <c r="L181" i="8"/>
  <c r="L91" i="22"/>
  <c r="F282" i="14"/>
  <c r="F283" i="14"/>
  <c r="F285" i="14" s="1"/>
  <c r="I283" i="14"/>
  <c r="I285" i="14" s="1"/>
  <c r="I50" i="22"/>
  <c r="I140" i="8"/>
  <c r="E614" i="14"/>
  <c r="E615" i="14"/>
  <c r="E242" i="22"/>
  <c r="E318" i="8"/>
  <c r="N614" i="14"/>
  <c r="N615" i="14" s="1"/>
  <c r="N617" i="14" s="1"/>
  <c r="F81" i="22"/>
  <c r="F171" i="8"/>
  <c r="H562" i="14"/>
  <c r="H563" i="14"/>
  <c r="F562" i="14"/>
  <c r="F563" i="14"/>
  <c r="E82" i="22"/>
  <c r="E172" i="8"/>
  <c r="M562" i="14"/>
  <c r="M563" i="14"/>
  <c r="E563" i="14"/>
  <c r="I562" i="14"/>
  <c r="J50" i="22"/>
  <c r="J140" i="8"/>
  <c r="L285" i="14"/>
  <c r="L286" i="14" s="1"/>
  <c r="K50" i="22"/>
  <c r="K140" i="8"/>
  <c r="H50" i="22"/>
  <c r="H140" i="8"/>
  <c r="K285" i="14"/>
  <c r="L50" i="22"/>
  <c r="L140" i="8"/>
  <c r="M647" i="14"/>
  <c r="M644" i="14"/>
  <c r="H57" i="22"/>
  <c r="H147" i="8"/>
  <c r="L120" i="22"/>
  <c r="L210" i="8"/>
  <c r="L96" i="22"/>
  <c r="L186" i="8"/>
  <c r="F120" i="22"/>
  <c r="F210" i="8"/>
  <c r="E57" i="22"/>
  <c r="E147" i="8"/>
  <c r="K527" i="14"/>
  <c r="K528" i="14" s="1"/>
  <c r="H527" i="14"/>
  <c r="N330" i="14"/>
  <c r="H331" i="14"/>
  <c r="E121" i="22"/>
  <c r="E211" i="8"/>
  <c r="N120" i="22"/>
  <c r="N210" i="8"/>
  <c r="F635" i="14"/>
  <c r="L330" i="14"/>
  <c r="L331" i="14" s="1"/>
  <c r="K637" i="14"/>
  <c r="K638" i="14" s="1"/>
  <c r="H120" i="22"/>
  <c r="H210" i="8"/>
  <c r="E333" i="14"/>
  <c r="E334" i="14" s="1"/>
  <c r="H635" i="14"/>
  <c r="E638" i="14"/>
  <c r="N635" i="14"/>
  <c r="M122" i="22"/>
  <c r="M123" i="22" s="1"/>
  <c r="M212" i="8"/>
  <c r="I459" i="14"/>
  <c r="I194" i="8" s="1"/>
  <c r="I103" i="22"/>
  <c r="I193" i="8"/>
  <c r="I102" i="22"/>
  <c r="I192" i="8"/>
  <c r="N459" i="14"/>
  <c r="H456" i="14"/>
  <c r="J103" i="22"/>
  <c r="J193" i="8"/>
  <c r="F192" i="8"/>
  <c r="F102" i="22"/>
  <c r="K193" i="8"/>
  <c r="K103" i="22"/>
  <c r="M193" i="8"/>
  <c r="M103" i="22"/>
  <c r="J457" i="14"/>
  <c r="F454" i="14"/>
  <c r="K459" i="14"/>
  <c r="M459" i="14"/>
  <c r="M460" i="14"/>
  <c r="G193" i="8"/>
  <c r="G103" i="22"/>
  <c r="N103" i="22"/>
  <c r="N193" i="8"/>
  <c r="E456" i="14"/>
  <c r="L456" i="14"/>
  <c r="L457" i="14" s="1"/>
  <c r="L460" i="14" s="1"/>
  <c r="J185" i="8"/>
  <c r="J95" i="22"/>
  <c r="J563" i="14"/>
  <c r="J565" i="14"/>
  <c r="J82" i="22"/>
  <c r="J172" i="8"/>
  <c r="F50" i="22"/>
  <c r="F140" i="8"/>
  <c r="E243" i="22"/>
  <c r="E319" i="8"/>
  <c r="E617" i="14"/>
  <c r="E618" i="14"/>
  <c r="N319" i="8"/>
  <c r="N243" i="22"/>
  <c r="H565" i="14"/>
  <c r="H566" i="14"/>
  <c r="E565" i="14"/>
  <c r="E566" i="14"/>
  <c r="I82" i="22"/>
  <c r="I172" i="8"/>
  <c r="M565" i="14"/>
  <c r="M566" i="14"/>
  <c r="F565" i="14"/>
  <c r="F566" i="14"/>
  <c r="I563" i="14"/>
  <c r="M82" i="22"/>
  <c r="M172" i="8"/>
  <c r="F82" i="22"/>
  <c r="F172" i="8"/>
  <c r="H82" i="22"/>
  <c r="H172" i="8"/>
  <c r="K51" i="22"/>
  <c r="K141" i="8"/>
  <c r="K286" i="14"/>
  <c r="L141" i="8"/>
  <c r="L51" i="22"/>
  <c r="M144" i="14"/>
  <c r="M648" i="14"/>
  <c r="M158" i="14"/>
  <c r="F637" i="14"/>
  <c r="F638" i="14" s="1"/>
  <c r="H333" i="14"/>
  <c r="H334" i="14" s="1"/>
  <c r="H29" i="8" s="1"/>
  <c r="M259" i="22"/>
  <c r="M335" i="8"/>
  <c r="L57" i="22"/>
  <c r="L147" i="8"/>
  <c r="N57" i="22"/>
  <c r="N147" i="8"/>
  <c r="K96" i="22"/>
  <c r="K186" i="8"/>
  <c r="H96" i="22"/>
  <c r="H186" i="8"/>
  <c r="N637" i="14"/>
  <c r="N638" i="14"/>
  <c r="E640" i="14"/>
  <c r="E641" i="14"/>
  <c r="H637" i="14"/>
  <c r="H638" i="14"/>
  <c r="E58" i="22"/>
  <c r="E148" i="8"/>
  <c r="K121" i="22"/>
  <c r="K211" i="8"/>
  <c r="N331" i="14"/>
  <c r="H528" i="14"/>
  <c r="M213" i="8"/>
  <c r="I104" i="22"/>
  <c r="I195" i="8"/>
  <c r="M465" i="14"/>
  <c r="M462" i="14"/>
  <c r="M31" i="8"/>
  <c r="L459" i="14"/>
  <c r="G459" i="14"/>
  <c r="G194" i="8" s="1"/>
  <c r="E193" i="8"/>
  <c r="E103" i="22"/>
  <c r="K104" i="22"/>
  <c r="K194" i="8"/>
  <c r="J459" i="14"/>
  <c r="E457" i="14"/>
  <c r="K460" i="14"/>
  <c r="F456" i="14"/>
  <c r="F457" i="14" s="1"/>
  <c r="H103" i="22"/>
  <c r="H193" i="8"/>
  <c r="N104" i="22"/>
  <c r="N195" i="8" s="1"/>
  <c r="N194" i="8"/>
  <c r="L103" i="22"/>
  <c r="L193" i="8"/>
  <c r="M194" i="8"/>
  <c r="M104" i="22"/>
  <c r="M105" i="22" s="1"/>
  <c r="I465" i="14"/>
  <c r="H457" i="14"/>
  <c r="N460" i="14"/>
  <c r="J566" i="14"/>
  <c r="J83" i="22"/>
  <c r="J173" i="8"/>
  <c r="N618" i="14"/>
  <c r="E244" i="22"/>
  <c r="E245" i="22"/>
  <c r="E320" i="8"/>
  <c r="E572" i="14"/>
  <c r="E569" i="14"/>
  <c r="F572" i="14"/>
  <c r="F569" i="14"/>
  <c r="H569" i="14"/>
  <c r="H572" i="14"/>
  <c r="H235" i="22" s="1"/>
  <c r="I565" i="14"/>
  <c r="I566" i="14"/>
  <c r="F83" i="22"/>
  <c r="F173" i="8"/>
  <c r="E83" i="22"/>
  <c r="E173" i="8"/>
  <c r="H83" i="22"/>
  <c r="H174" i="8"/>
  <c r="H173" i="8"/>
  <c r="M572" i="14"/>
  <c r="M569" i="14"/>
  <c r="M83" i="22"/>
  <c r="M174" i="8"/>
  <c r="M173" i="8"/>
  <c r="K288" i="14"/>
  <c r="K289" i="14"/>
  <c r="N640" i="14"/>
  <c r="N641" i="14"/>
  <c r="H336" i="14"/>
  <c r="H339" i="14"/>
  <c r="H530" i="14"/>
  <c r="H531" i="14" s="1"/>
  <c r="H534" i="14" s="1"/>
  <c r="H640" i="14"/>
  <c r="H641" i="14"/>
  <c r="E59" i="22"/>
  <c r="H121" i="22"/>
  <c r="H211" i="8"/>
  <c r="E647" i="14"/>
  <c r="E259" i="22" s="1"/>
  <c r="E644" i="14"/>
  <c r="N121" i="22"/>
  <c r="N211" i="8"/>
  <c r="N333" i="14"/>
  <c r="E149" i="8"/>
  <c r="E122" i="22"/>
  <c r="E213" i="8" s="1"/>
  <c r="E212" i="8"/>
  <c r="F121" i="22"/>
  <c r="F211" i="8"/>
  <c r="H58" i="22"/>
  <c r="H148" i="8"/>
  <c r="F640" i="14"/>
  <c r="M650" i="14"/>
  <c r="M651" i="14"/>
  <c r="M653" i="14" s="1"/>
  <c r="M337" i="8" s="1"/>
  <c r="I462" i="14"/>
  <c r="I156" i="14" s="1"/>
  <c r="I105" i="22"/>
  <c r="L465" i="14"/>
  <c r="L462" i="14"/>
  <c r="L31" i="8"/>
  <c r="F459" i="14"/>
  <c r="F460" i="14"/>
  <c r="I223" i="22"/>
  <c r="I299" i="8"/>
  <c r="K195" i="8"/>
  <c r="K105" i="22"/>
  <c r="M195" i="8"/>
  <c r="G104" i="22"/>
  <c r="H459" i="14"/>
  <c r="K465" i="14"/>
  <c r="K223" i="22" s="1"/>
  <c r="K31" i="8"/>
  <c r="K462" i="14"/>
  <c r="J104" i="22"/>
  <c r="J194" i="8"/>
  <c r="N465" i="14"/>
  <c r="N31" i="8"/>
  <c r="N462" i="14"/>
  <c r="N156" i="14" s="1"/>
  <c r="E459" i="14"/>
  <c r="J460" i="14"/>
  <c r="N105" i="22"/>
  <c r="M466" i="14"/>
  <c r="M469" i="14" s="1"/>
  <c r="M472" i="14" s="1"/>
  <c r="M173" i="14"/>
  <c r="M156" i="14"/>
  <c r="M139" i="14"/>
  <c r="I139" i="14"/>
  <c r="I466" i="14"/>
  <c r="F103" i="22"/>
  <c r="F193" i="8"/>
  <c r="L104" i="22"/>
  <c r="L105" i="22"/>
  <c r="L194" i="8"/>
  <c r="M223" i="22"/>
  <c r="M299" i="8"/>
  <c r="J174" i="8"/>
  <c r="J84" i="22"/>
  <c r="J569" i="14"/>
  <c r="J573" i="14" s="1"/>
  <c r="J575" i="14" s="1"/>
  <c r="J236" i="22" s="1"/>
  <c r="J572" i="14"/>
  <c r="H84" i="22"/>
  <c r="E321" i="8"/>
  <c r="M235" i="22"/>
  <c r="M311" i="8"/>
  <c r="M84" i="22"/>
  <c r="I569" i="14"/>
  <c r="I572" i="14"/>
  <c r="H311" i="8"/>
  <c r="E84" i="22"/>
  <c r="E174" i="8"/>
  <c r="I83" i="22"/>
  <c r="I173" i="8"/>
  <c r="H573" i="14"/>
  <c r="H575" i="14" s="1"/>
  <c r="H141" i="14"/>
  <c r="H159" i="14"/>
  <c r="F573" i="14"/>
  <c r="F141" i="14"/>
  <c r="F159" i="14"/>
  <c r="E573" i="14"/>
  <c r="E141" i="14"/>
  <c r="E159" i="14"/>
  <c r="M573" i="14"/>
  <c r="M575" i="14" s="1"/>
  <c r="M236" i="22" s="1"/>
  <c r="M141" i="14"/>
  <c r="M159" i="14"/>
  <c r="F84" i="22"/>
  <c r="F174" i="8"/>
  <c r="F235" i="22"/>
  <c r="F311" i="8"/>
  <c r="E235" i="22"/>
  <c r="E311" i="8"/>
  <c r="K303" i="14"/>
  <c r="K304" i="14" s="1"/>
  <c r="K296" i="14"/>
  <c r="K298" i="14"/>
  <c r="K292" i="14"/>
  <c r="K294" i="14" s="1"/>
  <c r="K52" i="22"/>
  <c r="K142" i="8"/>
  <c r="E144" i="14"/>
  <c r="E648" i="14"/>
  <c r="E650" i="14" s="1"/>
  <c r="E336" i="8" s="1"/>
  <c r="E158" i="14"/>
  <c r="H644" i="14"/>
  <c r="H647" i="14"/>
  <c r="H648" i="14" s="1"/>
  <c r="F212" i="8"/>
  <c r="M336" i="8"/>
  <c r="M260" i="22"/>
  <c r="E123" i="22"/>
  <c r="N58" i="22"/>
  <c r="E335" i="8"/>
  <c r="H122" i="22"/>
  <c r="H213" i="8"/>
  <c r="H212" i="8"/>
  <c r="H537" i="14"/>
  <c r="H323" i="8" s="1"/>
  <c r="H197" i="22"/>
  <c r="N644" i="14"/>
  <c r="N647" i="14"/>
  <c r="N648" i="14" s="1"/>
  <c r="N650" i="14" s="1"/>
  <c r="N260" i="22" s="1"/>
  <c r="H149" i="8"/>
  <c r="H59" i="22"/>
  <c r="H97" i="22"/>
  <c r="H187" i="8"/>
  <c r="H152" i="14"/>
  <c r="H135" i="14"/>
  <c r="H169" i="14"/>
  <c r="N122" i="22"/>
  <c r="N213" i="8"/>
  <c r="N212" i="8"/>
  <c r="L195" i="8"/>
  <c r="E465" i="14"/>
  <c r="N223" i="22"/>
  <c r="N299" i="8"/>
  <c r="F465" i="14"/>
  <c r="F462" i="14"/>
  <c r="F173" i="14" s="1"/>
  <c r="F31" i="8"/>
  <c r="M468" i="14"/>
  <c r="J105" i="22"/>
  <c r="J195" i="8"/>
  <c r="H104" i="22"/>
  <c r="H194" i="8"/>
  <c r="E194" i="8"/>
  <c r="K299" i="8"/>
  <c r="I468" i="14"/>
  <c r="N139" i="14"/>
  <c r="N466" i="14"/>
  <c r="N469" i="14" s="1"/>
  <c r="K156" i="14"/>
  <c r="K173" i="14"/>
  <c r="K139" i="14"/>
  <c r="H460" i="14"/>
  <c r="H31" i="8" s="1"/>
  <c r="L156" i="14"/>
  <c r="L466" i="14"/>
  <c r="J465" i="14"/>
  <c r="J466" i="14" s="1"/>
  <c r="J31" i="8"/>
  <c r="J462" i="14"/>
  <c r="F104" i="22"/>
  <c r="F105" i="22" s="1"/>
  <c r="F194" i="8"/>
  <c r="L223" i="22"/>
  <c r="L299" i="8"/>
  <c r="J235" i="22"/>
  <c r="J311" i="8"/>
  <c r="K300" i="14"/>
  <c r="F575" i="14"/>
  <c r="F576" i="14"/>
  <c r="E575" i="14"/>
  <c r="E576" i="14"/>
  <c r="I84" i="22"/>
  <c r="I174" i="8"/>
  <c r="I235" i="22"/>
  <c r="I311" i="8"/>
  <c r="I573" i="14"/>
  <c r="I141" i="14"/>
  <c r="I159" i="14"/>
  <c r="K306" i="14"/>
  <c r="K53" i="22"/>
  <c r="K143" i="8"/>
  <c r="K191" i="22"/>
  <c r="K267" i="8"/>
  <c r="N144" i="14"/>
  <c r="N158" i="14"/>
  <c r="N123" i="22"/>
  <c r="H144" i="14"/>
  <c r="H158" i="14"/>
  <c r="M261" i="22"/>
  <c r="H335" i="8"/>
  <c r="H259" i="22"/>
  <c r="H161" i="14"/>
  <c r="H123" i="22"/>
  <c r="N259" i="22"/>
  <c r="N335" i="8"/>
  <c r="M654" i="14"/>
  <c r="M656" i="14" s="1"/>
  <c r="H247" i="22"/>
  <c r="J139" i="14"/>
  <c r="J173" i="14"/>
  <c r="J156" i="14"/>
  <c r="N468" i="14"/>
  <c r="H465" i="14"/>
  <c r="H462" i="14"/>
  <c r="H139" i="14" s="1"/>
  <c r="M224" i="22"/>
  <c r="M300" i="8"/>
  <c r="F156" i="14"/>
  <c r="J223" i="22"/>
  <c r="J299" i="8"/>
  <c r="I224" i="22"/>
  <c r="I300" i="8"/>
  <c r="F223" i="22"/>
  <c r="F299" i="8"/>
  <c r="L468" i="14"/>
  <c r="L469" i="14" s="1"/>
  <c r="K468" i="14"/>
  <c r="I469" i="14"/>
  <c r="I472" i="14" s="1"/>
  <c r="H105" i="22"/>
  <c r="H195" i="8"/>
  <c r="F195" i="8"/>
  <c r="E223" i="22"/>
  <c r="E299" i="8"/>
  <c r="J312" i="8"/>
  <c r="K168" i="14"/>
  <c r="F578" i="14"/>
  <c r="M312" i="8"/>
  <c r="H236" i="22"/>
  <c r="H312" i="8"/>
  <c r="H576" i="14"/>
  <c r="E236" i="22"/>
  <c r="E312" i="8"/>
  <c r="I575" i="14"/>
  <c r="I576" i="14"/>
  <c r="I578" i="14" s="1"/>
  <c r="M576" i="14"/>
  <c r="M578" i="14" s="1"/>
  <c r="M237" i="22" s="1"/>
  <c r="F312" i="8"/>
  <c r="F236" i="22"/>
  <c r="K268" i="8"/>
  <c r="K192" i="22"/>
  <c r="H650" i="14"/>
  <c r="H260" i="22" s="1"/>
  <c r="H651" i="14"/>
  <c r="N471" i="14"/>
  <c r="E468" i="14"/>
  <c r="E300" i="8" s="1"/>
  <c r="K224" i="22"/>
  <c r="K300" i="8"/>
  <c r="H223" i="22"/>
  <c r="H299" i="8"/>
  <c r="J468" i="14"/>
  <c r="M471" i="14"/>
  <c r="M301" i="8" s="1"/>
  <c r="I471" i="14"/>
  <c r="L471" i="14"/>
  <c r="L301" i="8" s="1"/>
  <c r="F468" i="14"/>
  <c r="F300" i="8" s="1"/>
  <c r="N224" i="22"/>
  <c r="N300" i="8"/>
  <c r="L224" i="22"/>
  <c r="L300" i="8"/>
  <c r="H578" i="14"/>
  <c r="I236" i="22"/>
  <c r="I312" i="8"/>
  <c r="N336" i="8"/>
  <c r="N651" i="14"/>
  <c r="F471" i="14"/>
  <c r="I225" i="22"/>
  <c r="I301" i="8"/>
  <c r="K471" i="14"/>
  <c r="K225" i="22" s="1"/>
  <c r="H468" i="14"/>
  <c r="E224" i="22"/>
  <c r="N301" i="8"/>
  <c r="N225" i="22"/>
  <c r="N472" i="14"/>
  <c r="N474" i="14" s="1"/>
  <c r="M313" i="8"/>
  <c r="M579" i="14"/>
  <c r="N653" i="14"/>
  <c r="H224" i="22"/>
  <c r="H300" i="8"/>
  <c r="N226" i="22"/>
  <c r="E471" i="14"/>
  <c r="E225" i="22" s="1"/>
  <c r="F225" i="22"/>
  <c r="F301" i="8"/>
  <c r="J471" i="14"/>
  <c r="K301" i="8"/>
  <c r="J225" i="22"/>
  <c r="J301" i="8"/>
  <c r="H471" i="14"/>
  <c r="H225" i="22" s="1"/>
  <c r="E301" i="8"/>
  <c r="N303" i="8"/>
  <c r="H301" i="8"/>
  <c r="I15" i="51"/>
  <c r="I47" i="51" s="1"/>
  <c r="F15" i="51"/>
  <c r="H15" i="51"/>
  <c r="O15" i="51"/>
  <c r="M15" i="51"/>
  <c r="M49" i="51" s="1"/>
  <c r="L15" i="51"/>
  <c r="K15" i="51"/>
  <c r="N15" i="51"/>
  <c r="G15" i="51"/>
  <c r="G53" i="51" s="1"/>
  <c r="J15" i="51"/>
  <c r="F60" i="51"/>
  <c r="F57" i="51"/>
  <c r="F55" i="51"/>
  <c r="F53" i="51"/>
  <c r="F50" i="51"/>
  <c r="F48" i="51"/>
  <c r="F46" i="51"/>
  <c r="F42" i="51"/>
  <c r="F39" i="51"/>
  <c r="F37" i="51"/>
  <c r="F29" i="51"/>
  <c r="F25" i="51"/>
  <c r="F30" i="51"/>
  <c r="F26" i="51"/>
  <c r="F22" i="51"/>
  <c r="F16" i="51"/>
  <c r="F59" i="51"/>
  <c r="F56" i="51"/>
  <c r="F54" i="51"/>
  <c r="F51" i="51"/>
  <c r="F49" i="51"/>
  <c r="F38" i="51"/>
  <c r="F28" i="51"/>
  <c r="F23" i="51"/>
  <c r="F47" i="51"/>
  <c r="F31" i="51"/>
  <c r="F24" i="51"/>
  <c r="F41" i="51"/>
  <c r="F43" i="51"/>
  <c r="F27" i="51"/>
  <c r="F21" i="51"/>
  <c r="G25" i="51"/>
  <c r="G16" i="51"/>
  <c r="G23" i="51"/>
  <c r="M59" i="51"/>
  <c r="M28" i="51"/>
  <c r="M57" i="51"/>
  <c r="M26" i="51"/>
  <c r="I56" i="51"/>
  <c r="I24" i="51"/>
  <c r="I55" i="51"/>
  <c r="I22" i="51"/>
  <c r="J59" i="51"/>
  <c r="J56" i="51"/>
  <c r="J54" i="51"/>
  <c r="J60" i="51"/>
  <c r="J57" i="51"/>
  <c r="J55" i="51"/>
  <c r="J53" i="51"/>
  <c r="J50" i="51"/>
  <c r="J48" i="51"/>
  <c r="J46" i="51"/>
  <c r="J42" i="51"/>
  <c r="J39" i="51"/>
  <c r="J37" i="51"/>
  <c r="J29" i="51"/>
  <c r="J25" i="51"/>
  <c r="J30" i="51"/>
  <c r="J26" i="51"/>
  <c r="J22" i="51"/>
  <c r="J16" i="51"/>
  <c r="J51" i="51"/>
  <c r="J47" i="51"/>
  <c r="J31" i="51"/>
  <c r="J24" i="51"/>
  <c r="J21" i="51"/>
  <c r="J43" i="51"/>
  <c r="J27" i="51"/>
  <c r="J28" i="51"/>
  <c r="J41" i="51"/>
  <c r="J23" i="51"/>
  <c r="J49" i="51"/>
  <c r="J38" i="51"/>
  <c r="N60" i="51"/>
  <c r="N57" i="51"/>
  <c r="N55" i="51"/>
  <c r="N53" i="51"/>
  <c r="N50" i="51"/>
  <c r="N48" i="51"/>
  <c r="N46" i="51"/>
  <c r="N42" i="51"/>
  <c r="N39" i="51"/>
  <c r="N37" i="51"/>
  <c r="N29" i="51"/>
  <c r="N25" i="51"/>
  <c r="N30" i="51"/>
  <c r="N26" i="51"/>
  <c r="N22" i="51"/>
  <c r="N16" i="51"/>
  <c r="N59" i="51"/>
  <c r="N56" i="51"/>
  <c r="N54" i="51"/>
  <c r="N51" i="51"/>
  <c r="N43" i="51"/>
  <c r="N27" i="51"/>
  <c r="N21" i="51"/>
  <c r="N31" i="51"/>
  <c r="N41" i="51"/>
  <c r="N23" i="51"/>
  <c r="N49" i="51"/>
  <c r="N38" i="51"/>
  <c r="N28" i="51"/>
  <c r="N47" i="51"/>
  <c r="N24" i="51"/>
  <c r="O60" i="51"/>
  <c r="O57" i="51"/>
  <c r="O55" i="51"/>
  <c r="O53" i="51"/>
  <c r="O50" i="51"/>
  <c r="O48" i="51"/>
  <c r="O46" i="51"/>
  <c r="O42" i="51"/>
  <c r="O39" i="51"/>
  <c r="O37" i="51"/>
  <c r="O29" i="51"/>
  <c r="O25" i="51"/>
  <c r="O30" i="51"/>
  <c r="O26" i="51"/>
  <c r="O22" i="51"/>
  <c r="O16" i="51"/>
  <c r="O59" i="51"/>
  <c r="O56" i="51"/>
  <c r="O54" i="51"/>
  <c r="O51" i="51"/>
  <c r="O49" i="51"/>
  <c r="O47" i="51"/>
  <c r="O43" i="51"/>
  <c r="O41" i="51"/>
  <c r="O38" i="51"/>
  <c r="O31" i="51"/>
  <c r="O27" i="51"/>
  <c r="O23" i="51"/>
  <c r="O28" i="51"/>
  <c r="O24" i="51"/>
  <c r="O21" i="51"/>
  <c r="L57" i="51"/>
  <c r="L55" i="51"/>
  <c r="L59" i="51"/>
  <c r="L56" i="51"/>
  <c r="L54" i="51"/>
  <c r="L51" i="51"/>
  <c r="L49" i="51"/>
  <c r="L47" i="51"/>
  <c r="L43" i="51"/>
  <c r="L41" i="51"/>
  <c r="L38" i="51"/>
  <c r="L31" i="51"/>
  <c r="L27" i="51"/>
  <c r="L23" i="51"/>
  <c r="L28" i="51"/>
  <c r="L24" i="51"/>
  <c r="L21" i="51"/>
  <c r="L53" i="51"/>
  <c r="L60" i="51"/>
  <c r="L50" i="51"/>
  <c r="L39" i="51"/>
  <c r="L30" i="51"/>
  <c r="L26" i="51"/>
  <c r="L42" i="51"/>
  <c r="L48" i="51"/>
  <c r="L37" i="51"/>
  <c r="L16" i="51"/>
  <c r="L46" i="51"/>
  <c r="L29" i="51"/>
  <c r="L22" i="51"/>
  <c r="L25" i="51"/>
  <c r="K60" i="51"/>
  <c r="K57" i="51"/>
  <c r="K55" i="51"/>
  <c r="K53" i="51"/>
  <c r="K50" i="51"/>
  <c r="K48" i="51"/>
  <c r="K46" i="51"/>
  <c r="K42" i="51"/>
  <c r="K39" i="51"/>
  <c r="K37" i="51"/>
  <c r="K29" i="51"/>
  <c r="K25" i="51"/>
  <c r="K30" i="51"/>
  <c r="K26" i="51"/>
  <c r="K22" i="51"/>
  <c r="K16" i="51"/>
  <c r="K59" i="51"/>
  <c r="K56" i="51"/>
  <c r="K54" i="51"/>
  <c r="K51" i="51"/>
  <c r="K49" i="51"/>
  <c r="K47" i="51"/>
  <c r="K43" i="51"/>
  <c r="K41" i="51"/>
  <c r="K38" i="51"/>
  <c r="K31" i="51"/>
  <c r="K27" i="51"/>
  <c r="K23" i="51"/>
  <c r="K28" i="51"/>
  <c r="K24" i="51"/>
  <c r="K21" i="51"/>
  <c r="H60" i="51"/>
  <c r="H53" i="51"/>
  <c r="H59" i="51"/>
  <c r="H56" i="51"/>
  <c r="H54" i="51"/>
  <c r="H51" i="51"/>
  <c r="H49" i="51"/>
  <c r="H47" i="51"/>
  <c r="H43" i="51"/>
  <c r="H41" i="51"/>
  <c r="H38" i="51"/>
  <c r="H31" i="51"/>
  <c r="H27" i="51"/>
  <c r="H23" i="51"/>
  <c r="H28" i="51"/>
  <c r="H24" i="51"/>
  <c r="H21" i="51"/>
  <c r="H55" i="51"/>
  <c r="H57" i="51"/>
  <c r="H42" i="51"/>
  <c r="H25" i="51"/>
  <c r="H16" i="51"/>
  <c r="H22" i="51"/>
  <c r="H50" i="51"/>
  <c r="H39" i="51"/>
  <c r="H30" i="51"/>
  <c r="H29" i="51"/>
  <c r="H48" i="51"/>
  <c r="H37" i="51"/>
  <c r="H26" i="51"/>
  <c r="H46" i="51"/>
  <c r="M474" i="14" l="1"/>
  <c r="M475" i="14"/>
  <c r="H237" i="22"/>
  <c r="H313" i="8"/>
  <c r="I29" i="51"/>
  <c r="I31" i="51"/>
  <c r="M37" i="51"/>
  <c r="M38" i="51"/>
  <c r="G41" i="51"/>
  <c r="G42" i="51"/>
  <c r="L225" i="22"/>
  <c r="L472" i="14"/>
  <c r="N261" i="22"/>
  <c r="N337" i="8"/>
  <c r="M581" i="14"/>
  <c r="M582" i="14"/>
  <c r="J224" i="22"/>
  <c r="J300" i="8"/>
  <c r="J469" i="14"/>
  <c r="J472" i="14" s="1"/>
  <c r="H653" i="14"/>
  <c r="F579" i="14"/>
  <c r="F237" i="22"/>
  <c r="F313" i="8"/>
  <c r="M338" i="8"/>
  <c r="M262" i="22"/>
  <c r="M657" i="14"/>
  <c r="M263" i="22"/>
  <c r="I46" i="51"/>
  <c r="M48" i="51"/>
  <c r="G51" i="51"/>
  <c r="N227" i="22"/>
  <c r="N654" i="14"/>
  <c r="I313" i="8"/>
  <c r="I579" i="14"/>
  <c r="I237" i="22"/>
  <c r="G60" i="51"/>
  <c r="G50" i="51"/>
  <c r="G39" i="51"/>
  <c r="G30" i="51"/>
  <c r="G59" i="51"/>
  <c r="G49" i="51"/>
  <c r="G38" i="51"/>
  <c r="G28" i="51"/>
  <c r="G57" i="51"/>
  <c r="G48" i="51"/>
  <c r="G37" i="51"/>
  <c r="G26" i="51"/>
  <c r="G56" i="51"/>
  <c r="G47" i="51"/>
  <c r="G31" i="51"/>
  <c r="G24" i="51"/>
  <c r="G55" i="51"/>
  <c r="G46" i="51"/>
  <c r="G29" i="51"/>
  <c r="G22" i="51"/>
  <c r="G54" i="51"/>
  <c r="G43" i="51"/>
  <c r="G27" i="51"/>
  <c r="G21" i="51"/>
  <c r="M56" i="51"/>
  <c r="M47" i="51"/>
  <c r="M31" i="51"/>
  <c r="M24" i="51"/>
  <c r="M55" i="51"/>
  <c r="M46" i="51"/>
  <c r="M29" i="51"/>
  <c r="M22" i="51"/>
  <c r="M54" i="51"/>
  <c r="M43" i="51"/>
  <c r="M27" i="51"/>
  <c r="M21" i="51"/>
  <c r="M53" i="51"/>
  <c r="M42" i="51"/>
  <c r="M25" i="51"/>
  <c r="M16" i="51"/>
  <c r="M51" i="51"/>
  <c r="M41" i="51"/>
  <c r="M23" i="51"/>
  <c r="M60" i="51"/>
  <c r="M50" i="51"/>
  <c r="M39" i="51"/>
  <c r="M30" i="51"/>
  <c r="I54" i="51"/>
  <c r="I43" i="51"/>
  <c r="I27" i="51"/>
  <c r="I21" i="51"/>
  <c r="I53" i="51"/>
  <c r="I42" i="51"/>
  <c r="I25" i="51"/>
  <c r="I16" i="51"/>
  <c r="I51" i="51"/>
  <c r="I41" i="51"/>
  <c r="I23" i="51"/>
  <c r="I60" i="51"/>
  <c r="I50" i="51"/>
  <c r="I39" i="51"/>
  <c r="I30" i="51"/>
  <c r="I59" i="51"/>
  <c r="I49" i="51"/>
  <c r="I38" i="51"/>
  <c r="I28" i="51"/>
  <c r="I57" i="51"/>
  <c r="I48" i="51"/>
  <c r="I37" i="51"/>
  <c r="I26" i="51"/>
  <c r="N475" i="14"/>
  <c r="N302" i="8"/>
  <c r="H579" i="14"/>
  <c r="I474" i="14"/>
  <c r="H466" i="14"/>
  <c r="H469" i="14" s="1"/>
  <c r="H472" i="14" s="1"/>
  <c r="H156" i="14"/>
  <c r="H173" i="14"/>
  <c r="M339" i="8"/>
  <c r="E578" i="14"/>
  <c r="F466" i="14"/>
  <c r="F469" i="14" s="1"/>
  <c r="F472" i="14" s="1"/>
  <c r="N334" i="14"/>
  <c r="N148" i="8"/>
  <c r="N59" i="22"/>
  <c r="N149" i="8"/>
  <c r="F641" i="14"/>
  <c r="F122" i="22"/>
  <c r="K640" i="14"/>
  <c r="K641" i="14"/>
  <c r="H286" i="14"/>
  <c r="H285" i="14"/>
  <c r="L562" i="14"/>
  <c r="L563" i="14"/>
  <c r="J56" i="22"/>
  <c r="J328" i="14"/>
  <c r="J146" i="8"/>
  <c r="E50" i="22"/>
  <c r="E283" i="14"/>
  <c r="E140" i="8"/>
  <c r="M225" i="22"/>
  <c r="F224" i="22"/>
  <c r="H336" i="8"/>
  <c r="E260" i="22"/>
  <c r="J576" i="14"/>
  <c r="E651" i="14"/>
  <c r="K134" i="14"/>
  <c r="K151" i="14"/>
  <c r="J159" i="14"/>
  <c r="K307" i="14"/>
  <c r="H340" i="14"/>
  <c r="H273" i="8"/>
  <c r="H98" i="22"/>
  <c r="H188" i="8"/>
  <c r="I286" i="14"/>
  <c r="I51" i="22"/>
  <c r="I141" i="8"/>
  <c r="I74" i="22"/>
  <c r="I410" i="14"/>
  <c r="I164" i="8"/>
  <c r="N184" i="8"/>
  <c r="N522" i="14"/>
  <c r="N94" i="22"/>
  <c r="F139" i="14"/>
  <c r="J141" i="14"/>
  <c r="E460" i="14"/>
  <c r="E104" i="22"/>
  <c r="L173" i="14"/>
  <c r="L139" i="14"/>
  <c r="H538" i="14"/>
  <c r="H143" i="14"/>
  <c r="E336" i="14"/>
  <c r="E29" i="8"/>
  <c r="E339" i="14"/>
  <c r="L333" i="14"/>
  <c r="N320" i="8"/>
  <c r="N244" i="22"/>
  <c r="F51" i="22"/>
  <c r="F286" i="14"/>
  <c r="F141" i="8"/>
  <c r="J285" i="14"/>
  <c r="I637" i="14"/>
  <c r="I638" i="14"/>
  <c r="K248" i="37"/>
  <c r="K82" i="37"/>
  <c r="K107" i="37"/>
  <c r="K94" i="37"/>
  <c r="K32" i="37"/>
  <c r="K155" i="37"/>
  <c r="K188" i="37"/>
  <c r="K25" i="37"/>
  <c r="K261" i="37"/>
  <c r="K70" i="37"/>
  <c r="K255" i="37"/>
  <c r="K119" i="37"/>
  <c r="K174" i="37"/>
  <c r="K31" i="10" s="1"/>
  <c r="K143" i="37"/>
  <c r="K181" i="37"/>
  <c r="K224" i="37"/>
  <c r="K58" i="37"/>
  <c r="K240" i="37"/>
  <c r="K39" i="37"/>
  <c r="K113" i="37"/>
  <c r="K131" i="37"/>
  <c r="K167" i="37"/>
  <c r="K46" i="37"/>
  <c r="K195" i="37"/>
  <c r="M160" i="14"/>
  <c r="M142" i="14"/>
  <c r="M608" i="14"/>
  <c r="M609" i="14"/>
  <c r="N173" i="14"/>
  <c r="I173" i="14"/>
  <c r="K530" i="14"/>
  <c r="K531" i="14"/>
  <c r="L288" i="14"/>
  <c r="L637" i="14"/>
  <c r="L638" i="14"/>
  <c r="L530" i="14"/>
  <c r="L531" i="14"/>
  <c r="N164" i="8"/>
  <c r="N410" i="14"/>
  <c r="N74" i="22"/>
  <c r="J210" i="8"/>
  <c r="J120" i="22"/>
  <c r="N563" i="14"/>
  <c r="N562" i="14"/>
  <c r="H609" i="14"/>
  <c r="H160" i="14"/>
  <c r="H142" i="14"/>
  <c r="H44" i="37" s="1"/>
  <c r="H608" i="14"/>
  <c r="L160" i="14"/>
  <c r="L608" i="14"/>
  <c r="L142" i="14"/>
  <c r="K56" i="22"/>
  <c r="K146" i="8"/>
  <c r="L74" i="22"/>
  <c r="L164" i="8"/>
  <c r="L410" i="14"/>
  <c r="M410" i="14"/>
  <c r="M74" i="22"/>
  <c r="M164" i="8"/>
  <c r="K409" i="14"/>
  <c r="K410" i="14"/>
  <c r="N174" i="37"/>
  <c r="N31" i="10" s="1"/>
  <c r="N195" i="37"/>
  <c r="N188" i="37"/>
  <c r="N25" i="37"/>
  <c r="N261" i="37"/>
  <c r="N70" i="37"/>
  <c r="N155" i="37"/>
  <c r="N143" i="37"/>
  <c r="N181" i="37"/>
  <c r="N224" i="37"/>
  <c r="N58" i="37"/>
  <c r="N255" i="37"/>
  <c r="N119" i="37"/>
  <c r="N113" i="37"/>
  <c r="N131" i="37"/>
  <c r="N167" i="37"/>
  <c r="N46" i="37"/>
  <c r="N248" i="37"/>
  <c r="N240" i="37"/>
  <c r="N39" i="37"/>
  <c r="N82" i="37"/>
  <c r="N107" i="37"/>
  <c r="N94" i="37"/>
  <c r="N32" i="37"/>
  <c r="K466" i="14"/>
  <c r="K469" i="14" s="1"/>
  <c r="K472" i="14" s="1"/>
  <c r="H74" i="22"/>
  <c r="H164" i="8"/>
  <c r="H410" i="14"/>
  <c r="E164" i="8"/>
  <c r="E74" i="22"/>
  <c r="K562" i="14"/>
  <c r="J248" i="37"/>
  <c r="J155" i="37"/>
  <c r="J143" i="37"/>
  <c r="J181" i="37"/>
  <c r="J224" i="37"/>
  <c r="J58" i="37"/>
  <c r="J255" i="37"/>
  <c r="J119" i="37"/>
  <c r="J113" i="37"/>
  <c r="J131" i="37"/>
  <c r="J167" i="37"/>
  <c r="J46" i="37"/>
  <c r="J174" i="37"/>
  <c r="J31" i="10" s="1"/>
  <c r="J240" i="37"/>
  <c r="J39" i="37"/>
  <c r="J82" i="37"/>
  <c r="J107" i="37"/>
  <c r="J94" i="37"/>
  <c r="J32" i="37"/>
  <c r="J195" i="37"/>
  <c r="J188" i="37"/>
  <c r="J25" i="37"/>
  <c r="J261" i="37"/>
  <c r="J70" i="37"/>
  <c r="M140" i="8"/>
  <c r="M50" i="22"/>
  <c r="K611" i="14"/>
  <c r="K612" i="14" s="1"/>
  <c r="J527" i="14"/>
  <c r="J608" i="14"/>
  <c r="J160" i="14"/>
  <c r="I22" i="46"/>
  <c r="I48" i="37"/>
  <c r="M1580" i="14"/>
  <c r="L1580" i="14"/>
  <c r="N1580" i="14"/>
  <c r="I1580" i="14"/>
  <c r="J1580" i="14"/>
  <c r="E1580" i="14"/>
  <c r="F1580" i="14"/>
  <c r="K1580" i="14"/>
  <c r="G1580" i="14"/>
  <c r="Q14" i="7"/>
  <c r="D28" i="21"/>
  <c r="D26" i="21"/>
  <c r="Q15" i="7" s="1"/>
  <c r="G25" i="8"/>
  <c r="G176" i="14"/>
  <c r="I25" i="8"/>
  <c r="I176" i="14"/>
  <c r="C58" i="36"/>
  <c r="F178" i="36"/>
  <c r="J635" i="14"/>
  <c r="E15" i="11"/>
  <c r="E522" i="14"/>
  <c r="E184" i="8"/>
  <c r="F20" i="46"/>
  <c r="F47" i="37"/>
  <c r="N22" i="46"/>
  <c r="N48" i="37"/>
  <c r="K328" i="14"/>
  <c r="E410" i="14"/>
  <c r="M283" i="14"/>
  <c r="I142" i="14"/>
  <c r="I160" i="14"/>
  <c r="I608" i="14"/>
  <c r="K1828" i="14"/>
  <c r="E1828" i="14"/>
  <c r="I1828" i="14"/>
  <c r="G1828" i="14"/>
  <c r="L1828" i="14"/>
  <c r="J1828" i="14"/>
  <c r="M1828" i="14"/>
  <c r="N1828" i="14"/>
  <c r="F1828" i="14"/>
  <c r="N1167" i="14"/>
  <c r="I1167" i="14"/>
  <c r="K1167" i="14"/>
  <c r="J1167" i="14"/>
  <c r="F1167" i="14"/>
  <c r="L1167" i="14"/>
  <c r="M1167" i="14"/>
  <c r="E1167" i="14"/>
  <c r="G1167" i="14"/>
  <c r="I1482" i="14"/>
  <c r="G1482" i="14"/>
  <c r="J1482" i="14"/>
  <c r="M1482" i="14"/>
  <c r="N1482" i="14"/>
  <c r="F1482" i="14"/>
  <c r="K1482" i="14"/>
  <c r="E1482" i="14"/>
  <c r="F1017" i="14"/>
  <c r="K1017" i="14"/>
  <c r="N1017" i="14"/>
  <c r="J1017" i="14"/>
  <c r="M1017" i="14"/>
  <c r="I1017" i="14"/>
  <c r="E1017" i="14"/>
  <c r="L1017" i="14"/>
  <c r="G1017" i="14"/>
  <c r="E76" i="14"/>
  <c r="E84" i="14" s="1"/>
  <c r="E77" i="14"/>
  <c r="E85" i="14" s="1"/>
  <c r="H25" i="8"/>
  <c r="H176" i="14"/>
  <c r="F176" i="14"/>
  <c r="F25" i="8"/>
  <c r="N282" i="14"/>
  <c r="N283" i="14" s="1"/>
  <c r="J609" i="14"/>
  <c r="F524" i="14"/>
  <c r="F525" i="14"/>
  <c r="F331" i="14"/>
  <c r="M527" i="14"/>
  <c r="M528" i="14"/>
  <c r="M327" i="14"/>
  <c r="M328" i="14"/>
  <c r="E1381" i="14"/>
  <c r="L1381" i="14"/>
  <c r="F1381" i="14"/>
  <c r="J1381" i="14"/>
  <c r="K1381" i="14"/>
  <c r="I1381" i="14"/>
  <c r="M1381" i="14"/>
  <c r="N1381" i="14"/>
  <c r="G1381" i="14"/>
  <c r="K1681" i="14"/>
  <c r="N1681" i="14"/>
  <c r="J1681" i="14"/>
  <c r="E1681" i="14"/>
  <c r="I1681" i="14"/>
  <c r="G1681" i="14"/>
  <c r="M1681" i="14"/>
  <c r="F1681" i="14"/>
  <c r="L1681" i="14"/>
  <c r="F1216" i="14"/>
  <c r="M1216" i="14"/>
  <c r="N1216" i="14"/>
  <c r="I1216" i="14"/>
  <c r="K1216" i="14"/>
  <c r="J1216" i="14"/>
  <c r="E1216" i="14"/>
  <c r="G1216" i="14"/>
  <c r="L1216" i="14"/>
  <c r="F330" i="14"/>
  <c r="H191" i="8"/>
  <c r="I325" i="14"/>
  <c r="J359" i="14"/>
  <c r="J151" i="8" s="1"/>
  <c r="L269" i="22"/>
  <c r="I521" i="14"/>
  <c r="E1826" i="14"/>
  <c r="E1281" i="14"/>
  <c r="G445" i="14"/>
  <c r="G451" i="14" s="1"/>
  <c r="G454" i="14" s="1"/>
  <c r="G457" i="14" s="1"/>
  <c r="G460" i="14" s="1"/>
  <c r="M47" i="38"/>
  <c r="M15" i="38"/>
  <c r="M23" i="38"/>
  <c r="I132" i="39"/>
  <c r="F866" i="14"/>
  <c r="E1330" i="14"/>
  <c r="E1116" i="14"/>
  <c r="E1627" i="14"/>
  <c r="I19" i="36"/>
  <c r="S9" i="23"/>
  <c r="G9" i="23" s="1"/>
  <c r="G22" i="14" s="1"/>
  <c r="K15" i="38"/>
  <c r="K23" i="38"/>
  <c r="J47" i="38"/>
  <c r="J39" i="38"/>
  <c r="J15" i="38"/>
  <c r="E24" i="42"/>
  <c r="K24" i="42"/>
  <c r="L15" i="23"/>
  <c r="K15" i="23"/>
  <c r="H20" i="42"/>
  <c r="H24" i="42"/>
  <c r="L27" i="7"/>
  <c r="K27" i="7"/>
  <c r="O295" i="21"/>
  <c r="P295" i="21" s="1"/>
  <c r="Q295" i="21" s="1"/>
  <c r="R295" i="21" s="1"/>
  <c r="S276" i="21"/>
  <c r="G863" i="14"/>
  <c r="H912" i="14"/>
  <c r="K863" i="14"/>
  <c r="L912" i="14"/>
  <c r="E863" i="14"/>
  <c r="F863" i="14"/>
  <c r="G912" i="14"/>
  <c r="J863" i="14"/>
  <c r="K912" i="14"/>
  <c r="N863" i="14"/>
  <c r="E912" i="14"/>
  <c r="F912" i="14"/>
  <c r="I863" i="14"/>
  <c r="J912" i="14"/>
  <c r="M863" i="14"/>
  <c r="N912" i="14"/>
  <c r="H863" i="14"/>
  <c r="I912" i="14"/>
  <c r="L863" i="14"/>
  <c r="M912" i="14"/>
  <c r="E277" i="21"/>
  <c r="L1821" i="14"/>
  <c r="M1772" i="14"/>
  <c r="N1723" i="14"/>
  <c r="J1723" i="14"/>
  <c r="K1674" i="14"/>
  <c r="K1821" i="14"/>
  <c r="L1772" i="14"/>
  <c r="M1723" i="14"/>
  <c r="N1674" i="14"/>
  <c r="J1674" i="14"/>
  <c r="N1622" i="14"/>
  <c r="J1622" i="14"/>
  <c r="K1573" i="14"/>
  <c r="N294" i="21"/>
  <c r="O294" i="21" s="1"/>
  <c r="P294" i="21" s="1"/>
  <c r="Q294" i="21" s="1"/>
  <c r="R276" i="21"/>
  <c r="G108" i="24"/>
  <c r="G105" i="24"/>
  <c r="G104" i="24"/>
  <c r="G112" i="24"/>
  <c r="G106" i="24"/>
  <c r="G103" i="24"/>
  <c r="G111" i="24"/>
  <c r="G110" i="24"/>
  <c r="G109" i="24"/>
  <c r="G107" i="24"/>
  <c r="K111" i="24"/>
  <c r="K109" i="24"/>
  <c r="K106" i="24"/>
  <c r="K112" i="24"/>
  <c r="K110" i="24"/>
  <c r="K108" i="24"/>
  <c r="K107" i="24"/>
  <c r="K105" i="24"/>
  <c r="K104" i="24"/>
  <c r="K103" i="24"/>
  <c r="W9" i="23" s="1"/>
  <c r="K9" i="23" s="1"/>
  <c r="K22" i="14" s="1"/>
  <c r="G18" i="4"/>
  <c r="G43" i="8" s="1"/>
  <c r="K20" i="32"/>
  <c r="G24" i="32"/>
  <c r="I276" i="21"/>
  <c r="E19" i="46"/>
  <c r="I19" i="46"/>
  <c r="M19" i="46"/>
  <c r="Z10" i="23"/>
  <c r="N10" i="23" s="1"/>
  <c r="N61" i="14" s="1"/>
  <c r="N78" i="37" s="1"/>
  <c r="G7" i="14"/>
  <c r="H110" i="24"/>
  <c r="H112" i="24"/>
  <c r="H111" i="24"/>
  <c r="H109" i="24"/>
  <c r="H108" i="24"/>
  <c r="H107" i="24"/>
  <c r="H106" i="24"/>
  <c r="H105" i="24"/>
  <c r="H104" i="24"/>
  <c r="H103" i="24"/>
  <c r="L108" i="24"/>
  <c r="L107" i="24"/>
  <c r="L106" i="24"/>
  <c r="L105" i="24"/>
  <c r="L104" i="24"/>
  <c r="L103" i="24"/>
  <c r="X9" i="23" s="1"/>
  <c r="L9" i="23" s="1"/>
  <c r="L22" i="14" s="1"/>
  <c r="L34" i="46" s="1"/>
  <c r="L112" i="24"/>
  <c r="L111" i="24"/>
  <c r="L110" i="24"/>
  <c r="L109" i="24"/>
  <c r="J34" i="14"/>
  <c r="J46" i="46"/>
  <c r="K46" i="46"/>
  <c r="K34" i="14"/>
  <c r="L34" i="14"/>
  <c r="L46" i="46"/>
  <c r="M34" i="14"/>
  <c r="M46" i="46"/>
  <c r="I34" i="14"/>
  <c r="I46" i="46"/>
  <c r="H34" i="14"/>
  <c r="H46" i="46"/>
  <c r="G46" i="46"/>
  <c r="G34" i="14"/>
  <c r="F34" i="14"/>
  <c r="F46" i="46"/>
  <c r="E34" i="14"/>
  <c r="E46" i="46"/>
  <c r="N34" i="14"/>
  <c r="N46" i="46"/>
  <c r="L1" i="51"/>
  <c r="H1" i="51"/>
  <c r="O1" i="51"/>
  <c r="K1" i="51"/>
  <c r="G1" i="51"/>
  <c r="N1" i="51"/>
  <c r="J1" i="51"/>
  <c r="F1" i="51"/>
  <c r="M1" i="51"/>
  <c r="I1" i="51"/>
  <c r="K1310" i="14"/>
  <c r="F1312" i="14"/>
  <c r="J1312" i="14"/>
  <c r="N1312" i="14"/>
  <c r="L1313" i="14"/>
  <c r="K1314" i="14"/>
  <c r="F1319" i="14"/>
  <c r="J1319" i="14"/>
  <c r="N1319" i="14"/>
  <c r="H1360" i="14"/>
  <c r="L1360" i="14"/>
  <c r="G1361" i="14"/>
  <c r="G1362" i="14"/>
  <c r="N1362" i="14"/>
  <c r="L1363" i="14"/>
  <c r="K1364" i="14"/>
  <c r="G1365" i="14"/>
  <c r="G1366" i="14"/>
  <c r="N1366" i="14"/>
  <c r="L1367" i="14"/>
  <c r="I1368" i="14"/>
  <c r="N1368" i="14"/>
  <c r="J1412" i="14"/>
  <c r="M1412" i="14"/>
  <c r="H1413" i="14"/>
  <c r="L1413" i="14"/>
  <c r="G1416" i="14"/>
  <c r="L1416" i="14"/>
  <c r="F1417" i="14"/>
  <c r="J1417" i="14"/>
  <c r="N1417" i="14"/>
  <c r="G1513" i="14"/>
  <c r="F1514" i="14"/>
  <c r="K1514" i="14"/>
  <c r="G1515" i="14"/>
  <c r="G1615" i="14"/>
  <c r="K1615" i="14"/>
  <c r="F1616" i="14"/>
  <c r="J1616" i="14"/>
  <c r="N1616" i="14"/>
  <c r="F19" i="46"/>
  <c r="J19" i="46"/>
  <c r="N19" i="46"/>
  <c r="E7" i="14"/>
  <c r="I112" i="24"/>
  <c r="I111" i="24"/>
  <c r="I110" i="24"/>
  <c r="I109" i="24"/>
  <c r="I108" i="24"/>
  <c r="I107" i="24"/>
  <c r="I106" i="24"/>
  <c r="I105" i="24"/>
  <c r="I104" i="24"/>
  <c r="I103" i="24"/>
  <c r="U9" i="23" s="1"/>
  <c r="I9" i="23" s="1"/>
  <c r="I22" i="14" s="1"/>
  <c r="M112" i="24"/>
  <c r="M111" i="24"/>
  <c r="M110" i="24"/>
  <c r="M109" i="24"/>
  <c r="M108" i="24"/>
  <c r="M107" i="24"/>
  <c r="M106" i="24"/>
  <c r="M105" i="24"/>
  <c r="M104" i="24"/>
  <c r="M103" i="24"/>
  <c r="Y9" i="23" s="1"/>
  <c r="M9" i="23" s="1"/>
  <c r="M22" i="14" s="1"/>
  <c r="E16" i="31"/>
  <c r="E15" i="41"/>
  <c r="L1310" i="14"/>
  <c r="L1314" i="14"/>
  <c r="I1360" i="14"/>
  <c r="M1360" i="14"/>
  <c r="K1361" i="14"/>
  <c r="M1364" i="14"/>
  <c r="K1365" i="14"/>
  <c r="I1413" i="14"/>
  <c r="M1413" i="14"/>
  <c r="H1416" i="14"/>
  <c r="N1416" i="14"/>
  <c r="K1513" i="14"/>
  <c r="G1514" i="14"/>
  <c r="M1514" i="14"/>
  <c r="K1515" i="14"/>
  <c r="H1615" i="14"/>
  <c r="L1615" i="14"/>
  <c r="K19" i="46"/>
  <c r="I80" i="14"/>
  <c r="I88" i="14" s="1"/>
  <c r="J112" i="24"/>
  <c r="J111" i="24"/>
  <c r="J110" i="24"/>
  <c r="J109" i="24"/>
  <c r="J108" i="24"/>
  <c r="J107" i="24"/>
  <c r="J106" i="24"/>
  <c r="J105" i="24"/>
  <c r="J104" i="24"/>
  <c r="J103" i="24"/>
  <c r="N112" i="24"/>
  <c r="N111" i="24"/>
  <c r="N110" i="24"/>
  <c r="N109" i="24"/>
  <c r="N108" i="24"/>
  <c r="N107" i="24"/>
  <c r="N106" i="24"/>
  <c r="N105" i="24"/>
  <c r="N104" i="24"/>
  <c r="N103" i="24"/>
  <c r="G1310" i="14"/>
  <c r="H1312" i="14"/>
  <c r="G1314" i="14"/>
  <c r="H1319" i="14"/>
  <c r="F1360" i="14"/>
  <c r="J1360" i="14"/>
  <c r="G1364" i="14"/>
  <c r="F1368" i="14"/>
  <c r="G1412" i="14"/>
  <c r="F1413" i="14"/>
  <c r="J1413" i="14"/>
  <c r="J1416" i="14"/>
  <c r="H1417" i="14"/>
  <c r="E1513" i="14"/>
  <c r="I1514" i="14"/>
  <c r="I1615" i="14"/>
  <c r="H1616" i="14"/>
  <c r="H19" i="46"/>
  <c r="L19" i="46"/>
  <c r="L276" i="21"/>
  <c r="M359" i="14"/>
  <c r="M360" i="14" s="1"/>
  <c r="M362" i="14" s="1"/>
  <c r="M62" i="22" s="1"/>
  <c r="V9" i="23"/>
  <c r="J9" i="23" s="1"/>
  <c r="J22" i="14" s="1"/>
  <c r="T9" i="23"/>
  <c r="H9" i="23" s="1"/>
  <c r="H22" i="14" s="1"/>
  <c r="H34" i="46" s="1"/>
  <c r="E11" i="24"/>
  <c r="Q5" i="23" s="1"/>
  <c r="E5" i="23" s="1"/>
  <c r="E145" i="14" s="1"/>
  <c r="D8" i="34" s="1"/>
  <c r="E13" i="24"/>
  <c r="M485" i="14"/>
  <c r="M486" i="14" s="1"/>
  <c r="M488" i="14" s="1"/>
  <c r="F592" i="14"/>
  <c r="F598" i="14"/>
  <c r="F595" i="14"/>
  <c r="F601" i="14"/>
  <c r="D47" i="47"/>
  <c r="C48" i="47"/>
  <c r="L359" i="14"/>
  <c r="N359" i="14"/>
  <c r="N151" i="8" s="1"/>
  <c r="L485" i="14"/>
  <c r="L107" i="22" s="1"/>
  <c r="L135" i="22" s="1"/>
  <c r="F359" i="14"/>
  <c r="F360" i="14" s="1"/>
  <c r="F362" i="14" s="1"/>
  <c r="F152" i="8" s="1"/>
  <c r="G22" i="32"/>
  <c r="Y10" i="23"/>
  <c r="M10" i="23" s="1"/>
  <c r="M61" i="14" s="1"/>
  <c r="X10" i="23"/>
  <c r="L10" i="23" s="1"/>
  <c r="L61" i="14" s="1"/>
  <c r="L78" i="37" s="1"/>
  <c r="T10" i="23"/>
  <c r="H10" i="23" s="1"/>
  <c r="H61" i="14" s="1"/>
  <c r="H73" i="46" s="1"/>
  <c r="Z9" i="23"/>
  <c r="N9" i="23" s="1"/>
  <c r="N22" i="14" s="1"/>
  <c r="N34" i="46" s="1"/>
  <c r="H77" i="24"/>
  <c r="T21" i="23" s="1"/>
  <c r="H21" i="23" s="1"/>
  <c r="H76" i="24"/>
  <c r="T12" i="23" s="1"/>
  <c r="H12" i="23" s="1"/>
  <c r="H40" i="14" s="1"/>
  <c r="H52" i="46" s="1"/>
  <c r="G18" i="32"/>
  <c r="F15" i="23"/>
  <c r="J15" i="23"/>
  <c r="N15" i="23"/>
  <c r="G16" i="32"/>
  <c r="S11" i="23"/>
  <c r="G11" i="23" s="1"/>
  <c r="G104" i="14" s="1"/>
  <c r="G89" i="37" s="1"/>
  <c r="J398" i="14"/>
  <c r="J401" i="14" s="1"/>
  <c r="I359" i="14"/>
  <c r="I360" i="14" s="1"/>
  <c r="I362" i="14" s="1"/>
  <c r="I363" i="14" s="1"/>
  <c r="I921" i="14"/>
  <c r="H849" i="14"/>
  <c r="G601" i="14"/>
  <c r="G15" i="23"/>
  <c r="F38" i="14"/>
  <c r="G20" i="32"/>
  <c r="J117" i="14"/>
  <c r="H116" i="14"/>
  <c r="J851" i="14"/>
  <c r="J403" i="14" s="1"/>
  <c r="H359" i="14"/>
  <c r="H360" i="14" s="1"/>
  <c r="H120" i="14"/>
  <c r="F399" i="14"/>
  <c r="F401" i="14" s="1"/>
  <c r="E15" i="23"/>
  <c r="I15" i="23"/>
  <c r="M15" i="23"/>
  <c r="M185" i="14"/>
  <c r="M187" i="14" s="1"/>
  <c r="M189" i="14"/>
  <c r="M191" i="14" s="1"/>
  <c r="N357" i="14"/>
  <c r="N197" i="14"/>
  <c r="N199" i="14" s="1"/>
  <c r="N193" i="14"/>
  <c r="N195" i="14" s="1"/>
  <c r="J90" i="24"/>
  <c r="J91" i="24"/>
  <c r="F95" i="24"/>
  <c r="F93" i="24"/>
  <c r="K689" i="14"/>
  <c r="K691" i="14" s="1"/>
  <c r="K713" i="14"/>
  <c r="K715" i="14" s="1"/>
  <c r="K705" i="14"/>
  <c r="K707" i="14" s="1"/>
  <c r="M1279" i="14"/>
  <c r="N61" i="22"/>
  <c r="H1114" i="14"/>
  <c r="I1329" i="14"/>
  <c r="I1115" i="14"/>
  <c r="E18" i="14"/>
  <c r="E30" i="46" s="1"/>
  <c r="E1478" i="14"/>
  <c r="E1328" i="14"/>
  <c r="E1625" i="14"/>
  <c r="E1775" i="14"/>
  <c r="E1013" i="14"/>
  <c r="E39" i="14"/>
  <c r="E51" i="46" s="1"/>
  <c r="E964" i="14"/>
  <c r="E1065" i="14"/>
  <c r="E1072" i="14" s="1"/>
  <c r="E1114" i="14"/>
  <c r="E1377" i="14"/>
  <c r="E1426" i="14"/>
  <c r="E1576" i="14"/>
  <c r="E1677" i="14"/>
  <c r="E866" i="14"/>
  <c r="E1212" i="14"/>
  <c r="E915" i="14"/>
  <c r="E1726" i="14"/>
  <c r="E47" i="14"/>
  <c r="E71" i="37" s="1"/>
  <c r="E1279" i="14"/>
  <c r="E1527" i="14"/>
  <c r="E1163" i="14"/>
  <c r="G64" i="37"/>
  <c r="G52" i="46"/>
  <c r="L52" i="46"/>
  <c r="L64" i="37"/>
  <c r="K39" i="14"/>
  <c r="K51" i="46" s="1"/>
  <c r="K1625" i="14"/>
  <c r="K1527" i="14"/>
  <c r="K1726" i="14"/>
  <c r="J73" i="46"/>
  <c r="J78" i="37"/>
  <c r="M59" i="46"/>
  <c r="F915" i="14"/>
  <c r="M52" i="46"/>
  <c r="F47" i="14"/>
  <c r="F71" i="37" s="1"/>
  <c r="M693" i="14"/>
  <c r="M695" i="14" s="1"/>
  <c r="T11" i="23"/>
  <c r="H11" i="23" s="1"/>
  <c r="H104" i="14" s="1"/>
  <c r="H89" i="37" s="1"/>
  <c r="K1065" i="14"/>
  <c r="K1163" i="14"/>
  <c r="K47" i="14"/>
  <c r="K59" i="46" s="1"/>
  <c r="K1426" i="14"/>
  <c r="H78" i="37"/>
  <c r="K1478" i="14"/>
  <c r="K1114" i="14"/>
  <c r="I1014" i="14"/>
  <c r="E1280" i="14"/>
  <c r="M713" i="14"/>
  <c r="M715" i="14" s="1"/>
  <c r="K1328" i="14"/>
  <c r="K1279" i="14"/>
  <c r="K964" i="14"/>
  <c r="K915" i="14"/>
  <c r="I1066" i="14"/>
  <c r="M717" i="14"/>
  <c r="M719" i="14" s="1"/>
  <c r="H1726" i="14"/>
  <c r="H964" i="14"/>
  <c r="M915" i="14"/>
  <c r="H1163" i="14"/>
  <c r="H1426" i="14"/>
  <c r="G1479" i="14"/>
  <c r="L61" i="22"/>
  <c r="L360" i="14"/>
  <c r="L362" i="14" s="1"/>
  <c r="I78" i="37"/>
  <c r="M193" i="14"/>
  <c r="M195" i="14" s="1"/>
  <c r="M689" i="14"/>
  <c r="M691" i="14" s="1"/>
  <c r="M697" i="14"/>
  <c r="M699" i="14" s="1"/>
  <c r="K78" i="37"/>
  <c r="M1625" i="14"/>
  <c r="M197" i="14"/>
  <c r="M199" i="14" s="1"/>
  <c r="M709" i="14"/>
  <c r="M711" i="14" s="1"/>
  <c r="I357" i="14"/>
  <c r="N73" i="46"/>
  <c r="M1426" i="14"/>
  <c r="M1677" i="14"/>
  <c r="M705" i="14"/>
  <c r="M707" i="14" s="1"/>
  <c r="M701" i="14"/>
  <c r="M703" i="14" s="1"/>
  <c r="L357" i="14"/>
  <c r="H1478" i="14"/>
  <c r="H1212" i="14"/>
  <c r="H915" i="14"/>
  <c r="F1726" i="14"/>
  <c r="F1527" i="14"/>
  <c r="F1775" i="14"/>
  <c r="F1478" i="14"/>
  <c r="F1065" i="14"/>
  <c r="F1377" i="14"/>
  <c r="F1677" i="14"/>
  <c r="F1279" i="14"/>
  <c r="F964" i="14"/>
  <c r="N52" i="46"/>
  <c r="M1013" i="14"/>
  <c r="M1328" i="14"/>
  <c r="M1527" i="14"/>
  <c r="H64" i="37"/>
  <c r="M18" i="14"/>
  <c r="M866" i="14"/>
  <c r="M964" i="14"/>
  <c r="M1377" i="14"/>
  <c r="M1576" i="14"/>
  <c r="M1114" i="14"/>
  <c r="F1163" i="14"/>
  <c r="F1576" i="14"/>
  <c r="F1114" i="14"/>
  <c r="F1625" i="14"/>
  <c r="F1212" i="14"/>
  <c r="F1328" i="14"/>
  <c r="F1426" i="14"/>
  <c r="M1212" i="14"/>
  <c r="M1726" i="14"/>
  <c r="M1478" i="14"/>
  <c r="M1775" i="14"/>
  <c r="H701" i="14"/>
  <c r="H703" i="14" s="1"/>
  <c r="H693" i="14"/>
  <c r="H695" i="14" s="1"/>
  <c r="H193" i="14"/>
  <c r="H195" i="14" s="1"/>
  <c r="H709" i="14"/>
  <c r="H711" i="14" s="1"/>
  <c r="H705" i="14"/>
  <c r="H707" i="14" s="1"/>
  <c r="H185" i="14"/>
  <c r="H187" i="14" s="1"/>
  <c r="H189" i="14"/>
  <c r="H191" i="14" s="1"/>
  <c r="H697" i="14"/>
  <c r="H699" i="14" s="1"/>
  <c r="H689" i="14"/>
  <c r="H691" i="14" s="1"/>
  <c r="H717" i="14"/>
  <c r="H719" i="14" s="1"/>
  <c r="H197" i="14"/>
  <c r="H199" i="14" s="1"/>
  <c r="H713" i="14"/>
  <c r="H715" i="14" s="1"/>
  <c r="L705" i="14"/>
  <c r="L707" i="14" s="1"/>
  <c r="L693" i="14"/>
  <c r="L695" i="14" s="1"/>
  <c r="L713" i="14"/>
  <c r="L715" i="14" s="1"/>
  <c r="L717" i="14"/>
  <c r="L719" i="14" s="1"/>
  <c r="L185" i="14"/>
  <c r="L187" i="14" s="1"/>
  <c r="L701" i="14"/>
  <c r="L703" i="14" s="1"/>
  <c r="L697" i="14"/>
  <c r="L699" i="14" s="1"/>
  <c r="L197" i="14"/>
  <c r="L199" i="14" s="1"/>
  <c r="L689" i="14"/>
  <c r="L691" i="14" s="1"/>
  <c r="L193" i="14"/>
  <c r="L195" i="14" s="1"/>
  <c r="L709" i="14"/>
  <c r="L711" i="14" s="1"/>
  <c r="L189" i="14"/>
  <c r="L191" i="14" s="1"/>
  <c r="K377" i="14"/>
  <c r="K359" i="14" s="1"/>
  <c r="K360" i="14" s="1"/>
  <c r="K357" i="14"/>
  <c r="I47" i="14"/>
  <c r="I71" i="37" s="1"/>
  <c r="I1279" i="14"/>
  <c r="I1625" i="14"/>
  <c r="I1527" i="14"/>
  <c r="I1377" i="14"/>
  <c r="I866" i="14"/>
  <c r="I39" i="14"/>
  <c r="I62" i="37" s="1"/>
  <c r="I915" i="14"/>
  <c r="I1775" i="14"/>
  <c r="I1013" i="14"/>
  <c r="I1020" i="14" s="1"/>
  <c r="N1677" i="14"/>
  <c r="N1426" i="14"/>
  <c r="N18" i="14"/>
  <c r="N1279" i="14"/>
  <c r="N1625" i="14"/>
  <c r="N1377" i="14"/>
  <c r="N1328" i="14"/>
  <c r="N1212" i="14"/>
  <c r="N47" i="14"/>
  <c r="N1114" i="14"/>
  <c r="N1013" i="14"/>
  <c r="N964" i="14"/>
  <c r="N1527" i="14"/>
  <c r="N1163" i="14"/>
  <c r="N915" i="14"/>
  <c r="N866" i="14"/>
  <c r="N1726" i="14"/>
  <c r="J1163" i="14"/>
  <c r="J1013" i="14"/>
  <c r="J915" i="14"/>
  <c r="J1726" i="14"/>
  <c r="J1527" i="14"/>
  <c r="J866" i="14"/>
  <c r="J1212" i="14"/>
  <c r="J1065" i="14"/>
  <c r="M78" i="37"/>
  <c r="M73" i="46"/>
  <c r="G1427" i="14"/>
  <c r="N55" i="37"/>
  <c r="I1427" i="14"/>
  <c r="I1776" i="14"/>
  <c r="I1825" i="14"/>
  <c r="I1831" i="14" s="1"/>
  <c r="J197" i="14"/>
  <c r="J199" i="14" s="1"/>
  <c r="K709" i="14"/>
  <c r="K711" i="14" s="1"/>
  <c r="K197" i="14"/>
  <c r="K199" i="14" s="1"/>
  <c r="J705" i="14"/>
  <c r="J707" i="14" s="1"/>
  <c r="K717" i="14"/>
  <c r="K719" i="14" s="1"/>
  <c r="I689" i="14"/>
  <c r="I691" i="14" s="1"/>
  <c r="I709" i="14"/>
  <c r="I711" i="14" s="1"/>
  <c r="F61" i="22"/>
  <c r="G1577" i="14"/>
  <c r="G1776" i="14"/>
  <c r="I1213" i="14"/>
  <c r="I965" i="14"/>
  <c r="K193" i="14"/>
  <c r="K195" i="14" s="1"/>
  <c r="K185" i="14"/>
  <c r="K187" i="14" s="1"/>
  <c r="I197" i="14"/>
  <c r="I199" i="14" s="1"/>
  <c r="J697" i="14"/>
  <c r="J699" i="14" s="1"/>
  <c r="I701" i="14"/>
  <c r="I703" i="14" s="1"/>
  <c r="I705" i="14"/>
  <c r="I707" i="14" s="1"/>
  <c r="F151" i="8"/>
  <c r="N360" i="14"/>
  <c r="N362" i="14" s="1"/>
  <c r="N62" i="22" s="1"/>
  <c r="G916" i="14"/>
  <c r="I1378" i="14"/>
  <c r="I1528" i="14"/>
  <c r="I916" i="14"/>
  <c r="J185" i="14"/>
  <c r="J187" i="14" s="1"/>
  <c r="K693" i="14"/>
  <c r="K695" i="14" s="1"/>
  <c r="K701" i="14"/>
  <c r="K703" i="14" s="1"/>
  <c r="K189" i="14"/>
  <c r="K191" i="14" s="1"/>
  <c r="I185" i="14"/>
  <c r="I187" i="14" s="1"/>
  <c r="K697" i="14"/>
  <c r="K699" i="14" s="1"/>
  <c r="I713" i="14"/>
  <c r="I715" i="14" s="1"/>
  <c r="I717" i="14"/>
  <c r="I719" i="14" s="1"/>
  <c r="I693" i="14"/>
  <c r="I695" i="14" s="1"/>
  <c r="E697" i="14"/>
  <c r="E699" i="14" s="1"/>
  <c r="E705" i="14"/>
  <c r="E707" i="14" s="1"/>
  <c r="E709" i="14"/>
  <c r="E711" i="14" s="1"/>
  <c r="E189" i="14"/>
  <c r="E191" i="14" s="1"/>
  <c r="E689" i="14"/>
  <c r="E691" i="14" s="1"/>
  <c r="E185" i="14"/>
  <c r="E187" i="14" s="1"/>
  <c r="E693" i="14"/>
  <c r="E695" i="14" s="1"/>
  <c r="E713" i="14"/>
  <c r="E715" i="14" s="1"/>
  <c r="E197" i="14"/>
  <c r="E199" i="14" s="1"/>
  <c r="E717" i="14"/>
  <c r="E719" i="14" s="1"/>
  <c r="E193" i="14"/>
  <c r="E195" i="14" s="1"/>
  <c r="L73" i="46"/>
  <c r="I65" i="24"/>
  <c r="I71" i="24"/>
  <c r="I64" i="24"/>
  <c r="I72" i="24"/>
  <c r="I63" i="24"/>
  <c r="U11" i="23" s="1"/>
  <c r="I11" i="23" s="1"/>
  <c r="I104" i="14" s="1"/>
  <c r="I89" i="37" s="1"/>
  <c r="I67" i="24"/>
  <c r="I69" i="24"/>
  <c r="I70" i="24"/>
  <c r="I68" i="24"/>
  <c r="I66" i="24"/>
  <c r="L1426" i="14"/>
  <c r="L964" i="14"/>
  <c r="L18" i="14"/>
  <c r="L30" i="46" s="1"/>
  <c r="L1625" i="14"/>
  <c r="L1114" i="14"/>
  <c r="L1013" i="14"/>
  <c r="L915" i="14"/>
  <c r="L1527" i="14"/>
  <c r="L1279" i="14"/>
  <c r="L866" i="14"/>
  <c r="L1775" i="14"/>
  <c r="L1212" i="14"/>
  <c r="L1478" i="14"/>
  <c r="L1328" i="14"/>
  <c r="L1377" i="14"/>
  <c r="L1677" i="14"/>
  <c r="L1163" i="14"/>
  <c r="L1576" i="14"/>
  <c r="L1726" i="14"/>
  <c r="L39" i="14"/>
  <c r="L1065" i="14"/>
  <c r="L47" i="14"/>
  <c r="H362" i="14"/>
  <c r="H152" i="8" s="1"/>
  <c r="M63" i="24"/>
  <c r="Y11" i="23" s="1"/>
  <c r="M11" i="23" s="1"/>
  <c r="M104" i="14" s="1"/>
  <c r="M89" i="37" s="1"/>
  <c r="M66" i="24"/>
  <c r="M65" i="24"/>
  <c r="M71" i="24"/>
  <c r="M64" i="24"/>
  <c r="M72" i="24"/>
  <c r="M67" i="24"/>
  <c r="M70" i="24"/>
  <c r="M69" i="24"/>
  <c r="M68" i="24"/>
  <c r="E377" i="14"/>
  <c r="E359" i="14" s="1"/>
  <c r="E357" i="14"/>
  <c r="F64" i="37"/>
  <c r="F52" i="46"/>
  <c r="K34" i="46"/>
  <c r="K55" i="37"/>
  <c r="L151" i="8"/>
  <c r="M363" i="14"/>
  <c r="M365" i="14" s="1"/>
  <c r="M366" i="14" s="1"/>
  <c r="I64" i="37"/>
  <c r="M61" i="22"/>
  <c r="J52" i="46"/>
  <c r="J64" i="37"/>
  <c r="F78" i="37"/>
  <c r="F73" i="46"/>
  <c r="H1825" i="14"/>
  <c r="H1831" i="14" s="1"/>
  <c r="H1727" i="14"/>
  <c r="H1733" i="14" s="1"/>
  <c r="H1066" i="14"/>
  <c r="H1626" i="14"/>
  <c r="H1528" i="14"/>
  <c r="H1427" i="14"/>
  <c r="H1433" i="14" s="1"/>
  <c r="H965" i="14"/>
  <c r="L62" i="22"/>
  <c r="L152" i="8"/>
  <c r="L363" i="14"/>
  <c r="L1427" i="14"/>
  <c r="L1378" i="14"/>
  <c r="L1479" i="14"/>
  <c r="L1825" i="14"/>
  <c r="L1831" i="14" s="1"/>
  <c r="L1014" i="14"/>
  <c r="L1776" i="14"/>
  <c r="L1213" i="14"/>
  <c r="L1219" i="14" s="1"/>
  <c r="L1528" i="14"/>
  <c r="L1534" i="14" s="1"/>
  <c r="L867" i="14"/>
  <c r="L916" i="14"/>
  <c r="L965" i="14"/>
  <c r="L1329" i="14"/>
  <c r="L1280" i="14"/>
  <c r="L1577" i="14"/>
  <c r="L1626" i="14"/>
  <c r="L1632" i="14" s="1"/>
  <c r="L1115" i="14"/>
  <c r="L1678" i="14"/>
  <c r="L1684" i="14" s="1"/>
  <c r="L1066" i="14"/>
  <c r="L1727" i="14"/>
  <c r="L1164" i="14"/>
  <c r="J34" i="46"/>
  <c r="J55" i="37"/>
  <c r="E64" i="37"/>
  <c r="E52" i="46"/>
  <c r="H61" i="22"/>
  <c r="H866" i="14"/>
  <c r="H18" i="14"/>
  <c r="H1677" i="14"/>
  <c r="H39" i="14"/>
  <c r="H1377" i="14"/>
  <c r="H1328" i="14"/>
  <c r="H1625" i="14"/>
  <c r="H1527" i="14"/>
  <c r="H1775" i="14"/>
  <c r="H47" i="14"/>
  <c r="F39" i="14"/>
  <c r="F1013" i="14"/>
  <c r="E18" i="42"/>
  <c r="I18" i="42"/>
  <c r="K18" i="42"/>
  <c r="M18" i="42"/>
  <c r="L18" i="42"/>
  <c r="H18" i="42"/>
  <c r="I922" i="14"/>
  <c r="G1378" i="14"/>
  <c r="G1014" i="14"/>
  <c r="G1329" i="14"/>
  <c r="G965" i="14"/>
  <c r="J1625" i="14"/>
  <c r="J1377" i="14"/>
  <c r="J1576" i="14"/>
  <c r="J18" i="14"/>
  <c r="J47" i="14"/>
  <c r="I1163" i="14"/>
  <c r="I1114" i="14"/>
  <c r="I1121" i="14" s="1"/>
  <c r="I1328" i="14"/>
  <c r="I1065" i="14"/>
  <c r="I1426" i="14"/>
  <c r="I1433" i="14" s="1"/>
  <c r="N1478" i="14"/>
  <c r="N1775" i="14"/>
  <c r="N1576" i="14"/>
  <c r="N39" i="14"/>
  <c r="M151" i="8"/>
  <c r="F363" i="14"/>
  <c r="H151" i="8"/>
  <c r="J39" i="14"/>
  <c r="G1280" i="14"/>
  <c r="G1528" i="14"/>
  <c r="I1677" i="14"/>
  <c r="J1114" i="14"/>
  <c r="K1013" i="14"/>
  <c r="K1576" i="14"/>
  <c r="K1677" i="14"/>
  <c r="F62" i="22"/>
  <c r="J1426" i="14"/>
  <c r="J1328" i="14"/>
  <c r="J1279" i="14"/>
  <c r="I1212" i="14"/>
  <c r="G1825" i="14"/>
  <c r="G1831" i="14" s="1"/>
  <c r="I1726" i="14"/>
  <c r="I1576" i="14"/>
  <c r="M152" i="8"/>
  <c r="J1677" i="14"/>
  <c r="J964" i="14"/>
  <c r="J1478" i="14"/>
  <c r="I964" i="14"/>
  <c r="G1164" i="14"/>
  <c r="G1066" i="14"/>
  <c r="H1279" i="14"/>
  <c r="H1065" i="14"/>
  <c r="I1478" i="14"/>
  <c r="I18" i="14"/>
  <c r="J1775" i="14"/>
  <c r="K866" i="14"/>
  <c r="K1212" i="14"/>
  <c r="K18" i="14"/>
  <c r="K1775" i="14"/>
  <c r="K1377" i="14"/>
  <c r="F18" i="14"/>
  <c r="N1065" i="14"/>
  <c r="M39" i="14"/>
  <c r="M1065" i="14"/>
  <c r="M1163" i="14"/>
  <c r="K52" i="46"/>
  <c r="K64" i="37"/>
  <c r="E73" i="46"/>
  <c r="E78" i="37"/>
  <c r="L65" i="24"/>
  <c r="L63" i="24"/>
  <c r="X11" i="23" s="1"/>
  <c r="L11" i="23" s="1"/>
  <c r="L104" i="14" s="1"/>
  <c r="L89" i="37" s="1"/>
  <c r="L64" i="24"/>
  <c r="L66" i="24"/>
  <c r="L69" i="24"/>
  <c r="E71" i="24"/>
  <c r="E70" i="24"/>
  <c r="E64" i="24"/>
  <c r="E72" i="24"/>
  <c r="F689" i="14"/>
  <c r="F691" i="14" s="1"/>
  <c r="F709" i="14"/>
  <c r="F711" i="14" s="1"/>
  <c r="J71" i="24"/>
  <c r="J65" i="24"/>
  <c r="J67" i="24"/>
  <c r="J63" i="24"/>
  <c r="V11" i="23" s="1"/>
  <c r="J11" i="23" s="1"/>
  <c r="J104" i="14" s="1"/>
  <c r="J89" i="37" s="1"/>
  <c r="I1678" i="14"/>
  <c r="I867" i="14"/>
  <c r="I1164" i="14"/>
  <c r="C8" i="34"/>
  <c r="F185" i="14"/>
  <c r="F187" i="14" s="1"/>
  <c r="E701" i="14"/>
  <c r="E703" i="14" s="1"/>
  <c r="F701" i="14"/>
  <c r="F703" i="14" s="1"/>
  <c r="F705" i="14"/>
  <c r="F707" i="14" s="1"/>
  <c r="F197" i="14"/>
  <c r="F199" i="14" s="1"/>
  <c r="M357" i="14"/>
  <c r="L67" i="24"/>
  <c r="J69" i="24"/>
  <c r="E63" i="24"/>
  <c r="Q11" i="23" s="1"/>
  <c r="E11" i="23" s="1"/>
  <c r="E104" i="14" s="1"/>
  <c r="E89" i="37" s="1"/>
  <c r="J689" i="14"/>
  <c r="J691" i="14" s="1"/>
  <c r="J717" i="14"/>
  <c r="J719" i="14" s="1"/>
  <c r="J713" i="14"/>
  <c r="J715" i="14" s="1"/>
  <c r="F66" i="24"/>
  <c r="F65" i="24"/>
  <c r="F63" i="24"/>
  <c r="R11" i="23" s="1"/>
  <c r="F11" i="23" s="1"/>
  <c r="F104" i="14" s="1"/>
  <c r="F89" i="37" s="1"/>
  <c r="N71" i="24"/>
  <c r="N63" i="24"/>
  <c r="Z11" i="23" s="1"/>
  <c r="N11" i="23" s="1"/>
  <c r="N104" i="14" s="1"/>
  <c r="N89" i="37" s="1"/>
  <c r="N66" i="24"/>
  <c r="E1213" i="14"/>
  <c r="E1825" i="14"/>
  <c r="E1727" i="14"/>
  <c r="E1733" i="14" s="1"/>
  <c r="E1678" i="14"/>
  <c r="M916" i="14"/>
  <c r="E1528" i="14"/>
  <c r="E1534" i="14" s="1"/>
  <c r="E1479" i="14"/>
  <c r="E1115" i="14"/>
  <c r="E1378" i="14"/>
  <c r="E1164" i="14"/>
  <c r="E1170" i="14" s="1"/>
  <c r="M1678" i="14"/>
  <c r="M1684" i="14" s="1"/>
  <c r="E482" i="14"/>
  <c r="E485" i="14" s="1"/>
  <c r="E107" i="22" s="1"/>
  <c r="M1066" i="14"/>
  <c r="M1213" i="14"/>
  <c r="M867" i="14"/>
  <c r="I75" i="37"/>
  <c r="M1378" i="14"/>
  <c r="M965" i="14"/>
  <c r="M1164" i="14"/>
  <c r="M1170" i="14" s="1"/>
  <c r="M1479" i="14"/>
  <c r="M1329" i="14"/>
  <c r="M1115" i="14"/>
  <c r="M1280" i="14"/>
  <c r="M1825" i="14"/>
  <c r="M1831" i="14" s="1"/>
  <c r="M1727" i="14"/>
  <c r="M1733" i="14" s="1"/>
  <c r="M1427" i="14"/>
  <c r="M1433" i="14" s="1"/>
  <c r="M75" i="37"/>
  <c r="M1626" i="14"/>
  <c r="M1528" i="14"/>
  <c r="M1014" i="14"/>
  <c r="M1776" i="14"/>
  <c r="M1577" i="14"/>
  <c r="L35" i="14"/>
  <c r="F100" i="14"/>
  <c r="F35" i="14"/>
  <c r="K100" i="14"/>
  <c r="K106" i="14" s="1"/>
  <c r="K35" i="14"/>
  <c r="E47" i="46"/>
  <c r="E90" i="14"/>
  <c r="I35" i="14"/>
  <c r="I100" i="14"/>
  <c r="F235" i="37"/>
  <c r="F111" i="14"/>
  <c r="F849" i="14"/>
  <c r="F482" i="14" s="1"/>
  <c r="F485" i="14" s="1"/>
  <c r="F197" i="8" s="1"/>
  <c r="F69" i="14"/>
  <c r="F79" i="14" s="1"/>
  <c r="F87" i="14" s="1"/>
  <c r="G482" i="14"/>
  <c r="G485" i="14" s="1"/>
  <c r="G486" i="14" s="1"/>
  <c r="G1727" i="14"/>
  <c r="G1213" i="14"/>
  <c r="G1115" i="14"/>
  <c r="G1626" i="14"/>
  <c r="G1678" i="14"/>
  <c r="I482" i="14"/>
  <c r="I485" i="14" s="1"/>
  <c r="I1626" i="14"/>
  <c r="I1577" i="14"/>
  <c r="I1479" i="14"/>
  <c r="I1727" i="14"/>
  <c r="I1280" i="14"/>
  <c r="H1115" i="14"/>
  <c r="H1121" i="14" s="1"/>
  <c r="H1164" i="14"/>
  <c r="H1170" i="14" s="1"/>
  <c r="H1678" i="14"/>
  <c r="K69" i="14"/>
  <c r="K81" i="14" s="1"/>
  <c r="K89" i="14" s="1"/>
  <c r="K52" i="14"/>
  <c r="K849" i="14"/>
  <c r="K482" i="14" s="1"/>
  <c r="K485" i="14" s="1"/>
  <c r="F52" i="14"/>
  <c r="F75" i="37" s="1"/>
  <c r="M78" i="14"/>
  <c r="M86" i="14" s="1"/>
  <c r="M80" i="14"/>
  <c r="M88" i="14" s="1"/>
  <c r="M81" i="14"/>
  <c r="M89" i="14" s="1"/>
  <c r="M77" i="14"/>
  <c r="M85" i="14" s="1"/>
  <c r="M47" i="46"/>
  <c r="M59" i="37"/>
  <c r="L486" i="14"/>
  <c r="J111" i="14"/>
  <c r="J118" i="14"/>
  <c r="J52" i="14"/>
  <c r="J64" i="46" s="1"/>
  <c r="J235" i="37"/>
  <c r="J69" i="14"/>
  <c r="J849" i="14"/>
  <c r="N111" i="14"/>
  <c r="N118" i="14"/>
  <c r="N69" i="14"/>
  <c r="N52" i="14"/>
  <c r="N849" i="14"/>
  <c r="N235" i="37"/>
  <c r="M108" i="22"/>
  <c r="M198" i="8"/>
  <c r="E74" i="37"/>
  <c r="E60" i="14"/>
  <c r="F1329" i="14"/>
  <c r="F1213" i="14"/>
  <c r="F1528" i="14"/>
  <c r="K1164" i="14"/>
  <c r="K1378" i="14"/>
  <c r="K1066" i="14"/>
  <c r="K1072" i="14" s="1"/>
  <c r="F81" i="14"/>
  <c r="F89" i="14" s="1"/>
  <c r="I78" i="14"/>
  <c r="I86" i="14" s="1"/>
  <c r="I76" i="14"/>
  <c r="I84" i="14" s="1"/>
  <c r="H76" i="14"/>
  <c r="H84" i="14" s="1"/>
  <c r="H78" i="14"/>
  <c r="H86" i="14" s="1"/>
  <c r="H79" i="14"/>
  <c r="H87" i="14" s="1"/>
  <c r="M107" i="22"/>
  <c r="M197" i="8"/>
  <c r="H482" i="14"/>
  <c r="H485" i="14" s="1"/>
  <c r="H197" i="8" s="1"/>
  <c r="H1329" i="14"/>
  <c r="H1378" i="14"/>
  <c r="H867" i="14"/>
  <c r="H1577" i="14"/>
  <c r="H1583" i="14" s="1"/>
  <c r="H916" i="14"/>
  <c r="H922" i="14" s="1"/>
  <c r="H1014" i="14"/>
  <c r="H1020" i="14" s="1"/>
  <c r="H1213" i="14"/>
  <c r="H1280" i="14"/>
  <c r="H1286" i="14" s="1"/>
  <c r="H1776" i="14"/>
  <c r="H1782" i="14" s="1"/>
  <c r="H1479" i="14"/>
  <c r="H35" i="14"/>
  <c r="H100" i="14"/>
  <c r="G35" i="14"/>
  <c r="G100" i="14"/>
  <c r="G86" i="37" s="1"/>
  <c r="K47" i="46"/>
  <c r="K59" i="37"/>
  <c r="L75" i="37"/>
  <c r="E59" i="37"/>
  <c r="E197" i="8"/>
  <c r="G75" i="37"/>
  <c r="M489" i="14"/>
  <c r="M86" i="37"/>
  <c r="M106" i="14"/>
  <c r="K77" i="14"/>
  <c r="K85" i="14" s="1"/>
  <c r="L488" i="14"/>
  <c r="L489" i="14" s="1"/>
  <c r="L81" i="14"/>
  <c r="L89" i="14" s="1"/>
  <c r="L80" i="14"/>
  <c r="L88" i="14" s="1"/>
  <c r="L78" i="14"/>
  <c r="L86" i="14" s="1"/>
  <c r="K965" i="14"/>
  <c r="K971" i="14" s="1"/>
  <c r="K987" i="14" s="1"/>
  <c r="K1280" i="14"/>
  <c r="K1286" i="14" s="1"/>
  <c r="K867" i="14"/>
  <c r="K1825" i="14"/>
  <c r="K1831" i="14" s="1"/>
  <c r="E916" i="14"/>
  <c r="E922" i="14" s="1"/>
  <c r="E1427" i="14"/>
  <c r="E1329" i="14"/>
  <c r="E965" i="14"/>
  <c r="E1626" i="14"/>
  <c r="E1632" i="14" s="1"/>
  <c r="K1479" i="14"/>
  <c r="K1577" i="14"/>
  <c r="K1014" i="14"/>
  <c r="E1577" i="14"/>
  <c r="E1583" i="14" s="1"/>
  <c r="E1014" i="14"/>
  <c r="E1776" i="14"/>
  <c r="E1782" i="14" s="1"/>
  <c r="E867" i="14"/>
  <c r="E75" i="37"/>
  <c r="G105" i="22"/>
  <c r="G195" i="8"/>
  <c r="G248" i="37"/>
  <c r="G39" i="37"/>
  <c r="G188" i="37"/>
  <c r="G46" i="37"/>
  <c r="G32" i="37"/>
  <c r="G131" i="37"/>
  <c r="G181" i="37"/>
  <c r="G139" i="8"/>
  <c r="G49" i="22"/>
  <c r="G41" i="37"/>
  <c r="G280" i="14"/>
  <c r="G282" i="14" s="1"/>
  <c r="G521" i="14"/>
  <c r="G522" i="14" s="1"/>
  <c r="G524" i="14" s="1"/>
  <c r="G39" i="38"/>
  <c r="G31" i="38"/>
  <c r="G83" i="37"/>
  <c r="G31" i="46"/>
  <c r="G53" i="37"/>
  <c r="G27" i="46"/>
  <c r="G52" i="37"/>
  <c r="G60" i="46"/>
  <c r="G72" i="37"/>
  <c r="G557" i="14"/>
  <c r="G170" i="8"/>
  <c r="G21" i="10"/>
  <c r="G29" i="37"/>
  <c r="G87" i="22"/>
  <c r="G593" i="14"/>
  <c r="G177" i="8"/>
  <c r="G406" i="14"/>
  <c r="G29" i="46"/>
  <c r="G51" i="24"/>
  <c r="S27" i="23" s="1"/>
  <c r="G27" i="23" s="1"/>
  <c r="G18" i="14" s="1"/>
  <c r="G52" i="24"/>
  <c r="G53" i="24"/>
  <c r="G54" i="24"/>
  <c r="G55" i="24"/>
  <c r="G56" i="24"/>
  <c r="G57" i="24"/>
  <c r="G58" i="24"/>
  <c r="G462" i="14"/>
  <c r="G465" i="14"/>
  <c r="G31" i="8"/>
  <c r="G23" i="38"/>
  <c r="G47" i="38"/>
  <c r="G15" i="38"/>
  <c r="G255" i="37"/>
  <c r="G58" i="37"/>
  <c r="G155" i="37"/>
  <c r="G25" i="37"/>
  <c r="G107" i="37"/>
  <c r="G82" i="37"/>
  <c r="G174" i="37"/>
  <c r="G31" i="10" s="1"/>
  <c r="G143" i="37"/>
  <c r="G195" i="37"/>
  <c r="G70" i="37"/>
  <c r="G240" i="37"/>
  <c r="G167" i="37"/>
  <c r="G113" i="37"/>
  <c r="G224" i="37"/>
  <c r="G261" i="37"/>
  <c r="G119" i="37"/>
  <c r="G94" i="37"/>
  <c r="G80" i="14"/>
  <c r="G88" i="14" s="1"/>
  <c r="G81" i="14"/>
  <c r="G89" i="14" s="1"/>
  <c r="G77" i="14"/>
  <c r="G85" i="14" s="1"/>
  <c r="G78" i="14"/>
  <c r="G86" i="14" s="1"/>
  <c r="G79" i="14"/>
  <c r="G87" i="14" s="1"/>
  <c r="G76" i="14"/>
  <c r="G84" i="14" s="1"/>
  <c r="G209" i="8"/>
  <c r="G632" i="14"/>
  <c r="G377" i="14"/>
  <c r="G357" i="14"/>
  <c r="G55" i="37"/>
  <c r="G34" i="46"/>
  <c r="G73" i="46"/>
  <c r="G78" i="37"/>
  <c r="G355" i="14"/>
  <c r="G137" i="14"/>
  <c r="G43" i="37"/>
  <c r="G66" i="46"/>
  <c r="G73" i="37"/>
  <c r="G101" i="14"/>
  <c r="G87" i="37" s="1"/>
  <c r="G12" i="14"/>
  <c r="G324" i="14"/>
  <c r="G325" i="14" s="1"/>
  <c r="G20" i="46"/>
  <c r="G88" i="22"/>
  <c r="G596" i="14"/>
  <c r="G599" i="14" s="1"/>
  <c r="G602" i="14" s="1"/>
  <c r="G605" i="14" s="1"/>
  <c r="G89" i="22"/>
  <c r="G179" i="8"/>
  <c r="K614" i="14" l="1"/>
  <c r="K615" i="14"/>
  <c r="N285" i="14"/>
  <c r="M34" i="46"/>
  <c r="M55" i="37"/>
  <c r="I226" i="22"/>
  <c r="I302" i="8"/>
  <c r="F64" i="46"/>
  <c r="E486" i="14"/>
  <c r="E488" i="14" s="1"/>
  <c r="E489" i="14" s="1"/>
  <c r="F867" i="14"/>
  <c r="F873" i="14" s="1"/>
  <c r="F1378" i="14"/>
  <c r="F1727" i="14"/>
  <c r="F1733" i="14" s="1"/>
  <c r="F1066" i="14"/>
  <c r="L197" i="8"/>
  <c r="H1190" i="14"/>
  <c r="M1190" i="14"/>
  <c r="M1890" i="14" s="1"/>
  <c r="M358" i="8" s="1"/>
  <c r="E1485" i="14"/>
  <c r="J360" i="14"/>
  <c r="J362" i="14" s="1"/>
  <c r="J363" i="14" s="1"/>
  <c r="L55" i="37"/>
  <c r="J61" i="22"/>
  <c r="J101" i="14"/>
  <c r="J87" i="37" s="1"/>
  <c r="J12" i="14"/>
  <c r="G90" i="22"/>
  <c r="G180" i="8"/>
  <c r="J43" i="37"/>
  <c r="J406" i="14"/>
  <c r="J407" i="14"/>
  <c r="F90" i="22"/>
  <c r="F180" i="8"/>
  <c r="I289" i="21"/>
  <c r="J289" i="21" s="1"/>
  <c r="K289" i="21" s="1"/>
  <c r="L289" i="21" s="1"/>
  <c r="K1880" i="14"/>
  <c r="M276" i="21"/>
  <c r="N1880" i="14"/>
  <c r="J1880" i="14"/>
  <c r="L1880" i="14"/>
  <c r="E17" i="28"/>
  <c r="H1880" i="14"/>
  <c r="F1880" i="14"/>
  <c r="G1880" i="14"/>
  <c r="I1880" i="14"/>
  <c r="M1880" i="14"/>
  <c r="E1880" i="14"/>
  <c r="I327" i="14"/>
  <c r="I328" i="14"/>
  <c r="M56" i="22"/>
  <c r="M146" i="8"/>
  <c r="F527" i="14"/>
  <c r="F179" i="36"/>
  <c r="F180" i="36" s="1"/>
  <c r="F181" i="36" s="1"/>
  <c r="F182" i="36" s="1"/>
  <c r="F183" i="36" s="1"/>
  <c r="F184" i="36" s="1"/>
  <c r="F185" i="36" s="1"/>
  <c r="F186" i="36" s="1"/>
  <c r="F187" i="36" s="1"/>
  <c r="F188" i="36" s="1"/>
  <c r="F189" i="36" s="1"/>
  <c r="F190" i="36" s="1"/>
  <c r="F191" i="36" s="1"/>
  <c r="F192" i="36" s="1"/>
  <c r="F193" i="36" s="1"/>
  <c r="F194" i="36" s="1"/>
  <c r="F195" i="36" s="1"/>
  <c r="F196" i="36" s="1"/>
  <c r="F197" i="36" s="1"/>
  <c r="F198" i="36" s="1"/>
  <c r="F199" i="36" s="1"/>
  <c r="F200" i="36" s="1"/>
  <c r="F201" i="36" s="1"/>
  <c r="F202" i="36" s="1"/>
  <c r="F203" i="36" s="1"/>
  <c r="F204" i="36" s="1"/>
  <c r="F205" i="36" s="1"/>
  <c r="F206" i="36" s="1"/>
  <c r="F207" i="36" s="1"/>
  <c r="F208" i="36" s="1"/>
  <c r="F209" i="36" s="1"/>
  <c r="F210" i="36" s="1"/>
  <c r="F211" i="36" s="1"/>
  <c r="F212" i="36" s="1"/>
  <c r="F213" i="36" s="1"/>
  <c r="F214" i="36" s="1"/>
  <c r="F215" i="36" s="1"/>
  <c r="F216" i="36" s="1"/>
  <c r="F217" i="36" s="1"/>
  <c r="F218" i="36" s="1"/>
  <c r="F219" i="36" s="1"/>
  <c r="F220" i="36" s="1"/>
  <c r="F221" i="36" s="1"/>
  <c r="F222" i="36" s="1"/>
  <c r="F223" i="36" s="1"/>
  <c r="F224" i="36" s="1"/>
  <c r="F225" i="36" s="1"/>
  <c r="F226" i="36" s="1"/>
  <c r="F227" i="36" s="1"/>
  <c r="F228" i="36" s="1"/>
  <c r="F229" i="36" s="1"/>
  <c r="F230" i="36" s="1"/>
  <c r="F231" i="36" s="1"/>
  <c r="F232" i="36" s="1"/>
  <c r="F233" i="36" s="1"/>
  <c r="F234" i="36" s="1"/>
  <c r="F235" i="36" s="1"/>
  <c r="F236" i="36" s="1"/>
  <c r="F237" i="36" s="1"/>
  <c r="F238" i="36" s="1"/>
  <c r="F239" i="36" s="1"/>
  <c r="F240" i="36" s="1"/>
  <c r="F241" i="36" s="1"/>
  <c r="F242" i="36" s="1"/>
  <c r="F243" i="36" s="1"/>
  <c r="F244" i="36" s="1"/>
  <c r="F245" i="36" s="1"/>
  <c r="F246" i="36" s="1"/>
  <c r="F247" i="36" s="1"/>
  <c r="F248" i="36" s="1"/>
  <c r="F249" i="36" s="1"/>
  <c r="F250" i="36" s="1"/>
  <c r="F251" i="36" s="1"/>
  <c r="F252" i="36" s="1"/>
  <c r="F253" i="36" s="1"/>
  <c r="F254" i="36" s="1"/>
  <c r="F255" i="36" s="1"/>
  <c r="F256" i="36" s="1"/>
  <c r="F257" i="36" s="1"/>
  <c r="F258" i="36" s="1"/>
  <c r="F259" i="36" s="1"/>
  <c r="F260" i="36" s="1"/>
  <c r="F261" i="36" s="1"/>
  <c r="F262" i="36" s="1"/>
  <c r="F263" i="36" s="1"/>
  <c r="F264" i="36" s="1"/>
  <c r="C59" i="36"/>
  <c r="C90" i="36"/>
  <c r="C108" i="36"/>
  <c r="C112" i="36"/>
  <c r="C134" i="36"/>
  <c r="C72" i="36"/>
  <c r="C92" i="36"/>
  <c r="C63" i="36"/>
  <c r="C82" i="36"/>
  <c r="C83" i="36"/>
  <c r="C102" i="36"/>
  <c r="C131" i="36"/>
  <c r="C143" i="36"/>
  <c r="C94" i="36"/>
  <c r="C136" i="36"/>
  <c r="C78" i="36"/>
  <c r="C114" i="36"/>
  <c r="C73" i="36"/>
  <c r="C119" i="36"/>
  <c r="C61" i="36"/>
  <c r="C137" i="36"/>
  <c r="C62" i="36"/>
  <c r="J96" i="22"/>
  <c r="J186" i="8"/>
  <c r="K82" i="22"/>
  <c r="K172" i="8"/>
  <c r="H412" i="14"/>
  <c r="H413" i="14"/>
  <c r="K412" i="14"/>
  <c r="K413" i="14"/>
  <c r="M412" i="14"/>
  <c r="M413" i="14"/>
  <c r="L317" i="8"/>
  <c r="L241" i="22"/>
  <c r="L121" i="22"/>
  <c r="L211" i="8"/>
  <c r="K534" i="14"/>
  <c r="K537" i="14"/>
  <c r="M611" i="14"/>
  <c r="I640" i="14"/>
  <c r="I641" i="14"/>
  <c r="J578" i="14"/>
  <c r="J579" i="14"/>
  <c r="I31" i="20"/>
  <c r="I32" i="29"/>
  <c r="I25" i="31"/>
  <c r="I26" i="28"/>
  <c r="I24" i="41"/>
  <c r="L565" i="14"/>
  <c r="L566" i="14" s="1"/>
  <c r="F647" i="14"/>
  <c r="F644" i="14"/>
  <c r="N339" i="14"/>
  <c r="N29" i="8"/>
  <c r="N336" i="14"/>
  <c r="H581" i="14"/>
  <c r="H582" i="14"/>
  <c r="N656" i="14"/>
  <c r="J474" i="14"/>
  <c r="J475" i="14"/>
  <c r="M238" i="22"/>
  <c r="M314" i="8"/>
  <c r="F43" i="37"/>
  <c r="F406" i="14"/>
  <c r="F87" i="22"/>
  <c r="F593" i="14"/>
  <c r="F596" i="14" s="1"/>
  <c r="F599" i="14" s="1"/>
  <c r="F602" i="14" s="1"/>
  <c r="F605" i="14" s="1"/>
  <c r="F177" i="8"/>
  <c r="I34" i="46"/>
  <c r="I55" i="37"/>
  <c r="G30" i="37"/>
  <c r="G25" i="10"/>
  <c r="F333" i="14"/>
  <c r="F334" i="14"/>
  <c r="K331" i="14"/>
  <c r="K330" i="14"/>
  <c r="J637" i="14"/>
  <c r="J638" i="14" s="1"/>
  <c r="D29" i="21"/>
  <c r="Q18" i="7" s="1"/>
  <c r="Q17" i="7"/>
  <c r="K474" i="14"/>
  <c r="K475" i="14"/>
  <c r="L640" i="14"/>
  <c r="L641" i="14" s="1"/>
  <c r="J141" i="8"/>
  <c r="J51" i="22"/>
  <c r="H540" i="14"/>
  <c r="H541" i="14"/>
  <c r="E653" i="14"/>
  <c r="F123" i="22"/>
  <c r="F213" i="8"/>
  <c r="H1037" i="14"/>
  <c r="H1089" i="14" s="1"/>
  <c r="H1138" i="14" s="1"/>
  <c r="H1187" i="14" s="1"/>
  <c r="K1776" i="14"/>
  <c r="K1782" i="14" s="1"/>
  <c r="F1280" i="14"/>
  <c r="F1825" i="14"/>
  <c r="F1831" i="14" s="1"/>
  <c r="F1115" i="14"/>
  <c r="F916" i="14"/>
  <c r="F922" i="14" s="1"/>
  <c r="E1190" i="14"/>
  <c r="E1239" i="14" s="1"/>
  <c r="E1306" i="14" s="1"/>
  <c r="E1355" i="14" s="1"/>
  <c r="E1831" i="14"/>
  <c r="H971" i="14"/>
  <c r="H987" i="14" s="1"/>
  <c r="H1036" i="14" s="1"/>
  <c r="H1088" i="14" s="1"/>
  <c r="H1137" i="14" s="1"/>
  <c r="I151" i="8"/>
  <c r="H55" i="37"/>
  <c r="F88" i="22"/>
  <c r="F178" i="8"/>
  <c r="E23" i="29"/>
  <c r="I94" i="22"/>
  <c r="I184" i="8"/>
  <c r="M530" i="14"/>
  <c r="M531" i="14"/>
  <c r="F95" i="22"/>
  <c r="F185" i="8"/>
  <c r="I241" i="22"/>
  <c r="I317" i="8"/>
  <c r="I609" i="14"/>
  <c r="M285" i="14"/>
  <c r="M286" i="14" s="1"/>
  <c r="E525" i="14"/>
  <c r="E524" i="14"/>
  <c r="K318" i="8"/>
  <c r="K242" i="22"/>
  <c r="K563" i="14"/>
  <c r="K74" i="22"/>
  <c r="K164" i="8"/>
  <c r="L412" i="14"/>
  <c r="L413" i="14"/>
  <c r="H611" i="14"/>
  <c r="H612" i="14"/>
  <c r="L534" i="14"/>
  <c r="L537" i="14"/>
  <c r="J528" i="14"/>
  <c r="K187" i="8"/>
  <c r="K97" i="22"/>
  <c r="M317" i="8"/>
  <c r="M241" i="22"/>
  <c r="I211" i="8"/>
  <c r="I121" i="22"/>
  <c r="F288" i="14"/>
  <c r="F289" i="14"/>
  <c r="L58" i="22"/>
  <c r="L148" i="8"/>
  <c r="E152" i="14"/>
  <c r="E169" i="14"/>
  <c r="E340" i="14"/>
  <c r="E135" i="14"/>
  <c r="L82" i="22"/>
  <c r="L172" i="8"/>
  <c r="K647" i="14"/>
  <c r="K644" i="14"/>
  <c r="H474" i="14"/>
  <c r="F581" i="14"/>
  <c r="H19" i="14"/>
  <c r="H96" i="14"/>
  <c r="H52" i="14"/>
  <c r="H55" i="14"/>
  <c r="H67" i="46" s="1"/>
  <c r="H97" i="14"/>
  <c r="H85" i="37" s="1"/>
  <c r="H20" i="14"/>
  <c r="H32" i="46" s="1"/>
  <c r="H54" i="14"/>
  <c r="H66" i="46" s="1"/>
  <c r="H103" i="14"/>
  <c r="H88" i="37" s="1"/>
  <c r="H98" i="14"/>
  <c r="H87" i="37" s="1"/>
  <c r="H51" i="14"/>
  <c r="H63" i="46" s="1"/>
  <c r="H95" i="14"/>
  <c r="H94" i="14"/>
  <c r="H83" i="37" s="1"/>
  <c r="H171" i="14"/>
  <c r="H53" i="14"/>
  <c r="H21" i="14"/>
  <c r="H33" i="46" s="1"/>
  <c r="V276" i="21"/>
  <c r="R298" i="21"/>
  <c r="S298" i="21" s="1"/>
  <c r="T298" i="21" s="1"/>
  <c r="U298" i="21" s="1"/>
  <c r="M330" i="14"/>
  <c r="N50" i="22"/>
  <c r="N140" i="8"/>
  <c r="N565" i="14"/>
  <c r="N566" i="14" s="1"/>
  <c r="N412" i="14"/>
  <c r="L52" i="22"/>
  <c r="L142" i="8"/>
  <c r="N245" i="22"/>
  <c r="N321" i="8"/>
  <c r="E273" i="8"/>
  <c r="E197" i="22"/>
  <c r="E462" i="14"/>
  <c r="E31" i="8"/>
  <c r="N524" i="14"/>
  <c r="N525" i="14"/>
  <c r="K309" i="14"/>
  <c r="K310" i="14"/>
  <c r="E285" i="14"/>
  <c r="H288" i="14"/>
  <c r="H289" i="14"/>
  <c r="E237" i="22"/>
  <c r="E313" i="8"/>
  <c r="H337" i="8"/>
  <c r="H261" i="22"/>
  <c r="L474" i="14"/>
  <c r="F1164" i="14"/>
  <c r="F1577" i="14"/>
  <c r="F1583" i="14" s="1"/>
  <c r="F1776" i="14"/>
  <c r="F1782" i="14" s="1"/>
  <c r="M136" i="22"/>
  <c r="M1384" i="14"/>
  <c r="I61" i="22"/>
  <c r="I1534" i="14"/>
  <c r="I1037" i="14"/>
  <c r="I1089" i="14" s="1"/>
  <c r="I1138" i="14" s="1"/>
  <c r="I1187" i="14" s="1"/>
  <c r="M24" i="14"/>
  <c r="M25" i="14" s="1"/>
  <c r="M37" i="46" s="1"/>
  <c r="K62" i="37"/>
  <c r="F63" i="37"/>
  <c r="F50" i="46"/>
  <c r="D48" i="47"/>
  <c r="C49" i="47"/>
  <c r="D49" i="47" s="1"/>
  <c r="F89" i="22"/>
  <c r="F179" i="8"/>
  <c r="P276" i="21"/>
  <c r="L292" i="21"/>
  <c r="M292" i="21" s="1"/>
  <c r="N292" i="21" s="1"/>
  <c r="O292" i="21" s="1"/>
  <c r="E22" i="20"/>
  <c r="F277" i="21"/>
  <c r="E281" i="21"/>
  <c r="S299" i="21"/>
  <c r="T299" i="21" s="1"/>
  <c r="U299" i="21" s="1"/>
  <c r="V299" i="21" s="1"/>
  <c r="W276" i="21"/>
  <c r="F57" i="22"/>
  <c r="F147" i="8"/>
  <c r="M96" i="22"/>
  <c r="M186" i="8"/>
  <c r="J611" i="14"/>
  <c r="E412" i="14"/>
  <c r="I522" i="14"/>
  <c r="J241" i="22"/>
  <c r="J317" i="8"/>
  <c r="L609" i="14"/>
  <c r="H241" i="22"/>
  <c r="H317" i="8"/>
  <c r="N172" i="8"/>
  <c r="N82" i="22"/>
  <c r="L187" i="8"/>
  <c r="L97" i="22"/>
  <c r="L289" i="14"/>
  <c r="J286" i="14"/>
  <c r="L334" i="14"/>
  <c r="E195" i="8"/>
  <c r="E105" i="22"/>
  <c r="I412" i="14"/>
  <c r="I288" i="14"/>
  <c r="H342" i="14"/>
  <c r="H343" i="14"/>
  <c r="J330" i="14"/>
  <c r="J331" i="14"/>
  <c r="H141" i="8"/>
  <c r="H51" i="22"/>
  <c r="K212" i="8"/>
  <c r="K122" i="22"/>
  <c r="F474" i="14"/>
  <c r="F475" i="14"/>
  <c r="E579" i="14"/>
  <c r="I475" i="14"/>
  <c r="I581" i="14"/>
  <c r="I582" i="14"/>
  <c r="H654" i="14"/>
  <c r="M302" i="8"/>
  <c r="M226" i="22"/>
  <c r="M227" i="22" s="1"/>
  <c r="E1020" i="14"/>
  <c r="E1037" i="14" s="1"/>
  <c r="M22" i="20" s="1"/>
  <c r="E1121" i="14"/>
  <c r="E1684" i="14"/>
  <c r="L1733" i="14"/>
  <c r="I1782" i="14"/>
  <c r="I1072" i="14"/>
  <c r="F1335" i="14"/>
  <c r="M1020" i="14"/>
  <c r="M1037" i="14" s="1"/>
  <c r="M1089" i="14" s="1"/>
  <c r="M1138" i="14" s="1"/>
  <c r="M1187" i="14" s="1"/>
  <c r="I1335" i="14"/>
  <c r="E59" i="46"/>
  <c r="E873" i="14"/>
  <c r="E887" i="14" s="1"/>
  <c r="E936" i="14" s="1"/>
  <c r="E985" i="14" s="1"/>
  <c r="E1034" i="14" s="1"/>
  <c r="H873" i="14"/>
  <c r="H887" i="14" s="1"/>
  <c r="H936" i="14" s="1"/>
  <c r="H985" i="14" s="1"/>
  <c r="H1034" i="14" s="1"/>
  <c r="K42" i="14"/>
  <c r="K23" i="8" s="1"/>
  <c r="K250" i="37" s="1"/>
  <c r="E1384" i="14"/>
  <c r="M922" i="14"/>
  <c r="E62" i="37"/>
  <c r="E1335" i="14"/>
  <c r="H1384" i="14"/>
  <c r="E42" i="14"/>
  <c r="E1474" i="14" s="1"/>
  <c r="E1476" i="14" s="1"/>
  <c r="M1583" i="14"/>
  <c r="M1485" i="14"/>
  <c r="L1485" i="14"/>
  <c r="I59" i="46"/>
  <c r="H62" i="22"/>
  <c r="M30" i="46"/>
  <c r="I1384" i="14"/>
  <c r="H1884" i="14"/>
  <c r="H352" i="8" s="1"/>
  <c r="I1485" i="14"/>
  <c r="I51" i="46"/>
  <c r="M1219" i="14"/>
  <c r="K1020" i="14"/>
  <c r="K1037" i="14" s="1"/>
  <c r="K1885" i="14" s="1"/>
  <c r="K71" i="37"/>
  <c r="I1684" i="14"/>
  <c r="F1170" i="14"/>
  <c r="F1190" i="14" s="1"/>
  <c r="F1239" i="14" s="1"/>
  <c r="F1306" i="14" s="1"/>
  <c r="F1355" i="14" s="1"/>
  <c r="E1890" i="14"/>
  <c r="E358" i="8" s="1"/>
  <c r="E1286" i="14"/>
  <c r="N152" i="8"/>
  <c r="L1072" i="14"/>
  <c r="F1534" i="14"/>
  <c r="F1219" i="14"/>
  <c r="F1240" i="14" s="1"/>
  <c r="F1307" i="14" s="1"/>
  <c r="F1356" i="14" s="1"/>
  <c r="F1405" i="14" s="1"/>
  <c r="F1384" i="14"/>
  <c r="F59" i="46"/>
  <c r="E971" i="14"/>
  <c r="E987" i="14" s="1"/>
  <c r="K23" i="29" s="1"/>
  <c r="M1072" i="14"/>
  <c r="M1286" i="14"/>
  <c r="E1219" i="14"/>
  <c r="E1240" i="14" s="1"/>
  <c r="E1891" i="14" s="1"/>
  <c r="E359" i="8" s="1"/>
  <c r="K1485" i="14"/>
  <c r="E1433" i="14"/>
  <c r="E106" i="14"/>
  <c r="E22" i="8" s="1"/>
  <c r="K1170" i="14"/>
  <c r="K1190" i="14" s="1"/>
  <c r="K1239" i="14" s="1"/>
  <c r="K1306" i="14" s="1"/>
  <c r="K1355" i="14" s="1"/>
  <c r="M1121" i="14"/>
  <c r="K1583" i="14"/>
  <c r="M1335" i="14"/>
  <c r="I1170" i="14"/>
  <c r="I1190" i="14" s="1"/>
  <c r="I1890" i="14" s="1"/>
  <c r="I358" i="8" s="1"/>
  <c r="I873" i="14"/>
  <c r="L971" i="14"/>
  <c r="L987" i="14" s="1"/>
  <c r="L1036" i="14" s="1"/>
  <c r="L1088" i="14" s="1"/>
  <c r="L1137" i="14" s="1"/>
  <c r="M1239" i="14"/>
  <c r="M1306" i="14" s="1"/>
  <c r="M1355" i="14" s="1"/>
  <c r="L24" i="14"/>
  <c r="L25" i="14" s="1"/>
  <c r="L37" i="46" s="1"/>
  <c r="I1219" i="14"/>
  <c r="I1240" i="14" s="1"/>
  <c r="I1891" i="14" s="1"/>
  <c r="L922" i="14"/>
  <c r="L1782" i="14"/>
  <c r="K1621" i="14"/>
  <c r="K1623" i="14" s="1"/>
  <c r="F1072" i="14"/>
  <c r="I1583" i="14"/>
  <c r="M1534" i="14"/>
  <c r="I971" i="14"/>
  <c r="I987" i="14" s="1"/>
  <c r="I1884" i="14" s="1"/>
  <c r="H1485" i="14"/>
  <c r="M135" i="22"/>
  <c r="K54" i="46"/>
  <c r="F1286" i="14"/>
  <c r="F1121" i="14"/>
  <c r="I1286" i="14"/>
  <c r="I1632" i="14"/>
  <c r="M1632" i="14"/>
  <c r="M873" i="14"/>
  <c r="M887" i="14" s="1"/>
  <c r="M936" i="14" s="1"/>
  <c r="M985" i="14" s="1"/>
  <c r="M1034" i="14" s="1"/>
  <c r="L1286" i="14"/>
  <c r="L873" i="14"/>
  <c r="L1020" i="14"/>
  <c r="L1037" i="14" s="1"/>
  <c r="L1433" i="14"/>
  <c r="N363" i="14"/>
  <c r="N365" i="14" s="1"/>
  <c r="N366" i="14" s="1"/>
  <c r="N368" i="14" s="1"/>
  <c r="N369" i="14" s="1"/>
  <c r="H1219" i="14"/>
  <c r="L1583" i="14"/>
  <c r="K873" i="14"/>
  <c r="K887" i="14" s="1"/>
  <c r="K936" i="14" s="1"/>
  <c r="H1684" i="14"/>
  <c r="I1733" i="14"/>
  <c r="M1782" i="14"/>
  <c r="M971" i="14"/>
  <c r="M987" i="14" s="1"/>
  <c r="I1885" i="14"/>
  <c r="I277" i="22" s="1"/>
  <c r="I147" i="37" s="1"/>
  <c r="H1534" i="14"/>
  <c r="L1170" i="14"/>
  <c r="L1190" i="14" s="1"/>
  <c r="L1121" i="14"/>
  <c r="L1335" i="14"/>
  <c r="E1523" i="14"/>
  <c r="E1525" i="14" s="1"/>
  <c r="L1384" i="14"/>
  <c r="N30" i="46"/>
  <c r="N24" i="14"/>
  <c r="E1422" i="14"/>
  <c r="E1424" i="14" s="1"/>
  <c r="N59" i="46"/>
  <c r="N71" i="37"/>
  <c r="K61" i="22"/>
  <c r="K151" i="8"/>
  <c r="E1275" i="14"/>
  <c r="E1277" i="14" s="1"/>
  <c r="E1722" i="14"/>
  <c r="E1724" i="14" s="1"/>
  <c r="H1632" i="14"/>
  <c r="L51" i="46"/>
  <c r="L62" i="37"/>
  <c r="E360" i="14"/>
  <c r="E151" i="8"/>
  <c r="E61" i="22"/>
  <c r="G53" i="20" s="1"/>
  <c r="H363" i="14"/>
  <c r="L71" i="37"/>
  <c r="L59" i="46"/>
  <c r="G30" i="46"/>
  <c r="G24" i="14"/>
  <c r="G25" i="14" s="1"/>
  <c r="G37" i="46" s="1"/>
  <c r="H71" i="37"/>
  <c r="H59" i="46"/>
  <c r="H30" i="46"/>
  <c r="H24" i="14"/>
  <c r="I365" i="14"/>
  <c r="I366" i="14" s="1"/>
  <c r="M368" i="14"/>
  <c r="M369" i="14" s="1"/>
  <c r="H1335" i="14"/>
  <c r="K1384" i="14"/>
  <c r="E54" i="46"/>
  <c r="E1208" i="14"/>
  <c r="E1210" i="14" s="1"/>
  <c r="E1324" i="14"/>
  <c r="E1326" i="14" s="1"/>
  <c r="E911" i="14"/>
  <c r="E913" i="14" s="1"/>
  <c r="L106" i="14"/>
  <c r="F30" i="46"/>
  <c r="J62" i="37"/>
  <c r="J51" i="46"/>
  <c r="I62" i="22"/>
  <c r="I152" i="8"/>
  <c r="L365" i="14"/>
  <c r="L366" i="14" s="1"/>
  <c r="H1072" i="14"/>
  <c r="M153" i="8"/>
  <c r="M63" i="22"/>
  <c r="L26" i="14"/>
  <c r="L36" i="46"/>
  <c r="E1159" i="14"/>
  <c r="E1161" i="14" s="1"/>
  <c r="E1771" i="14"/>
  <c r="E1773" i="14" s="1"/>
  <c r="K30" i="46"/>
  <c r="K24" i="14"/>
  <c r="I30" i="46"/>
  <c r="I24" i="14"/>
  <c r="K362" i="14"/>
  <c r="K363" i="14" s="1"/>
  <c r="J59" i="46"/>
  <c r="J71" i="37"/>
  <c r="F51" i="46"/>
  <c r="F62" i="37"/>
  <c r="H62" i="37"/>
  <c r="H51" i="46"/>
  <c r="M42" i="14"/>
  <c r="M51" i="46"/>
  <c r="M62" i="37"/>
  <c r="F365" i="14"/>
  <c r="F366" i="14" s="1"/>
  <c r="N62" i="37"/>
  <c r="N51" i="46"/>
  <c r="J24" i="14"/>
  <c r="J30" i="46"/>
  <c r="M90" i="14"/>
  <c r="M74" i="37" s="1"/>
  <c r="F77" i="14"/>
  <c r="F85" i="14" s="1"/>
  <c r="F80" i="14"/>
  <c r="F88" i="14" s="1"/>
  <c r="M1885" i="14"/>
  <c r="K86" i="37"/>
  <c r="L47" i="46"/>
  <c r="L59" i="37"/>
  <c r="L42" i="14"/>
  <c r="K486" i="14"/>
  <c r="K488" i="14" s="1"/>
  <c r="K489" i="14" s="1"/>
  <c r="K197" i="8"/>
  <c r="K107" i="22"/>
  <c r="K1427" i="14"/>
  <c r="K1433" i="14" s="1"/>
  <c r="K1678" i="14"/>
  <c r="K1684" i="14" s="1"/>
  <c r="K1329" i="14"/>
  <c r="K1335" i="14" s="1"/>
  <c r="I90" i="14"/>
  <c r="I74" i="37" s="1"/>
  <c r="K1115" i="14"/>
  <c r="K1121" i="14" s="1"/>
  <c r="I486" i="14"/>
  <c r="I107" i="22"/>
  <c r="I197" i="8"/>
  <c r="F1626" i="14"/>
  <c r="F1632" i="14" s="1"/>
  <c r="F1427" i="14"/>
  <c r="F1433" i="14" s="1"/>
  <c r="F1479" i="14"/>
  <c r="F1485" i="14" s="1"/>
  <c r="F965" i="14"/>
  <c r="F971" i="14" s="1"/>
  <c r="F987" i="14" s="1"/>
  <c r="F1014" i="14"/>
  <c r="F1020" i="14" s="1"/>
  <c r="F1037" i="14" s="1"/>
  <c r="F1678" i="14"/>
  <c r="F1684" i="14" s="1"/>
  <c r="I47" i="46"/>
  <c r="I42" i="14"/>
  <c r="I59" i="37"/>
  <c r="K1528" i="14"/>
  <c r="K1534" i="14" s="1"/>
  <c r="K916" i="14"/>
  <c r="K922" i="14" s="1"/>
  <c r="K1727" i="14"/>
  <c r="K1733" i="14" s="1"/>
  <c r="H1890" i="14"/>
  <c r="H1239" i="14"/>
  <c r="H1306" i="14" s="1"/>
  <c r="H1355" i="14" s="1"/>
  <c r="F59" i="37"/>
  <c r="F42" i="14"/>
  <c r="F47" i="46"/>
  <c r="K1213" i="14"/>
  <c r="K1219" i="14" s="1"/>
  <c r="K1626" i="14"/>
  <c r="K1632" i="14" s="1"/>
  <c r="K75" i="37"/>
  <c r="K64" i="46"/>
  <c r="K1422" i="14"/>
  <c r="K1424" i="14" s="1"/>
  <c r="K1771" i="14"/>
  <c r="K1773" i="14" s="1"/>
  <c r="K911" i="14"/>
  <c r="K913" i="14" s="1"/>
  <c r="K49" i="10"/>
  <c r="K862" i="14"/>
  <c r="K864" i="14" s="1"/>
  <c r="F86" i="37"/>
  <c r="F106" i="14"/>
  <c r="K76" i="14"/>
  <c r="K84" i="14" s="1"/>
  <c r="K78" i="14"/>
  <c r="K86" i="14" s="1"/>
  <c r="K80" i="14"/>
  <c r="K88" i="14" s="1"/>
  <c r="K79" i="14"/>
  <c r="K87" i="14" s="1"/>
  <c r="F76" i="14"/>
  <c r="F84" i="14" s="1"/>
  <c r="F78" i="14"/>
  <c r="F86" i="14" s="1"/>
  <c r="I86" i="37"/>
  <c r="I106" i="14"/>
  <c r="E72" i="46"/>
  <c r="E63" i="14"/>
  <c r="E102" i="24" s="1"/>
  <c r="H47" i="46"/>
  <c r="H59" i="37"/>
  <c r="H42" i="14"/>
  <c r="H1882" i="14"/>
  <c r="K109" i="37"/>
  <c r="N75" i="37"/>
  <c r="N64" i="46"/>
  <c r="J482" i="14"/>
  <c r="J485" i="14" s="1"/>
  <c r="J1378" i="14"/>
  <c r="J1384" i="14" s="1"/>
  <c r="J867" i="14"/>
  <c r="J873" i="14" s="1"/>
  <c r="J887" i="14" s="1"/>
  <c r="J916" i="14"/>
  <c r="J922" i="14" s="1"/>
  <c r="J1213" i="14"/>
  <c r="J1219" i="14" s="1"/>
  <c r="J1240" i="14" s="1"/>
  <c r="J1678" i="14"/>
  <c r="J1684" i="14" s="1"/>
  <c r="J1479" i="14"/>
  <c r="J1485" i="14" s="1"/>
  <c r="J1427" i="14"/>
  <c r="J1433" i="14" s="1"/>
  <c r="J1776" i="14"/>
  <c r="J1782" i="14" s="1"/>
  <c r="J1626" i="14"/>
  <c r="J1632" i="14" s="1"/>
  <c r="J1115" i="14"/>
  <c r="J1121" i="14" s="1"/>
  <c r="J1825" i="14"/>
  <c r="J1831" i="14" s="1"/>
  <c r="J1164" i="14"/>
  <c r="J1170" i="14" s="1"/>
  <c r="J1190" i="14" s="1"/>
  <c r="J1066" i="14"/>
  <c r="J1072" i="14" s="1"/>
  <c r="J1329" i="14"/>
  <c r="J1335" i="14" s="1"/>
  <c r="J1280" i="14"/>
  <c r="J1286" i="14" s="1"/>
  <c r="J1727" i="14"/>
  <c r="J1733" i="14" s="1"/>
  <c r="J1014" i="14"/>
  <c r="J1020" i="14" s="1"/>
  <c r="J1037" i="14" s="1"/>
  <c r="J965" i="14"/>
  <c r="J971" i="14" s="1"/>
  <c r="J987" i="14" s="1"/>
  <c r="J1577" i="14"/>
  <c r="J1583" i="14" s="1"/>
  <c r="J1528" i="14"/>
  <c r="J1534" i="14" s="1"/>
  <c r="J35" i="14"/>
  <c r="J100" i="14"/>
  <c r="J75" i="37"/>
  <c r="H107" i="22"/>
  <c r="H135" i="22" s="1"/>
  <c r="H1885" i="14"/>
  <c r="N79" i="14"/>
  <c r="N87" i="14" s="1"/>
  <c r="N78" i="14"/>
  <c r="N86" i="14" s="1"/>
  <c r="N76" i="14"/>
  <c r="N84" i="14" s="1"/>
  <c r="N77" i="14"/>
  <c r="N85" i="14" s="1"/>
  <c r="N81" i="14"/>
  <c r="N89" i="14" s="1"/>
  <c r="N80" i="14"/>
  <c r="N88" i="14" s="1"/>
  <c r="J80" i="14"/>
  <c r="J88" i="14" s="1"/>
  <c r="J78" i="14"/>
  <c r="J86" i="14" s="1"/>
  <c r="J76" i="14"/>
  <c r="J84" i="14" s="1"/>
  <c r="J79" i="14"/>
  <c r="J87" i="14" s="1"/>
  <c r="J77" i="14"/>
  <c r="J85" i="14" s="1"/>
  <c r="J81" i="14"/>
  <c r="J89" i="14" s="1"/>
  <c r="H86" i="37"/>
  <c r="N482" i="14"/>
  <c r="N485" i="14" s="1"/>
  <c r="N1626" i="14"/>
  <c r="N1632" i="14" s="1"/>
  <c r="N1115" i="14"/>
  <c r="N1121" i="14" s="1"/>
  <c r="N1776" i="14"/>
  <c r="N1782" i="14" s="1"/>
  <c r="N1727" i="14"/>
  <c r="N1733" i="14" s="1"/>
  <c r="N1213" i="14"/>
  <c r="N1219" i="14" s="1"/>
  <c r="N1014" i="14"/>
  <c r="N1020" i="14" s="1"/>
  <c r="N1037" i="14" s="1"/>
  <c r="N1378" i="14"/>
  <c r="N1384" i="14" s="1"/>
  <c r="N965" i="14"/>
  <c r="N971" i="14" s="1"/>
  <c r="N987" i="14" s="1"/>
  <c r="N867" i="14"/>
  <c r="N873" i="14" s="1"/>
  <c r="N887" i="14" s="1"/>
  <c r="N1479" i="14"/>
  <c r="N1485" i="14" s="1"/>
  <c r="N1678" i="14"/>
  <c r="N1684" i="14" s="1"/>
  <c r="N1577" i="14"/>
  <c r="N1583" i="14" s="1"/>
  <c r="N1280" i="14"/>
  <c r="N1286" i="14" s="1"/>
  <c r="N1528" i="14"/>
  <c r="N1534" i="14" s="1"/>
  <c r="N1329" i="14"/>
  <c r="N1335" i="14" s="1"/>
  <c r="N1427" i="14"/>
  <c r="N1433" i="14" s="1"/>
  <c r="N1066" i="14"/>
  <c r="N1072" i="14" s="1"/>
  <c r="N1164" i="14"/>
  <c r="N1170" i="14" s="1"/>
  <c r="N1190" i="14" s="1"/>
  <c r="N916" i="14"/>
  <c r="N922" i="14" s="1"/>
  <c r="N1825" i="14"/>
  <c r="N1831" i="14" s="1"/>
  <c r="H90" i="14"/>
  <c r="H486" i="14"/>
  <c r="H488" i="14" s="1"/>
  <c r="H489" i="14" s="1"/>
  <c r="G59" i="37"/>
  <c r="G47" i="46"/>
  <c r="F107" i="22"/>
  <c r="F486" i="14"/>
  <c r="K90" i="37"/>
  <c r="K22" i="8"/>
  <c r="N100" i="14"/>
  <c r="N35" i="14"/>
  <c r="M23" i="29"/>
  <c r="M17" i="28"/>
  <c r="E1885" i="14"/>
  <c r="E1089" i="14"/>
  <c r="E1138" i="14" s="1"/>
  <c r="E1187" i="14" s="1"/>
  <c r="K15" i="41"/>
  <c r="L491" i="14"/>
  <c r="L492" i="14" s="1"/>
  <c r="K1884" i="14"/>
  <c r="K1036" i="14"/>
  <c r="K1088" i="14" s="1"/>
  <c r="K1137" i="14" s="1"/>
  <c r="K135" i="22"/>
  <c r="L108" i="22"/>
  <c r="L198" i="8"/>
  <c r="M491" i="14"/>
  <c r="M492" i="14" s="1"/>
  <c r="E90" i="37"/>
  <c r="G23" i="29"/>
  <c r="G16" i="31"/>
  <c r="G22" i="20"/>
  <c r="G17" i="28"/>
  <c r="K1089" i="14"/>
  <c r="K1138" i="14" s="1"/>
  <c r="K1187" i="14" s="1"/>
  <c r="M60" i="14"/>
  <c r="E282" i="22"/>
  <c r="E158" i="37" s="1"/>
  <c r="L90" i="14"/>
  <c r="M90" i="37"/>
  <c r="M22" i="8"/>
  <c r="G163" i="8"/>
  <c r="G407" i="14"/>
  <c r="G73" i="22"/>
  <c r="G559" i="14"/>
  <c r="G560" i="14"/>
  <c r="G562" i="14" s="1"/>
  <c r="G283" i="14"/>
  <c r="G50" i="22"/>
  <c r="G140" i="8"/>
  <c r="G181" i="8"/>
  <c r="G1279" i="14"/>
  <c r="G915" i="14"/>
  <c r="G922" i="14" s="1"/>
  <c r="G1114" i="14"/>
  <c r="G1121" i="14" s="1"/>
  <c r="G1527" i="14"/>
  <c r="G1534" i="14" s="1"/>
  <c r="G1065" i="14"/>
  <c r="G1072" i="14" s="1"/>
  <c r="G1677" i="14"/>
  <c r="G1684" i="14" s="1"/>
  <c r="G1576" i="14"/>
  <c r="G1163" i="14"/>
  <c r="G1170" i="14" s="1"/>
  <c r="G1190" i="14" s="1"/>
  <c r="G1775" i="14"/>
  <c r="G1013" i="14"/>
  <c r="G1020" i="14" s="1"/>
  <c r="G1037" i="14" s="1"/>
  <c r="G1426" i="14"/>
  <c r="G1433" i="14" s="1"/>
  <c r="G1377" i="14"/>
  <c r="G866" i="14"/>
  <c r="G873" i="14" s="1"/>
  <c r="G887" i="14" s="1"/>
  <c r="G1726" i="14"/>
  <c r="G1733" i="14" s="1"/>
  <c r="G39" i="14"/>
  <c r="G1212" i="14"/>
  <c r="G1219" i="14" s="1"/>
  <c r="G1328" i="14"/>
  <c r="G1335" i="14" s="1"/>
  <c r="G964" i="14"/>
  <c r="G971" i="14" s="1"/>
  <c r="G987" i="14" s="1"/>
  <c r="G1625" i="14"/>
  <c r="G1478" i="14"/>
  <c r="G47" i="14"/>
  <c r="G184" i="8"/>
  <c r="G94" i="22"/>
  <c r="G95" i="22"/>
  <c r="G185" i="8"/>
  <c r="G49" i="37"/>
  <c r="G24" i="46"/>
  <c r="G42" i="37"/>
  <c r="G359" i="14"/>
  <c r="G488" i="14"/>
  <c r="G489" i="14" s="1"/>
  <c r="G327" i="14"/>
  <c r="G55" i="22"/>
  <c r="G145" i="8"/>
  <c r="G197" i="8"/>
  <c r="G107" i="22"/>
  <c r="G106" i="14"/>
  <c r="G223" i="22"/>
  <c r="G299" i="8"/>
  <c r="G142" i="14"/>
  <c r="G160" i="14"/>
  <c r="G608" i="14"/>
  <c r="G609" i="14" s="1"/>
  <c r="G525" i="14"/>
  <c r="G91" i="22"/>
  <c r="G634" i="14"/>
  <c r="G635" i="14" s="1"/>
  <c r="G90" i="14"/>
  <c r="G173" i="14"/>
  <c r="G139" i="14"/>
  <c r="G156" i="14"/>
  <c r="G466" i="14"/>
  <c r="M288" i="14" l="1"/>
  <c r="M289" i="14"/>
  <c r="J640" i="14"/>
  <c r="N572" i="14"/>
  <c r="N569" i="14"/>
  <c r="L647" i="14"/>
  <c r="L644" i="14"/>
  <c r="L572" i="14"/>
  <c r="L569" i="14"/>
  <c r="K213" i="8"/>
  <c r="K123" i="22"/>
  <c r="L303" i="14"/>
  <c r="L296" i="14"/>
  <c r="L298" i="14" s="1"/>
  <c r="L304" i="14"/>
  <c r="L292" i="14"/>
  <c r="L294" i="14" s="1"/>
  <c r="L302" i="8"/>
  <c r="L226" i="22"/>
  <c r="L59" i="22"/>
  <c r="L149" i="8"/>
  <c r="K333" i="14"/>
  <c r="I227" i="22"/>
  <c r="I303" i="8"/>
  <c r="E1884" i="14"/>
  <c r="J333" i="14"/>
  <c r="L339" i="14"/>
  <c r="L29" i="8"/>
  <c r="L336" i="14"/>
  <c r="E75" i="22"/>
  <c r="E165" i="8"/>
  <c r="E51" i="22"/>
  <c r="E141" i="8"/>
  <c r="E466" i="14"/>
  <c r="E469" i="14" s="1"/>
  <c r="E472" i="14" s="1"/>
  <c r="E139" i="14"/>
  <c r="E173" i="14"/>
  <c r="E156" i="14"/>
  <c r="N75" i="22"/>
  <c r="N165" i="8"/>
  <c r="M57" i="22"/>
  <c r="M147" i="8"/>
  <c r="H226" i="22"/>
  <c r="H302" i="8"/>
  <c r="H614" i="14"/>
  <c r="H615" i="14"/>
  <c r="K566" i="14"/>
  <c r="K565" i="14"/>
  <c r="E261" i="22"/>
  <c r="E337" i="8"/>
  <c r="F608" i="14"/>
  <c r="F142" i="14"/>
  <c r="F160" i="14"/>
  <c r="F609" i="14"/>
  <c r="N135" i="14"/>
  <c r="N169" i="14"/>
  <c r="N340" i="14"/>
  <c r="N152" i="14"/>
  <c r="F259" i="22"/>
  <c r="F335" i="8"/>
  <c r="I647" i="14"/>
  <c r="I644" i="14"/>
  <c r="H415" i="14"/>
  <c r="H416" i="14" s="1"/>
  <c r="M293" i="21"/>
  <c r="Q276" i="21"/>
  <c r="K16" i="31"/>
  <c r="M937" i="14"/>
  <c r="E582" i="14"/>
  <c r="E581" i="14"/>
  <c r="J57" i="22"/>
  <c r="J147" i="8"/>
  <c r="L98" i="22"/>
  <c r="L188" i="8"/>
  <c r="J318" i="8"/>
  <c r="J242" i="22"/>
  <c r="H303" i="14"/>
  <c r="H296" i="14"/>
  <c r="H298" i="14" s="1"/>
  <c r="H292" i="14"/>
  <c r="H294" i="14" s="1"/>
  <c r="N527" i="14"/>
  <c r="M36" i="46"/>
  <c r="E1621" i="14"/>
  <c r="E1623" i="14" s="1"/>
  <c r="E1373" i="14"/>
  <c r="E1375" i="14" s="1"/>
  <c r="M1240" i="14"/>
  <c r="H143" i="8"/>
  <c r="H53" i="22"/>
  <c r="H346" i="14"/>
  <c r="H345" i="14"/>
  <c r="I165" i="8"/>
  <c r="I75" i="22"/>
  <c r="I524" i="14"/>
  <c r="I525" i="14" s="1"/>
  <c r="J612" i="14"/>
  <c r="F149" i="8"/>
  <c r="F281" i="21"/>
  <c r="E312" i="21"/>
  <c r="E278" i="21"/>
  <c r="H142" i="8"/>
  <c r="H52" i="22"/>
  <c r="K269" i="8"/>
  <c r="K193" i="22"/>
  <c r="N95" i="22"/>
  <c r="N185" i="8"/>
  <c r="L143" i="8"/>
  <c r="L53" i="22"/>
  <c r="H65" i="46"/>
  <c r="H73" i="37"/>
  <c r="K158" i="14"/>
  <c r="K144" i="14"/>
  <c r="K648" i="14"/>
  <c r="F52" i="22"/>
  <c r="F142" i="8"/>
  <c r="L323" i="8"/>
  <c r="L247" i="22"/>
  <c r="H324" i="8"/>
  <c r="H248" i="22"/>
  <c r="K302" i="8"/>
  <c r="K226" i="22"/>
  <c r="F148" i="8"/>
  <c r="F58" i="22"/>
  <c r="F59" i="22" s="1"/>
  <c r="N197" i="22"/>
  <c r="N273" i="8"/>
  <c r="M303" i="8"/>
  <c r="M242" i="22"/>
  <c r="M318" i="8"/>
  <c r="K415" i="14"/>
  <c r="K416" i="14"/>
  <c r="C142" i="36"/>
  <c r="C110" i="36"/>
  <c r="C132" i="36"/>
  <c r="C98" i="36"/>
  <c r="C107" i="36"/>
  <c r="C117" i="36"/>
  <c r="C71" i="36"/>
  <c r="C126" i="36"/>
  <c r="C144" i="36"/>
  <c r="C79" i="36"/>
  <c r="C75" i="36"/>
  <c r="C130" i="36"/>
  <c r="C70" i="36"/>
  <c r="C120" i="36"/>
  <c r="C76" i="36"/>
  <c r="C121" i="36"/>
  <c r="C105" i="36"/>
  <c r="C133" i="36"/>
  <c r="C95" i="36"/>
  <c r="C74" i="36"/>
  <c r="C68" i="36"/>
  <c r="C87" i="36"/>
  <c r="F96" i="22"/>
  <c r="F186" i="8"/>
  <c r="I331" i="14"/>
  <c r="I330" i="14"/>
  <c r="F884" i="14"/>
  <c r="J884" i="14"/>
  <c r="M884" i="14"/>
  <c r="H884" i="14"/>
  <c r="I884" i="14"/>
  <c r="K884" i="14"/>
  <c r="E884" i="14"/>
  <c r="N884" i="14"/>
  <c r="G884" i="14"/>
  <c r="L884" i="14"/>
  <c r="J410" i="14"/>
  <c r="J409" i="14"/>
  <c r="F887" i="14"/>
  <c r="K617" i="14"/>
  <c r="K618" i="14" s="1"/>
  <c r="N1408" i="14"/>
  <c r="F1408" i="14"/>
  <c r="I52" i="22"/>
  <c r="I142" i="8"/>
  <c r="M98" i="22"/>
  <c r="AA276" i="21"/>
  <c r="W303" i="21"/>
  <c r="Z276" i="21"/>
  <c r="V302" i="21"/>
  <c r="W302" i="21" s="1"/>
  <c r="X302" i="21" s="1"/>
  <c r="Y302" i="21" s="1"/>
  <c r="F238" i="22"/>
  <c r="F314" i="8"/>
  <c r="E342" i="14"/>
  <c r="E343" i="14"/>
  <c r="L416" i="14"/>
  <c r="L415" i="14"/>
  <c r="E527" i="14"/>
  <c r="E528" i="14"/>
  <c r="M537" i="14"/>
  <c r="M534" i="14"/>
  <c r="F163" i="8"/>
  <c r="F73" i="22"/>
  <c r="N338" i="8"/>
  <c r="N262" i="22"/>
  <c r="J581" i="14"/>
  <c r="K247" i="22"/>
  <c r="K323" i="8"/>
  <c r="M415" i="14"/>
  <c r="M416" i="14"/>
  <c r="N51" i="22"/>
  <c r="N141" i="8"/>
  <c r="L937" i="14"/>
  <c r="H656" i="14"/>
  <c r="I289" i="14"/>
  <c r="L611" i="14"/>
  <c r="K312" i="14"/>
  <c r="K313" i="14" s="1"/>
  <c r="N173" i="8"/>
  <c r="N83" i="22"/>
  <c r="N174" i="8" s="1"/>
  <c r="H64" i="46"/>
  <c r="H75" i="37"/>
  <c r="F582" i="14"/>
  <c r="H475" i="14"/>
  <c r="F303" i="14"/>
  <c r="F292" i="14"/>
  <c r="F294" i="14" s="1"/>
  <c r="F300" i="14" s="1"/>
  <c r="F304" i="14"/>
  <c r="F296" i="14"/>
  <c r="F298" i="14" s="1"/>
  <c r="J530" i="14"/>
  <c r="J531" i="14" s="1"/>
  <c r="H318" i="8"/>
  <c r="H242" i="22"/>
  <c r="L75" i="22"/>
  <c r="L165" i="8"/>
  <c r="M51" i="22"/>
  <c r="M141" i="8"/>
  <c r="M187" i="8"/>
  <c r="M97" i="22"/>
  <c r="M188" i="8" s="1"/>
  <c r="H543" i="14"/>
  <c r="H544" i="14"/>
  <c r="L212" i="8"/>
  <c r="L122" i="22"/>
  <c r="J211" i="8"/>
  <c r="J121" i="22"/>
  <c r="F336" i="14"/>
  <c r="F339" i="14"/>
  <c r="F29" i="8"/>
  <c r="F181" i="8"/>
  <c r="F91" i="22"/>
  <c r="J226" i="22"/>
  <c r="J302" i="8"/>
  <c r="N657" i="14"/>
  <c r="L83" i="22"/>
  <c r="L174" i="8" s="1"/>
  <c r="L173" i="8"/>
  <c r="J237" i="22"/>
  <c r="J313" i="8"/>
  <c r="I122" i="22"/>
  <c r="I212" i="8"/>
  <c r="K538" i="14"/>
  <c r="K161" i="14"/>
  <c r="K143" i="14"/>
  <c r="M75" i="22"/>
  <c r="M165" i="8"/>
  <c r="H165" i="8"/>
  <c r="H75" i="22"/>
  <c r="C96" i="36"/>
  <c r="C103" i="36"/>
  <c r="C124" i="36"/>
  <c r="C138" i="36"/>
  <c r="C66" i="36"/>
  <c r="C109" i="36"/>
  <c r="C140" i="36"/>
  <c r="C145" i="36"/>
  <c r="C116" i="36"/>
  <c r="C113" i="36"/>
  <c r="C86" i="36"/>
  <c r="C81" i="36"/>
  <c r="C97" i="36"/>
  <c r="C67" i="36"/>
  <c r="C100" i="36"/>
  <c r="C80" i="36"/>
  <c r="C77" i="36"/>
  <c r="C88" i="36"/>
  <c r="C123" i="36"/>
  <c r="C93" i="36"/>
  <c r="C135" i="36"/>
  <c r="N286" i="14"/>
  <c r="G1240" i="14"/>
  <c r="G15" i="41"/>
  <c r="F56" i="11"/>
  <c r="G56" i="11" s="1"/>
  <c r="J56" i="11" s="1"/>
  <c r="K56" i="11" s="1"/>
  <c r="H276" i="22"/>
  <c r="H146" i="37" s="1"/>
  <c r="K22" i="20"/>
  <c r="K17" i="28"/>
  <c r="M16" i="31"/>
  <c r="M15" i="41"/>
  <c r="N1240" i="14"/>
  <c r="H106" i="14"/>
  <c r="J937" i="14"/>
  <c r="K1240" i="14"/>
  <c r="K1891" i="14" s="1"/>
  <c r="M282" i="22"/>
  <c r="M158" i="37" s="1"/>
  <c r="E1673" i="14"/>
  <c r="E1675" i="14" s="1"/>
  <c r="E49" i="10"/>
  <c r="E1061" i="14"/>
  <c r="E1063" i="14" s="1"/>
  <c r="E1820" i="14"/>
  <c r="E1822" i="14" s="1"/>
  <c r="E23" i="8"/>
  <c r="G36" i="46"/>
  <c r="G1458" i="14"/>
  <c r="E1882" i="14"/>
  <c r="E1036" i="14"/>
  <c r="E1088" i="14" s="1"/>
  <c r="E1137" i="14" s="1"/>
  <c r="N1458" i="14"/>
  <c r="K937" i="14"/>
  <c r="I135" i="22"/>
  <c r="N153" i="8"/>
  <c r="E1009" i="14"/>
  <c r="E1011" i="14" s="1"/>
  <c r="E65" i="37"/>
  <c r="E862" i="14"/>
  <c r="E864" i="14" s="1"/>
  <c r="E899" i="14" s="1"/>
  <c r="K1408" i="14"/>
  <c r="E1110" i="14"/>
  <c r="E1112" i="14" s="1"/>
  <c r="L1408" i="14"/>
  <c r="H1240" i="14"/>
  <c r="H1307" i="14" s="1"/>
  <c r="H1356" i="14" s="1"/>
  <c r="H1405" i="14" s="1"/>
  <c r="L887" i="14"/>
  <c r="L1882" i="14" s="1"/>
  <c r="L350" i="8" s="1"/>
  <c r="E1572" i="14"/>
  <c r="E1574" i="14" s="1"/>
  <c r="E960" i="14"/>
  <c r="E962" i="14" s="1"/>
  <c r="I887" i="14"/>
  <c r="I238" i="22"/>
  <c r="I314" i="8"/>
  <c r="F226" i="22"/>
  <c r="F302" i="8"/>
  <c r="H198" i="22"/>
  <c r="H274" i="8"/>
  <c r="I413" i="14"/>
  <c r="J288" i="14"/>
  <c r="E413" i="14"/>
  <c r="G277" i="21"/>
  <c r="F282" i="21"/>
  <c r="G282" i="21" s="1"/>
  <c r="H282" i="21" s="1"/>
  <c r="I282" i="21" s="1"/>
  <c r="T276" i="21"/>
  <c r="P296" i="21"/>
  <c r="L475" i="14"/>
  <c r="E286" i="14"/>
  <c r="N413" i="14"/>
  <c r="M331" i="14"/>
  <c r="H31" i="46"/>
  <c r="H53" i="37"/>
  <c r="K259" i="22"/>
  <c r="K335" i="8"/>
  <c r="I213" i="8"/>
  <c r="I123" i="22"/>
  <c r="K188" i="8"/>
  <c r="K98" i="22"/>
  <c r="L538" i="14"/>
  <c r="L143" i="14"/>
  <c r="L161" i="14"/>
  <c r="E185" i="8"/>
  <c r="E95" i="22"/>
  <c r="I611" i="14"/>
  <c r="I612" i="14"/>
  <c r="E654" i="14"/>
  <c r="K57" i="22"/>
  <c r="K147" i="8"/>
  <c r="F407" i="14"/>
  <c r="M239" i="22"/>
  <c r="M315" i="8"/>
  <c r="H238" i="22"/>
  <c r="H314" i="8"/>
  <c r="F158" i="14"/>
  <c r="F648" i="14"/>
  <c r="F144" i="14"/>
  <c r="M612" i="14"/>
  <c r="L213" i="8"/>
  <c r="L123" i="22"/>
  <c r="K75" i="22"/>
  <c r="K165" i="8"/>
  <c r="C89" i="36"/>
  <c r="C129" i="36"/>
  <c r="C101" i="36"/>
  <c r="C69" i="36"/>
  <c r="C125" i="36"/>
  <c r="C122" i="36"/>
  <c r="C128" i="36"/>
  <c r="C118" i="36"/>
  <c r="C141" i="36"/>
  <c r="C65" i="36"/>
  <c r="C115" i="36"/>
  <c r="C64" i="36"/>
  <c r="C91" i="36"/>
  <c r="C111" i="36"/>
  <c r="C84" i="36"/>
  <c r="C139" i="36"/>
  <c r="C127" i="36"/>
  <c r="C106" i="36"/>
  <c r="C104" i="36"/>
  <c r="C99" i="36"/>
  <c r="C85" i="36"/>
  <c r="C60" i="36"/>
  <c r="F528" i="14"/>
  <c r="I56" i="22"/>
  <c r="I146" i="8"/>
  <c r="J163" i="8"/>
  <c r="J73" i="22"/>
  <c r="J49" i="37"/>
  <c r="J24" i="46"/>
  <c r="L1240" i="14"/>
  <c r="K243" i="22"/>
  <c r="K319" i="8"/>
  <c r="E135" i="22"/>
  <c r="E109" i="24"/>
  <c r="E105" i="24"/>
  <c r="E112" i="24"/>
  <c r="E108" i="24"/>
  <c r="E104" i="24"/>
  <c r="E110" i="24"/>
  <c r="E111" i="24"/>
  <c r="E107" i="24"/>
  <c r="E103" i="24"/>
  <c r="Q9" i="23" s="1"/>
  <c r="E9" i="23" s="1"/>
  <c r="E22" i="14" s="1"/>
  <c r="E106" i="24"/>
  <c r="K1673" i="14"/>
  <c r="K1675" i="14" s="1"/>
  <c r="K1474" i="14"/>
  <c r="K1476" i="14" s="1"/>
  <c r="K1523" i="14"/>
  <c r="K1525" i="14" s="1"/>
  <c r="K960" i="14"/>
  <c r="K962" i="14" s="1"/>
  <c r="K1572" i="14"/>
  <c r="K1574" i="14" s="1"/>
  <c r="K1373" i="14"/>
  <c r="K1375" i="14" s="1"/>
  <c r="K65" i="37"/>
  <c r="K1110" i="14"/>
  <c r="K1112" i="14" s="1"/>
  <c r="K1061" i="14"/>
  <c r="K1063" i="14" s="1"/>
  <c r="K1275" i="14"/>
  <c r="K1277" i="14" s="1"/>
  <c r="K1820" i="14"/>
  <c r="K1822" i="14" s="1"/>
  <c r="K1324" i="14"/>
  <c r="K1326" i="14" s="1"/>
  <c r="K1009" i="14"/>
  <c r="K1011" i="14" s="1"/>
  <c r="K1208" i="14"/>
  <c r="K1210" i="14" s="1"/>
  <c r="K1722" i="14"/>
  <c r="K1724" i="14" s="1"/>
  <c r="K1159" i="14"/>
  <c r="K1161" i="14" s="1"/>
  <c r="M26" i="14"/>
  <c r="F1890" i="14"/>
  <c r="F358" i="8" s="1"/>
  <c r="I282" i="22"/>
  <c r="I158" i="37" s="1"/>
  <c r="K1890" i="14"/>
  <c r="K358" i="8" s="1"/>
  <c r="I1036" i="14"/>
  <c r="I1088" i="14" s="1"/>
  <c r="I1137" i="14" s="1"/>
  <c r="F1891" i="14"/>
  <c r="F283" i="22" s="1"/>
  <c r="F159" i="37" s="1"/>
  <c r="I1239" i="14"/>
  <c r="I1306" i="14" s="1"/>
  <c r="I1355" i="14" s="1"/>
  <c r="I1307" i="14"/>
  <c r="I1356" i="14" s="1"/>
  <c r="I1405" i="14" s="1"/>
  <c r="H1891" i="14"/>
  <c r="H283" i="22" s="1"/>
  <c r="H159" i="37" s="1"/>
  <c r="E1086" i="14"/>
  <c r="E1135" i="14" s="1"/>
  <c r="E1184" i="14" s="1"/>
  <c r="E1233" i="14" s="1"/>
  <c r="E1300" i="14" s="1"/>
  <c r="E1349" i="14" s="1"/>
  <c r="E1398" i="14" s="1"/>
  <c r="E1447" i="14" s="1"/>
  <c r="E1499" i="14" s="1"/>
  <c r="E1548" i="14" s="1"/>
  <c r="E1597" i="14" s="1"/>
  <c r="E1646" i="14" s="1"/>
  <c r="E283" i="22"/>
  <c r="E159" i="37" s="1"/>
  <c r="L1884" i="14"/>
  <c r="L276" i="22" s="1"/>
  <c r="L146" i="37" s="1"/>
  <c r="L274" i="22"/>
  <c r="L144" i="37" s="1"/>
  <c r="E1307" i="14"/>
  <c r="E1356" i="14" s="1"/>
  <c r="E1405" i="14" s="1"/>
  <c r="E1454" i="14" s="1"/>
  <c r="E1506" i="14" s="1"/>
  <c r="E1555" i="14" s="1"/>
  <c r="E1604" i="14" s="1"/>
  <c r="E1653" i="14" s="1"/>
  <c r="E1705" i="14" s="1"/>
  <c r="E1754" i="14" s="1"/>
  <c r="E1803" i="14" s="1"/>
  <c r="E1852" i="14" s="1"/>
  <c r="I283" i="22"/>
  <c r="I159" i="37" s="1"/>
  <c r="I359" i="8"/>
  <c r="N63" i="22"/>
  <c r="L986" i="14"/>
  <c r="L1035" i="14" s="1"/>
  <c r="L1087" i="14" s="1"/>
  <c r="L1883" i="14"/>
  <c r="E1186" i="14"/>
  <c r="E1235" i="14" s="1"/>
  <c r="E1302" i="14" s="1"/>
  <c r="E1351" i="14" s="1"/>
  <c r="E1400" i="14" s="1"/>
  <c r="E1449" i="14" s="1"/>
  <c r="E1501" i="14" s="1"/>
  <c r="E1550" i="14" s="1"/>
  <c r="E1599" i="14" s="1"/>
  <c r="E1648" i="14" s="1"/>
  <c r="K1882" i="14"/>
  <c r="K274" i="22" s="1"/>
  <c r="K144" i="37" s="1"/>
  <c r="E1033" i="14"/>
  <c r="E1085" i="14" s="1"/>
  <c r="E1134" i="14" s="1"/>
  <c r="E1183" i="14" s="1"/>
  <c r="E1232" i="14" s="1"/>
  <c r="E1299" i="14" s="1"/>
  <c r="E1348" i="14" s="1"/>
  <c r="E1397" i="14" s="1"/>
  <c r="E1446" i="14" s="1"/>
  <c r="E1498" i="14" s="1"/>
  <c r="E1547" i="14" s="1"/>
  <c r="E1596" i="14" s="1"/>
  <c r="E1645" i="14" s="1"/>
  <c r="I353" i="8"/>
  <c r="L1890" i="14"/>
  <c r="L1239" i="14"/>
  <c r="L1306" i="14" s="1"/>
  <c r="L1355" i="14" s="1"/>
  <c r="M1036" i="14"/>
  <c r="M1088" i="14" s="1"/>
  <c r="M1137" i="14" s="1"/>
  <c r="M1884" i="14"/>
  <c r="E933" i="14"/>
  <c r="E982" i="14" s="1"/>
  <c r="E1031" i="14" s="1"/>
  <c r="E1083" i="14" s="1"/>
  <c r="E1132" i="14" s="1"/>
  <c r="E1181" i="14" s="1"/>
  <c r="E1230" i="14" s="1"/>
  <c r="E1297" i="14" s="1"/>
  <c r="E1346" i="14" s="1"/>
  <c r="E1395" i="14" s="1"/>
  <c r="E1444" i="14" s="1"/>
  <c r="E1496" i="14" s="1"/>
  <c r="E1545" i="14" s="1"/>
  <c r="E1594" i="14" s="1"/>
  <c r="E1643" i="14" s="1"/>
  <c r="E983" i="14"/>
  <c r="E1032" i="14" s="1"/>
  <c r="E1084" i="14" s="1"/>
  <c r="E1133" i="14" s="1"/>
  <c r="E1182" i="14" s="1"/>
  <c r="E1231" i="14" s="1"/>
  <c r="E1298" i="14" s="1"/>
  <c r="E1347" i="14" s="1"/>
  <c r="E1396" i="14" s="1"/>
  <c r="E1445" i="14" s="1"/>
  <c r="E1497" i="14" s="1"/>
  <c r="E1546" i="14" s="1"/>
  <c r="E1595" i="14" s="1"/>
  <c r="E1644" i="14" s="1"/>
  <c r="E1404" i="14"/>
  <c r="E1453" i="14" s="1"/>
  <c r="E1505" i="14" s="1"/>
  <c r="E1554" i="14" s="1"/>
  <c r="E1603" i="14" s="1"/>
  <c r="E1652" i="14" s="1"/>
  <c r="E1704" i="14" s="1"/>
  <c r="E1753" i="14" s="1"/>
  <c r="E1802" i="14" s="1"/>
  <c r="E1851" i="14" s="1"/>
  <c r="L352" i="8"/>
  <c r="L1885" i="14"/>
  <c r="L1089" i="14"/>
  <c r="L1138" i="14" s="1"/>
  <c r="L1187" i="14" s="1"/>
  <c r="E1236" i="14"/>
  <c r="E1303" i="14" s="1"/>
  <c r="E1352" i="14" s="1"/>
  <c r="E1401" i="14" s="1"/>
  <c r="E1450" i="14" s="1"/>
  <c r="E1502" i="14" s="1"/>
  <c r="E1551" i="14" s="1"/>
  <c r="E1600" i="14" s="1"/>
  <c r="E1649" i="14" s="1"/>
  <c r="M1882" i="14"/>
  <c r="L936" i="14"/>
  <c r="L985" i="14" s="1"/>
  <c r="L1034" i="14" s="1"/>
  <c r="L1897" i="14"/>
  <c r="L1457" i="14"/>
  <c r="L1509" i="14" s="1"/>
  <c r="L1558" i="14" s="1"/>
  <c r="N36" i="46"/>
  <c r="N25" i="14"/>
  <c r="N37" i="46" s="1"/>
  <c r="H365" i="14"/>
  <c r="H366" i="14" s="1"/>
  <c r="E362" i="14"/>
  <c r="E363" i="14" s="1"/>
  <c r="E365" i="14" s="1"/>
  <c r="I368" i="14"/>
  <c r="M379" i="14"/>
  <c r="M373" i="14"/>
  <c r="K365" i="14"/>
  <c r="K366" i="14" s="1"/>
  <c r="E903" i="14"/>
  <c r="J365" i="14"/>
  <c r="J366" i="14" s="1"/>
  <c r="N373" i="14"/>
  <c r="N379" i="14"/>
  <c r="K152" i="8"/>
  <c r="K62" i="22"/>
  <c r="I352" i="8"/>
  <c r="I276" i="22"/>
  <c r="I146" i="37" s="1"/>
  <c r="E895" i="14"/>
  <c r="F153" i="8"/>
  <c r="F63" i="22"/>
  <c r="M1523" i="14"/>
  <c r="M1525" i="14" s="1"/>
  <c r="M911" i="14"/>
  <c r="M913" i="14" s="1"/>
  <c r="M1621" i="14"/>
  <c r="M1623" i="14" s="1"/>
  <c r="M49" i="10"/>
  <c r="M1771" i="14"/>
  <c r="M1773" i="14" s="1"/>
  <c r="M1474" i="14"/>
  <c r="M1476" i="14" s="1"/>
  <c r="M1820" i="14"/>
  <c r="M1822" i="14" s="1"/>
  <c r="M1673" i="14"/>
  <c r="M1675" i="14" s="1"/>
  <c r="M1572" i="14"/>
  <c r="M1574" i="14" s="1"/>
  <c r="M1159" i="14"/>
  <c r="M1161" i="14" s="1"/>
  <c r="M960" i="14"/>
  <c r="M962" i="14" s="1"/>
  <c r="M1009" i="14"/>
  <c r="M1011" i="14" s="1"/>
  <c r="M1422" i="14"/>
  <c r="M1424" i="14" s="1"/>
  <c r="M23" i="8"/>
  <c r="M1722" i="14"/>
  <c r="M1724" i="14" s="1"/>
  <c r="M1208" i="14"/>
  <c r="M1210" i="14" s="1"/>
  <c r="M1275" i="14"/>
  <c r="M1277" i="14" s="1"/>
  <c r="M65" i="37"/>
  <c r="M54" i="46"/>
  <c r="M862" i="14"/>
  <c r="M864" i="14" s="1"/>
  <c r="M1110" i="14"/>
  <c r="M1112" i="14" s="1"/>
  <c r="M1061" i="14"/>
  <c r="M1063" i="14" s="1"/>
  <c r="M1373" i="14"/>
  <c r="M1375" i="14" s="1"/>
  <c r="M1324" i="14"/>
  <c r="M1326" i="14" s="1"/>
  <c r="I36" i="46"/>
  <c r="I25" i="14"/>
  <c r="I37" i="46" s="1"/>
  <c r="L56" i="37"/>
  <c r="L20" i="8"/>
  <c r="L38" i="46"/>
  <c r="L48" i="10"/>
  <c r="L153" i="8"/>
  <c r="L63" i="22"/>
  <c r="L22" i="8"/>
  <c r="L90" i="37"/>
  <c r="M154" i="8"/>
  <c r="M64" i="22"/>
  <c r="M155" i="8" s="1"/>
  <c r="I63" i="22"/>
  <c r="I153" i="8"/>
  <c r="N64" i="22"/>
  <c r="N154" i="8"/>
  <c r="K36" i="46"/>
  <c r="K25" i="14"/>
  <c r="K37" i="46" s="1"/>
  <c r="E891" i="14"/>
  <c r="J36" i="46"/>
  <c r="J25" i="14"/>
  <c r="J37" i="46" s="1"/>
  <c r="F368" i="14"/>
  <c r="F369" i="14" s="1"/>
  <c r="L368" i="14"/>
  <c r="L369" i="14" s="1"/>
  <c r="J152" i="8"/>
  <c r="J62" i="22"/>
  <c r="H36" i="46"/>
  <c r="H25" i="14"/>
  <c r="H37" i="46" s="1"/>
  <c r="F90" i="14"/>
  <c r="K1307" i="14"/>
  <c r="K1356" i="14" s="1"/>
  <c r="K1405" i="14" s="1"/>
  <c r="K1454" i="14" s="1"/>
  <c r="K1506" i="14" s="1"/>
  <c r="K1555" i="14" s="1"/>
  <c r="K1604" i="14" s="1"/>
  <c r="K1653" i="14" s="1"/>
  <c r="K1705" i="14" s="1"/>
  <c r="K1754" i="14" s="1"/>
  <c r="K1803" i="14" s="1"/>
  <c r="K1852" i="14" s="1"/>
  <c r="K1236" i="14"/>
  <c r="K1303" i="14" s="1"/>
  <c r="K1352" i="14" s="1"/>
  <c r="K1401" i="14" s="1"/>
  <c r="K1450" i="14" s="1"/>
  <c r="K1502" i="14" s="1"/>
  <c r="K1551" i="14" s="1"/>
  <c r="K1600" i="14" s="1"/>
  <c r="K1649" i="14" s="1"/>
  <c r="K1701" i="14" s="1"/>
  <c r="K1750" i="14" s="1"/>
  <c r="K1799" i="14" s="1"/>
  <c r="K1848" i="14" s="1"/>
  <c r="K1186" i="14"/>
  <c r="K1235" i="14" s="1"/>
  <c r="K1302" i="14" s="1"/>
  <c r="K1351" i="14" s="1"/>
  <c r="K1400" i="14" s="1"/>
  <c r="K1449" i="14" s="1"/>
  <c r="K1501" i="14" s="1"/>
  <c r="K1550" i="14" s="1"/>
  <c r="K1599" i="14" s="1"/>
  <c r="K1648" i="14" s="1"/>
  <c r="K1700" i="14" s="1"/>
  <c r="K1749" i="14" s="1"/>
  <c r="K1798" i="14" s="1"/>
  <c r="K1847" i="14" s="1"/>
  <c r="I60" i="14"/>
  <c r="M353" i="8"/>
  <c r="M277" i="22"/>
  <c r="M147" i="37" s="1"/>
  <c r="K1404" i="14"/>
  <c r="K1453" i="14" s="1"/>
  <c r="K1505" i="14" s="1"/>
  <c r="K1554" i="14" s="1"/>
  <c r="K1603" i="14" s="1"/>
  <c r="K1652" i="14" s="1"/>
  <c r="K1704" i="14" s="1"/>
  <c r="K1753" i="14" s="1"/>
  <c r="K1802" i="14" s="1"/>
  <c r="K1851" i="14" s="1"/>
  <c r="L1621" i="14"/>
  <c r="L1623" i="14" s="1"/>
  <c r="L862" i="14"/>
  <c r="L864" i="14" s="1"/>
  <c r="L1110" i="14"/>
  <c r="L1112" i="14" s="1"/>
  <c r="L1009" i="14"/>
  <c r="L1011" i="14" s="1"/>
  <c r="L1275" i="14"/>
  <c r="L1277" i="14" s="1"/>
  <c r="L1159" i="14"/>
  <c r="L1161" i="14" s="1"/>
  <c r="L1820" i="14"/>
  <c r="L1822" i="14" s="1"/>
  <c r="L1373" i="14"/>
  <c r="L1375" i="14" s="1"/>
  <c r="L65" i="37"/>
  <c r="L49" i="10"/>
  <c r="L23" i="8"/>
  <c r="L1673" i="14"/>
  <c r="L1675" i="14" s="1"/>
  <c r="L960" i="14"/>
  <c r="L962" i="14" s="1"/>
  <c r="L54" i="46"/>
  <c r="L1722" i="14"/>
  <c r="L1724" i="14" s="1"/>
  <c r="L1572" i="14"/>
  <c r="L1574" i="14" s="1"/>
  <c r="L1523" i="14"/>
  <c r="L1525" i="14" s="1"/>
  <c r="L1324" i="14"/>
  <c r="L1326" i="14" s="1"/>
  <c r="L1771" i="14"/>
  <c r="L1773" i="14" s="1"/>
  <c r="L911" i="14"/>
  <c r="L913" i="14" s="1"/>
  <c r="L1474" i="14"/>
  <c r="L1476" i="14" s="1"/>
  <c r="L1061" i="14"/>
  <c r="L1063" i="14" s="1"/>
  <c r="L1422" i="14"/>
  <c r="L1424" i="14" s="1"/>
  <c r="L1208" i="14"/>
  <c r="L1210" i="14" s="1"/>
  <c r="K90" i="14"/>
  <c r="K60" i="14" s="1"/>
  <c r="F74" i="37"/>
  <c r="F60" i="14"/>
  <c r="F72" i="46" s="1"/>
  <c r="I911" i="14"/>
  <c r="I913" i="14" s="1"/>
  <c r="I1373" i="14"/>
  <c r="I1375" i="14" s="1"/>
  <c r="I49" i="10"/>
  <c r="I1422" i="14"/>
  <c r="I1424" i="14" s="1"/>
  <c r="I23" i="8"/>
  <c r="I1110" i="14"/>
  <c r="I1112" i="14" s="1"/>
  <c r="I65" i="37"/>
  <c r="I1572" i="14"/>
  <c r="I1574" i="14" s="1"/>
  <c r="I1324" i="14"/>
  <c r="I1326" i="14" s="1"/>
  <c r="I1673" i="14"/>
  <c r="I1675" i="14" s="1"/>
  <c r="I1061" i="14"/>
  <c r="I1063" i="14" s="1"/>
  <c r="I1621" i="14"/>
  <c r="I1623" i="14" s="1"/>
  <c r="I1159" i="14"/>
  <c r="I1161" i="14" s="1"/>
  <c r="I1275" i="14"/>
  <c r="I1277" i="14" s="1"/>
  <c r="I1208" i="14"/>
  <c r="I1210" i="14" s="1"/>
  <c r="I54" i="46"/>
  <c r="I1820" i="14"/>
  <c r="I1822" i="14" s="1"/>
  <c r="I1474" i="14"/>
  <c r="I1476" i="14" s="1"/>
  <c r="I1722" i="14"/>
  <c r="I1724" i="14" s="1"/>
  <c r="I1771" i="14"/>
  <c r="I1773" i="14" s="1"/>
  <c r="I862" i="14"/>
  <c r="I864" i="14" s="1"/>
  <c r="I1523" i="14"/>
  <c r="I1525" i="14" s="1"/>
  <c r="I960" i="14"/>
  <c r="I962" i="14" s="1"/>
  <c r="I1009" i="14"/>
  <c r="I1011" i="14" s="1"/>
  <c r="F1036" i="14"/>
  <c r="F1088" i="14" s="1"/>
  <c r="F1137" i="14" s="1"/>
  <c r="F1884" i="14"/>
  <c r="F911" i="14"/>
  <c r="F913" i="14" s="1"/>
  <c r="F1454" i="14" s="1"/>
  <c r="F1506" i="14" s="1"/>
  <c r="F1555" i="14" s="1"/>
  <c r="F1604" i="14" s="1"/>
  <c r="F1009" i="14"/>
  <c r="F1011" i="14" s="1"/>
  <c r="F1208" i="14"/>
  <c r="F1210" i="14" s="1"/>
  <c r="F1820" i="14"/>
  <c r="F1822" i="14" s="1"/>
  <c r="F1275" i="14"/>
  <c r="F1277" i="14" s="1"/>
  <c r="F1572" i="14"/>
  <c r="F1574" i="14" s="1"/>
  <c r="F65" i="37"/>
  <c r="F960" i="14"/>
  <c r="F962" i="14" s="1"/>
  <c r="F1422" i="14"/>
  <c r="F1424" i="14" s="1"/>
  <c r="F23" i="8"/>
  <c r="F862" i="14"/>
  <c r="F864" i="14" s="1"/>
  <c r="F1673" i="14"/>
  <c r="F1675" i="14" s="1"/>
  <c r="F1324" i="14"/>
  <c r="F1326" i="14" s="1"/>
  <c r="F1523" i="14"/>
  <c r="F1525" i="14" s="1"/>
  <c r="F1771" i="14"/>
  <c r="F1773" i="14" s="1"/>
  <c r="F1373" i="14"/>
  <c r="F1375" i="14" s="1"/>
  <c r="F1722" i="14"/>
  <c r="F1724" i="14" s="1"/>
  <c r="F1110" i="14"/>
  <c r="F1112" i="14" s="1"/>
  <c r="F1061" i="14"/>
  <c r="F1063" i="14" s="1"/>
  <c r="F54" i="46"/>
  <c r="F1621" i="14"/>
  <c r="F1623" i="14" s="1"/>
  <c r="F1474" i="14"/>
  <c r="F1476" i="14" s="1"/>
  <c r="F1159" i="14"/>
  <c r="F1161" i="14" s="1"/>
  <c r="F49" i="10"/>
  <c r="K986" i="14"/>
  <c r="K1035" i="14" s="1"/>
  <c r="K1087" i="14" s="1"/>
  <c r="K1136" i="14" s="1"/>
  <c r="K1185" i="14" s="1"/>
  <c r="K1234" i="14" s="1"/>
  <c r="K1301" i="14" s="1"/>
  <c r="K1350" i="14" s="1"/>
  <c r="K1399" i="14" s="1"/>
  <c r="K1448" i="14" s="1"/>
  <c r="K1500" i="14" s="1"/>
  <c r="K1549" i="14" s="1"/>
  <c r="K1598" i="14" s="1"/>
  <c r="K1647" i="14" s="1"/>
  <c r="K1699" i="14" s="1"/>
  <c r="K1748" i="14" s="1"/>
  <c r="K1797" i="14" s="1"/>
  <c r="K1846" i="14" s="1"/>
  <c r="K1883" i="14"/>
  <c r="I22" i="8"/>
  <c r="I90" i="37"/>
  <c r="F22" i="8"/>
  <c r="F90" i="37"/>
  <c r="I488" i="14"/>
  <c r="I489" i="14" s="1"/>
  <c r="K903" i="14"/>
  <c r="K891" i="14"/>
  <c r="K895" i="14"/>
  <c r="K899" i="14"/>
  <c r="K983" i="14"/>
  <c r="K1032" i="14" s="1"/>
  <c r="K1084" i="14" s="1"/>
  <c r="K1133" i="14" s="1"/>
  <c r="K1182" i="14" s="1"/>
  <c r="K1231" i="14" s="1"/>
  <c r="K1298" i="14" s="1"/>
  <c r="K1347" i="14" s="1"/>
  <c r="K1396" i="14" s="1"/>
  <c r="K1445" i="14" s="1"/>
  <c r="K1497" i="14" s="1"/>
  <c r="K1546" i="14" s="1"/>
  <c r="K1595" i="14" s="1"/>
  <c r="K1644" i="14" s="1"/>
  <c r="K1696" i="14" s="1"/>
  <c r="K1745" i="14" s="1"/>
  <c r="K1794" i="14" s="1"/>
  <c r="K1843" i="14" s="1"/>
  <c r="K933" i="14"/>
  <c r="K982" i="14" s="1"/>
  <c r="K1031" i="14" s="1"/>
  <c r="K1083" i="14" s="1"/>
  <c r="K1132" i="14" s="1"/>
  <c r="K1181" i="14" s="1"/>
  <c r="K1230" i="14" s="1"/>
  <c r="K1297" i="14" s="1"/>
  <c r="K1346" i="14" s="1"/>
  <c r="K1395" i="14" s="1"/>
  <c r="K1444" i="14" s="1"/>
  <c r="K1496" i="14" s="1"/>
  <c r="K1545" i="14" s="1"/>
  <c r="K1594" i="14" s="1"/>
  <c r="K1643" i="14" s="1"/>
  <c r="K1695" i="14" s="1"/>
  <c r="K1744" i="14" s="1"/>
  <c r="K1793" i="14" s="1"/>
  <c r="K1842" i="14" s="1"/>
  <c r="K1033" i="14"/>
  <c r="K1085" i="14" s="1"/>
  <c r="K1134" i="14" s="1"/>
  <c r="K1183" i="14" s="1"/>
  <c r="K1232" i="14" s="1"/>
  <c r="K1299" i="14" s="1"/>
  <c r="K1348" i="14" s="1"/>
  <c r="K1397" i="14" s="1"/>
  <c r="K1446" i="14" s="1"/>
  <c r="K1498" i="14" s="1"/>
  <c r="K1547" i="14" s="1"/>
  <c r="K1596" i="14" s="1"/>
  <c r="K1645" i="14" s="1"/>
  <c r="K1697" i="14" s="1"/>
  <c r="K1746" i="14" s="1"/>
  <c r="K1795" i="14" s="1"/>
  <c r="K1844" i="14" s="1"/>
  <c r="H358" i="8"/>
  <c r="H282" i="22"/>
  <c r="H158" i="37" s="1"/>
  <c r="F1089" i="14"/>
  <c r="F1138" i="14" s="1"/>
  <c r="F1187" i="14" s="1"/>
  <c r="F1885" i="14"/>
  <c r="N1307" i="14"/>
  <c r="N1356" i="14" s="1"/>
  <c r="N1405" i="14" s="1"/>
  <c r="N1891" i="14"/>
  <c r="J1036" i="14"/>
  <c r="J1088" i="14" s="1"/>
  <c r="J1137" i="14" s="1"/>
  <c r="J1884" i="14"/>
  <c r="N42" i="14"/>
  <c r="N59" i="37"/>
  <c r="N47" i="46"/>
  <c r="K111" i="37"/>
  <c r="K252" i="37"/>
  <c r="K50" i="10"/>
  <c r="N197" i="8"/>
  <c r="N486" i="14"/>
  <c r="N107" i="22"/>
  <c r="N135" i="22" s="1"/>
  <c r="H277" i="22"/>
  <c r="H147" i="37" s="1"/>
  <c r="H353" i="8"/>
  <c r="J59" i="37"/>
  <c r="J47" i="46"/>
  <c r="J42" i="14"/>
  <c r="J1885" i="14"/>
  <c r="J1089" i="14"/>
  <c r="J1138" i="14" s="1"/>
  <c r="J1187" i="14" s="1"/>
  <c r="H1009" i="14"/>
  <c r="H1011" i="14" s="1"/>
  <c r="H1208" i="14"/>
  <c r="H1210" i="14" s="1"/>
  <c r="H1673" i="14"/>
  <c r="H1675" i="14" s="1"/>
  <c r="H1621" i="14"/>
  <c r="H1623" i="14" s="1"/>
  <c r="H1722" i="14"/>
  <c r="H1724" i="14" s="1"/>
  <c r="H1474" i="14"/>
  <c r="H1476" i="14" s="1"/>
  <c r="H862" i="14"/>
  <c r="H864" i="14" s="1"/>
  <c r="H1324" i="14"/>
  <c r="H1326" i="14" s="1"/>
  <c r="H1820" i="14"/>
  <c r="H1822" i="14" s="1"/>
  <c r="H1275" i="14"/>
  <c r="H1277" i="14" s="1"/>
  <c r="H1422" i="14"/>
  <c r="H1424" i="14" s="1"/>
  <c r="H1061" i="14"/>
  <c r="H1063" i="14" s="1"/>
  <c r="H960" i="14"/>
  <c r="H962" i="14" s="1"/>
  <c r="H911" i="14"/>
  <c r="H913" i="14" s="1"/>
  <c r="H1454" i="14" s="1"/>
  <c r="H1506" i="14" s="1"/>
  <c r="H1555" i="14" s="1"/>
  <c r="H1604" i="14" s="1"/>
  <c r="H1653" i="14" s="1"/>
  <c r="H1705" i="14" s="1"/>
  <c r="H1754" i="14" s="1"/>
  <c r="H1803" i="14" s="1"/>
  <c r="H1852" i="14" s="1"/>
  <c r="H54" i="46"/>
  <c r="H1159" i="14"/>
  <c r="H1161" i="14" s="1"/>
  <c r="H1771" i="14"/>
  <c r="H1773" i="14" s="1"/>
  <c r="H23" i="8"/>
  <c r="H1110" i="14"/>
  <c r="H1112" i="14" s="1"/>
  <c r="H49" i="10"/>
  <c r="H65" i="37"/>
  <c r="H1373" i="14"/>
  <c r="H1375" i="14" s="1"/>
  <c r="H1523" i="14"/>
  <c r="H1525" i="14" s="1"/>
  <c r="H1572" i="14"/>
  <c r="H1574" i="14" s="1"/>
  <c r="F488" i="14"/>
  <c r="F489" i="14" s="1"/>
  <c r="N1882" i="14"/>
  <c r="N936" i="14"/>
  <c r="N985" i="14" s="1"/>
  <c r="N1034" i="14" s="1"/>
  <c r="N86" i="37"/>
  <c r="N106" i="14"/>
  <c r="F282" i="22"/>
  <c r="F158" i="37" s="1"/>
  <c r="I72" i="46"/>
  <c r="I63" i="14"/>
  <c r="I102" i="24" s="1"/>
  <c r="H60" i="14"/>
  <c r="H74" i="37"/>
  <c r="N1457" i="14"/>
  <c r="N1509" i="14" s="1"/>
  <c r="N1558" i="14" s="1"/>
  <c r="N1897" i="14"/>
  <c r="H22" i="8"/>
  <c r="H90" i="37"/>
  <c r="J1890" i="14"/>
  <c r="J1239" i="14"/>
  <c r="J1306" i="14" s="1"/>
  <c r="J1355" i="14" s="1"/>
  <c r="J1307" i="14"/>
  <c r="J1356" i="14" s="1"/>
  <c r="J1405" i="14" s="1"/>
  <c r="J1891" i="14"/>
  <c r="J486" i="14"/>
  <c r="J197" i="8"/>
  <c r="J107" i="22"/>
  <c r="E79" i="37"/>
  <c r="E75" i="46"/>
  <c r="E21" i="8"/>
  <c r="K282" i="22"/>
  <c r="K158" i="37" s="1"/>
  <c r="F63" i="14"/>
  <c r="F102" i="24" s="1"/>
  <c r="J106" i="14"/>
  <c r="J86" i="37"/>
  <c r="J936" i="14"/>
  <c r="J985" i="14" s="1"/>
  <c r="J1034" i="14" s="1"/>
  <c r="J1882" i="14"/>
  <c r="K283" i="22"/>
  <c r="K159" i="37" s="1"/>
  <c r="K359" i="8"/>
  <c r="F359" i="8"/>
  <c r="N1510" i="14"/>
  <c r="N1559" i="14" s="1"/>
  <c r="N1608" i="14" s="1"/>
  <c r="N1898" i="14"/>
  <c r="N1036" i="14"/>
  <c r="N1088" i="14" s="1"/>
  <c r="N1137" i="14" s="1"/>
  <c r="N1884" i="14"/>
  <c r="N90" i="14"/>
  <c r="H359" i="8"/>
  <c r="N1239" i="14"/>
  <c r="N1306" i="14" s="1"/>
  <c r="N1355" i="14" s="1"/>
  <c r="N1890" i="14"/>
  <c r="N1089" i="14"/>
  <c r="N1138" i="14" s="1"/>
  <c r="N1187" i="14" s="1"/>
  <c r="N1885" i="14"/>
  <c r="J90" i="14"/>
  <c r="J986" i="14"/>
  <c r="J1035" i="14" s="1"/>
  <c r="J1087" i="14" s="1"/>
  <c r="J1883" i="14"/>
  <c r="H350" i="8"/>
  <c r="H274" i="22"/>
  <c r="H144" i="37" s="1"/>
  <c r="E491" i="14"/>
  <c r="E492" i="14" s="1"/>
  <c r="M494" i="14"/>
  <c r="M495" i="14" s="1"/>
  <c r="K491" i="14"/>
  <c r="K492" i="14" s="1"/>
  <c r="H491" i="14"/>
  <c r="H492" i="14" s="1"/>
  <c r="L60" i="14"/>
  <c r="L74" i="37"/>
  <c r="K985" i="14"/>
  <c r="H108" i="22"/>
  <c r="H198" i="8"/>
  <c r="G27" i="28"/>
  <c r="G28" i="28" s="1"/>
  <c r="G33" i="29"/>
  <c r="G34" i="29" s="1"/>
  <c r="G26" i="31"/>
  <c r="G27" i="31" s="1"/>
  <c r="G25" i="41"/>
  <c r="G26" i="41" s="1"/>
  <c r="G32" i="20"/>
  <c r="G33" i="20" s="1"/>
  <c r="M63" i="14"/>
  <c r="M102" i="24" s="1"/>
  <c r="M72" i="46"/>
  <c r="L494" i="14"/>
  <c r="L495" i="14" s="1"/>
  <c r="E277" i="22"/>
  <c r="E147" i="37" s="1"/>
  <c r="E353" i="8"/>
  <c r="M50" i="10"/>
  <c r="M252" i="37"/>
  <c r="M111" i="37"/>
  <c r="K108" i="22"/>
  <c r="K198" i="8"/>
  <c r="E198" i="8"/>
  <c r="E108" i="22"/>
  <c r="K353" i="8"/>
  <c r="K277" i="22"/>
  <c r="K147" i="37" s="1"/>
  <c r="M109" i="22"/>
  <c r="M199" i="8"/>
  <c r="L136" i="22"/>
  <c r="L199" i="8"/>
  <c r="L109" i="22"/>
  <c r="E274" i="22"/>
  <c r="E144" i="37" s="1"/>
  <c r="E350" i="8"/>
  <c r="E50" i="10"/>
  <c r="E111" i="37"/>
  <c r="E252" i="37"/>
  <c r="K352" i="8"/>
  <c r="K276" i="22"/>
  <c r="K146" i="37" s="1"/>
  <c r="E352" i="8"/>
  <c r="E276" i="22"/>
  <c r="E146" i="37" s="1"/>
  <c r="G563" i="14"/>
  <c r="G82" i="22"/>
  <c r="G172" i="8"/>
  <c r="G409" i="14"/>
  <c r="G410" i="14"/>
  <c r="G71" i="37"/>
  <c r="G59" i="46"/>
  <c r="G936" i="14"/>
  <c r="G985" i="14" s="1"/>
  <c r="G1034" i="14" s="1"/>
  <c r="G1882" i="14"/>
  <c r="G1780" i="14"/>
  <c r="G1782" i="14" s="1"/>
  <c r="G1284" i="14"/>
  <c r="G1286" i="14" s="1"/>
  <c r="G171" i="8"/>
  <c r="G81" i="22"/>
  <c r="G1036" i="14"/>
  <c r="G1088" i="14" s="1"/>
  <c r="G1137" i="14" s="1"/>
  <c r="G1884" i="14"/>
  <c r="G1089" i="14"/>
  <c r="G1138" i="14" s="1"/>
  <c r="G1187" i="14" s="1"/>
  <c r="G1885" i="14"/>
  <c r="G26" i="14"/>
  <c r="G56" i="37" s="1"/>
  <c r="G1483" i="14"/>
  <c r="G1485" i="14" s="1"/>
  <c r="G1307" i="14"/>
  <c r="G1356" i="14" s="1"/>
  <c r="G1405" i="14" s="1"/>
  <c r="G1891" i="14"/>
  <c r="G1382" i="14"/>
  <c r="G1384" i="14" s="1"/>
  <c r="G1408" i="14" s="1"/>
  <c r="G1239" i="14"/>
  <c r="G1306" i="14" s="1"/>
  <c r="G1355" i="14" s="1"/>
  <c r="G1890" i="14"/>
  <c r="G1630" i="14"/>
  <c r="G1632" i="14" s="1"/>
  <c r="G51" i="46"/>
  <c r="G62" i="37"/>
  <c r="G42" i="14"/>
  <c r="G1510" i="14"/>
  <c r="G1559" i="14" s="1"/>
  <c r="G1608" i="14" s="1"/>
  <c r="G1898" i="14"/>
  <c r="G1581" i="14"/>
  <c r="G1583" i="14" s="1"/>
  <c r="G285" i="14"/>
  <c r="G637" i="14"/>
  <c r="G638" i="14" s="1"/>
  <c r="G491" i="14"/>
  <c r="G492" i="14" s="1"/>
  <c r="G317" i="8"/>
  <c r="G241" i="22"/>
  <c r="G90" i="37"/>
  <c r="G22" i="8"/>
  <c r="G146" i="8"/>
  <c r="G56" i="22"/>
  <c r="G198" i="8"/>
  <c r="G108" i="22"/>
  <c r="G151" i="8"/>
  <c r="G61" i="22"/>
  <c r="G468" i="14"/>
  <c r="G60" i="14"/>
  <c r="G74" i="37"/>
  <c r="G527" i="14"/>
  <c r="G528" i="14" s="1"/>
  <c r="G328" i="14"/>
  <c r="G120" i="22"/>
  <c r="G210" i="8"/>
  <c r="G611" i="14"/>
  <c r="G612" i="14" s="1"/>
  <c r="G360" i="14"/>
  <c r="I527" i="14" l="1"/>
  <c r="I528" i="14"/>
  <c r="J537" i="14"/>
  <c r="J534" i="14"/>
  <c r="H422" i="14"/>
  <c r="H419" i="14"/>
  <c r="H30" i="8"/>
  <c r="F530" i="14"/>
  <c r="F531" i="14"/>
  <c r="I614" i="14"/>
  <c r="L540" i="14"/>
  <c r="L541" i="14"/>
  <c r="E288" i="14"/>
  <c r="Q296" i="21"/>
  <c r="R296" i="21" s="1"/>
  <c r="S296" i="21" s="1"/>
  <c r="K1090" i="14"/>
  <c r="E1090" i="14"/>
  <c r="E415" i="14"/>
  <c r="H546" i="14"/>
  <c r="F168" i="14"/>
  <c r="F134" i="14"/>
  <c r="F151" i="14"/>
  <c r="L318" i="8"/>
  <c r="L242" i="22"/>
  <c r="H338" i="8"/>
  <c r="H262" i="22"/>
  <c r="M419" i="14"/>
  <c r="M30" i="8"/>
  <c r="M422" i="14"/>
  <c r="J314" i="8"/>
  <c r="J238" i="22"/>
  <c r="E530" i="14"/>
  <c r="E531" i="14"/>
  <c r="E345" i="14"/>
  <c r="X303" i="21"/>
  <c r="Y303" i="21" s="1"/>
  <c r="Z303" i="21" s="1"/>
  <c r="I1458" i="14"/>
  <c r="H1458" i="14"/>
  <c r="M1458" i="14"/>
  <c r="F1458" i="14"/>
  <c r="F936" i="14"/>
  <c r="F985" i="14" s="1"/>
  <c r="F1034" i="14" s="1"/>
  <c r="F1882" i="14"/>
  <c r="I333" i="14"/>
  <c r="I334" i="14"/>
  <c r="K227" i="22"/>
  <c r="K303" i="8"/>
  <c r="F53" i="22"/>
  <c r="F143" i="8"/>
  <c r="K271" i="8"/>
  <c r="J614" i="14"/>
  <c r="J615" i="14"/>
  <c r="M1090" i="14"/>
  <c r="N96" i="22"/>
  <c r="N186" i="8"/>
  <c r="H191" i="22"/>
  <c r="H267" i="8"/>
  <c r="M1883" i="14"/>
  <c r="M986" i="14"/>
  <c r="M1035" i="14" s="1"/>
  <c r="M1087" i="14" s="1"/>
  <c r="Q297" i="21"/>
  <c r="U276" i="21"/>
  <c r="I648" i="14"/>
  <c r="I144" i="14"/>
  <c r="I158" i="14"/>
  <c r="F611" i="14"/>
  <c r="F612" i="14"/>
  <c r="H617" i="14"/>
  <c r="L152" i="14"/>
  <c r="L340" i="14"/>
  <c r="L169" i="14"/>
  <c r="L135" i="14"/>
  <c r="J58" i="22"/>
  <c r="J59" i="22" s="1"/>
  <c r="J148" i="8"/>
  <c r="G1090" i="14"/>
  <c r="K58" i="22"/>
  <c r="K148" i="8"/>
  <c r="L303" i="8"/>
  <c r="L227" i="22"/>
  <c r="L235" i="22"/>
  <c r="L311" i="8"/>
  <c r="N573" i="14"/>
  <c r="N141" i="14"/>
  <c r="N159" i="14"/>
  <c r="J122" i="22"/>
  <c r="J123" i="22" s="1"/>
  <c r="J212" i="8"/>
  <c r="L1891" i="14"/>
  <c r="L1307" i="14"/>
  <c r="L1356" i="14" s="1"/>
  <c r="L1405" i="14" s="1"/>
  <c r="L1454" i="14" s="1"/>
  <c r="L1506" i="14" s="1"/>
  <c r="L1555" i="14" s="1"/>
  <c r="L1604" i="14" s="1"/>
  <c r="L1653" i="14" s="1"/>
  <c r="L1705" i="14" s="1"/>
  <c r="L1754" i="14" s="1"/>
  <c r="L1803" i="14" s="1"/>
  <c r="L1852" i="14" s="1"/>
  <c r="M614" i="14"/>
  <c r="M615" i="14"/>
  <c r="F409" i="14"/>
  <c r="I318" i="8"/>
  <c r="I242" i="22"/>
  <c r="X276" i="21"/>
  <c r="T300" i="21"/>
  <c r="J142" i="8"/>
  <c r="J52" i="22"/>
  <c r="I239" i="22"/>
  <c r="I315" i="8"/>
  <c r="K1457" i="14"/>
  <c r="K1509" i="14" s="1"/>
  <c r="K1558" i="14" s="1"/>
  <c r="K1607" i="14" s="1"/>
  <c r="K1656" i="14" s="1"/>
  <c r="K1708" i="14" s="1"/>
  <c r="K1757" i="14" s="1"/>
  <c r="K1806" i="14" s="1"/>
  <c r="K1855" i="14" s="1"/>
  <c r="K1897" i="14"/>
  <c r="N288" i="14"/>
  <c r="N289" i="14"/>
  <c r="K541" i="14"/>
  <c r="K540" i="14"/>
  <c r="J315" i="8"/>
  <c r="J239" i="22"/>
  <c r="H325" i="8"/>
  <c r="H249" i="22"/>
  <c r="F191" i="22"/>
  <c r="F267" i="8"/>
  <c r="N84" i="22"/>
  <c r="H657" i="14"/>
  <c r="M76" i="22"/>
  <c r="M166" i="8"/>
  <c r="J582" i="14"/>
  <c r="E96" i="22"/>
  <c r="E186" i="8"/>
  <c r="E274" i="8"/>
  <c r="E198" i="22"/>
  <c r="AE276" i="21"/>
  <c r="AA307" i="21"/>
  <c r="I143" i="8"/>
  <c r="I53" i="22"/>
  <c r="K422" i="14"/>
  <c r="K30" i="8"/>
  <c r="K419" i="14"/>
  <c r="K650" i="14"/>
  <c r="K651" i="14"/>
  <c r="M1408" i="14"/>
  <c r="G281" i="21"/>
  <c r="F278" i="21"/>
  <c r="F312" i="21"/>
  <c r="H199" i="22"/>
  <c r="H275" i="8"/>
  <c r="I1090" i="14"/>
  <c r="I1408" i="14"/>
  <c r="E1458" i="14"/>
  <c r="L84" i="22"/>
  <c r="H300" i="14"/>
  <c r="E238" i="22"/>
  <c r="E314" i="8"/>
  <c r="L1090" i="14"/>
  <c r="N293" i="21"/>
  <c r="O293" i="21" s="1"/>
  <c r="P293" i="21" s="1"/>
  <c r="H937" i="14"/>
  <c r="I937" i="14"/>
  <c r="E937" i="14"/>
  <c r="I259" i="22"/>
  <c r="I335" i="8"/>
  <c r="N342" i="14"/>
  <c r="H319" i="8"/>
  <c r="H243" i="22"/>
  <c r="K24" i="41"/>
  <c r="K32" i="29"/>
  <c r="K25" i="31"/>
  <c r="K31" i="20"/>
  <c r="K26" i="28"/>
  <c r="N937" i="14"/>
  <c r="L191" i="22"/>
  <c r="L267" i="8"/>
  <c r="G937" i="14"/>
  <c r="F937" i="14"/>
  <c r="N235" i="22"/>
  <c r="N311" i="8"/>
  <c r="M296" i="14"/>
  <c r="M298" i="14" s="1"/>
  <c r="M303" i="14"/>
  <c r="M292" i="14"/>
  <c r="M294" i="14" s="1"/>
  <c r="G1308" i="14"/>
  <c r="G1357" i="14" s="1"/>
  <c r="G1406" i="14" s="1"/>
  <c r="G1455" i="14" s="1"/>
  <c r="H315" i="8"/>
  <c r="H239" i="22"/>
  <c r="E656" i="14"/>
  <c r="E657" i="14" s="1"/>
  <c r="M333" i="14"/>
  <c r="M334" i="14" s="1"/>
  <c r="J289" i="14"/>
  <c r="E109" i="37"/>
  <c r="F54" i="11"/>
  <c r="G54" i="11" s="1"/>
  <c r="J54" i="11" s="1"/>
  <c r="K54" i="11" s="1"/>
  <c r="E250" i="37"/>
  <c r="M77" i="22"/>
  <c r="M167" i="8"/>
  <c r="J303" i="8"/>
  <c r="J227" i="22"/>
  <c r="F197" i="22"/>
  <c r="F273" i="8"/>
  <c r="K1458" i="14"/>
  <c r="N339" i="8"/>
  <c r="N263" i="22"/>
  <c r="M538" i="14"/>
  <c r="M143" i="14"/>
  <c r="M44" i="37" s="1"/>
  <c r="M161" i="14"/>
  <c r="L166" i="8"/>
  <c r="L76" i="22"/>
  <c r="AD276" i="21"/>
  <c r="Z306" i="21"/>
  <c r="J1408" i="14"/>
  <c r="J74" i="22"/>
  <c r="J164" i="8"/>
  <c r="K76" i="22"/>
  <c r="K166" i="8"/>
  <c r="I185" i="8"/>
  <c r="I95" i="22"/>
  <c r="H348" i="14"/>
  <c r="H349" i="14"/>
  <c r="E1408" i="14"/>
  <c r="M1891" i="14"/>
  <c r="M1307" i="14"/>
  <c r="M1356" i="14" s="1"/>
  <c r="M1405" i="14" s="1"/>
  <c r="H304" i="14"/>
  <c r="K83" i="22"/>
  <c r="K173" i="8"/>
  <c r="L273" i="8"/>
  <c r="L197" i="22"/>
  <c r="F135" i="22"/>
  <c r="L300" i="14"/>
  <c r="L648" i="14"/>
  <c r="L158" i="14"/>
  <c r="L144" i="14"/>
  <c r="M142" i="8"/>
  <c r="M52" i="22"/>
  <c r="F651" i="14"/>
  <c r="F650" i="14"/>
  <c r="K59" i="22"/>
  <c r="K149" i="8"/>
  <c r="N416" i="14"/>
  <c r="N415" i="14"/>
  <c r="H277" i="21"/>
  <c r="G283" i="21"/>
  <c r="H283" i="21" s="1"/>
  <c r="I283" i="21" s="1"/>
  <c r="J283" i="21" s="1"/>
  <c r="I415" i="14"/>
  <c r="F227" i="22"/>
  <c r="F303" i="8"/>
  <c r="I936" i="14"/>
  <c r="I985" i="14" s="1"/>
  <c r="I1034" i="14" s="1"/>
  <c r="I1882" i="14"/>
  <c r="J1458" i="14"/>
  <c r="N1090" i="14"/>
  <c r="H77" i="22"/>
  <c r="H167" i="8"/>
  <c r="F340" i="14"/>
  <c r="F135" i="14"/>
  <c r="F152" i="14"/>
  <c r="F169" i="14"/>
  <c r="M143" i="8"/>
  <c r="M53" i="22"/>
  <c r="L167" i="8"/>
  <c r="L77" i="22"/>
  <c r="J187" i="8"/>
  <c r="J97" i="22"/>
  <c r="F306" i="14"/>
  <c r="K270" i="8"/>
  <c r="K194" i="22"/>
  <c r="K195" i="22" s="1"/>
  <c r="L612" i="14"/>
  <c r="I296" i="14"/>
  <c r="I298" i="14" s="1"/>
  <c r="I292" i="14"/>
  <c r="I294" i="14" s="1"/>
  <c r="I303" i="14"/>
  <c r="I304" i="14"/>
  <c r="M323" i="8"/>
  <c r="M247" i="22"/>
  <c r="L419" i="14"/>
  <c r="L422" i="14"/>
  <c r="L30" i="8"/>
  <c r="F315" i="8"/>
  <c r="F239" i="22"/>
  <c r="F1897" i="14"/>
  <c r="F1457" i="14"/>
  <c r="F1509" i="14" s="1"/>
  <c r="F1558" i="14" s="1"/>
  <c r="H1090" i="14"/>
  <c r="J1090" i="14"/>
  <c r="K320" i="8"/>
  <c r="K244" i="22"/>
  <c r="K321" i="8" s="1"/>
  <c r="J412" i="14"/>
  <c r="I57" i="22"/>
  <c r="I147" i="8"/>
  <c r="H1408" i="14"/>
  <c r="N528" i="14"/>
  <c r="H166" i="8"/>
  <c r="H76" i="22"/>
  <c r="F241" i="22"/>
  <c r="F317" i="8"/>
  <c r="K569" i="14"/>
  <c r="K572" i="14"/>
  <c r="H227" i="22"/>
  <c r="H303" i="8"/>
  <c r="E474" i="14"/>
  <c r="E475" i="14" s="1"/>
  <c r="J334" i="14"/>
  <c r="F1090" i="14"/>
  <c r="L1458" i="14"/>
  <c r="K334" i="14"/>
  <c r="L306" i="14"/>
  <c r="L141" i="14"/>
  <c r="L573" i="14"/>
  <c r="L159" i="14"/>
  <c r="L259" i="22"/>
  <c r="L335" i="8"/>
  <c r="J641" i="14"/>
  <c r="E34" i="46"/>
  <c r="E55" i="37"/>
  <c r="E24" i="14"/>
  <c r="F103" i="24"/>
  <c r="R9" i="23" s="1"/>
  <c r="F9" i="23" s="1"/>
  <c r="F22" i="14" s="1"/>
  <c r="F34" i="46" s="1"/>
  <c r="F112" i="24"/>
  <c r="F108" i="24"/>
  <c r="F104" i="24"/>
  <c r="F105" i="24"/>
  <c r="F111" i="24"/>
  <c r="F107" i="24"/>
  <c r="F110" i="24"/>
  <c r="F106" i="24"/>
  <c r="F109" i="24"/>
  <c r="M20" i="8"/>
  <c r="M38" i="46"/>
  <c r="M48" i="10"/>
  <c r="M56" i="37"/>
  <c r="L1886" i="14"/>
  <c r="L278" i="22" s="1"/>
  <c r="L148" i="37" s="1"/>
  <c r="K350" i="8"/>
  <c r="N155" i="8"/>
  <c r="M65" i="22"/>
  <c r="L351" i="8"/>
  <c r="L275" i="22"/>
  <c r="L145" i="37" s="1"/>
  <c r="M274" i="22"/>
  <c r="M144" i="37" s="1"/>
  <c r="M1886" i="14"/>
  <c r="M350" i="8"/>
  <c r="L282" i="22"/>
  <c r="L158" i="37" s="1"/>
  <c r="L358" i="8"/>
  <c r="K1886" i="14"/>
  <c r="K1887" i="14" s="1"/>
  <c r="L353" i="8"/>
  <c r="L277" i="22"/>
  <c r="L147" i="37" s="1"/>
  <c r="M276" i="22"/>
  <c r="M146" i="37" s="1"/>
  <c r="M352" i="8"/>
  <c r="H368" i="14"/>
  <c r="H369" i="14" s="1"/>
  <c r="M1236" i="14"/>
  <c r="M1303" i="14" s="1"/>
  <c r="M1352" i="14" s="1"/>
  <c r="M1401" i="14" s="1"/>
  <c r="M1450" i="14" s="1"/>
  <c r="M1502" i="14" s="1"/>
  <c r="M1551" i="14" s="1"/>
  <c r="M1600" i="14" s="1"/>
  <c r="M1649" i="14" s="1"/>
  <c r="M1701" i="14" s="1"/>
  <c r="M1750" i="14" s="1"/>
  <c r="M1799" i="14" s="1"/>
  <c r="M1848" i="14" s="1"/>
  <c r="N26" i="14"/>
  <c r="E366" i="14"/>
  <c r="E368" i="14" s="1"/>
  <c r="E154" i="8" s="1"/>
  <c r="E153" i="8"/>
  <c r="E63" i="22"/>
  <c r="J26" i="14"/>
  <c r="J56" i="37" s="1"/>
  <c r="K26" i="14"/>
  <c r="K56" i="37" s="1"/>
  <c r="G38" i="46"/>
  <c r="G48" i="10"/>
  <c r="L137" i="22"/>
  <c r="H26" i="14"/>
  <c r="H20" i="8" s="1"/>
  <c r="N65" i="22"/>
  <c r="E152" i="8"/>
  <c r="E62" i="22"/>
  <c r="I53" i="20" s="1"/>
  <c r="H63" i="22"/>
  <c r="H153" i="8"/>
  <c r="F373" i="14"/>
  <c r="F379" i="14"/>
  <c r="L373" i="14"/>
  <c r="L379" i="14"/>
  <c r="M895" i="14"/>
  <c r="M903" i="14"/>
  <c r="M899" i="14"/>
  <c r="M891" i="14"/>
  <c r="J368" i="14"/>
  <c r="K368" i="14"/>
  <c r="K369" i="14" s="1"/>
  <c r="I154" i="8"/>
  <c r="I64" i="22"/>
  <c r="I65" i="22" s="1"/>
  <c r="G20" i="8"/>
  <c r="L154" i="8"/>
  <c r="L64" i="22"/>
  <c r="L155" i="8" s="1"/>
  <c r="J63" i="22"/>
  <c r="J153" i="8"/>
  <c r="M153" i="14"/>
  <c r="M136" i="14"/>
  <c r="M375" i="14"/>
  <c r="M380" i="14" s="1"/>
  <c r="M170" i="14"/>
  <c r="I369" i="14"/>
  <c r="F154" i="8"/>
  <c r="F64" i="22"/>
  <c r="F65" i="22" s="1"/>
  <c r="F1186" i="14"/>
  <c r="F1235" i="14" s="1"/>
  <c r="F1302" i="14" s="1"/>
  <c r="F1351" i="14" s="1"/>
  <c r="F1400" i="14" s="1"/>
  <c r="F1449" i="14" s="1"/>
  <c r="F1501" i="14" s="1"/>
  <c r="F1550" i="14" s="1"/>
  <c r="F1599" i="14" s="1"/>
  <c r="F1648" i="14" s="1"/>
  <c r="F1700" i="14" s="1"/>
  <c r="F1749" i="14" s="1"/>
  <c r="F1798" i="14" s="1"/>
  <c r="F1847" i="14" s="1"/>
  <c r="L252" i="37"/>
  <c r="L50" i="10"/>
  <c r="L111" i="37"/>
  <c r="L65" i="22"/>
  <c r="L251" i="37"/>
  <c r="L110" i="37"/>
  <c r="I26" i="14"/>
  <c r="M250" i="37"/>
  <c r="M109" i="37"/>
  <c r="M933" i="14"/>
  <c r="M982" i="14" s="1"/>
  <c r="M1031" i="14" s="1"/>
  <c r="M1083" i="14" s="1"/>
  <c r="M1132" i="14" s="1"/>
  <c r="M1181" i="14" s="1"/>
  <c r="M1230" i="14" s="1"/>
  <c r="M1297" i="14" s="1"/>
  <c r="M1346" i="14" s="1"/>
  <c r="M1395" i="14" s="1"/>
  <c r="M1444" i="14" s="1"/>
  <c r="M1496" i="14" s="1"/>
  <c r="M1545" i="14" s="1"/>
  <c r="M1594" i="14" s="1"/>
  <c r="M1643" i="14" s="1"/>
  <c r="M1695" i="14" s="1"/>
  <c r="M1744" i="14" s="1"/>
  <c r="M1793" i="14" s="1"/>
  <c r="M1842" i="14" s="1"/>
  <c r="M1033" i="14"/>
  <c r="M1085" i="14" s="1"/>
  <c r="M1134" i="14" s="1"/>
  <c r="M1183" i="14" s="1"/>
  <c r="M1232" i="14" s="1"/>
  <c r="M1299" i="14" s="1"/>
  <c r="M1348" i="14" s="1"/>
  <c r="M1397" i="14" s="1"/>
  <c r="M1446" i="14" s="1"/>
  <c r="M1498" i="14" s="1"/>
  <c r="M1547" i="14" s="1"/>
  <c r="M1596" i="14" s="1"/>
  <c r="M1645" i="14" s="1"/>
  <c r="M1697" i="14" s="1"/>
  <c r="M1746" i="14" s="1"/>
  <c r="M1795" i="14" s="1"/>
  <c r="M1844" i="14" s="1"/>
  <c r="M983" i="14"/>
  <c r="M1032" i="14" s="1"/>
  <c r="M1084" i="14" s="1"/>
  <c r="M1133" i="14" s="1"/>
  <c r="M1182" i="14" s="1"/>
  <c r="M1231" i="14" s="1"/>
  <c r="M1298" i="14" s="1"/>
  <c r="M1347" i="14" s="1"/>
  <c r="M1396" i="14" s="1"/>
  <c r="M1445" i="14" s="1"/>
  <c r="M1497" i="14" s="1"/>
  <c r="M1546" i="14" s="1"/>
  <c r="M1595" i="14" s="1"/>
  <c r="M1644" i="14" s="1"/>
  <c r="M1696" i="14" s="1"/>
  <c r="M1745" i="14" s="1"/>
  <c r="M1794" i="14" s="1"/>
  <c r="M1843" i="14" s="1"/>
  <c r="M1454" i="14"/>
  <c r="M1506" i="14" s="1"/>
  <c r="M1555" i="14" s="1"/>
  <c r="M1604" i="14" s="1"/>
  <c r="M1653" i="14" s="1"/>
  <c r="M1705" i="14" s="1"/>
  <c r="M1754" i="14" s="1"/>
  <c r="M1803" i="14" s="1"/>
  <c r="M1852" i="14" s="1"/>
  <c r="M1086" i="14"/>
  <c r="M1135" i="14" s="1"/>
  <c r="M1184" i="14" s="1"/>
  <c r="M1233" i="14" s="1"/>
  <c r="M1300" i="14" s="1"/>
  <c r="M1349" i="14" s="1"/>
  <c r="M1398" i="14" s="1"/>
  <c r="M1447" i="14" s="1"/>
  <c r="M1499" i="14" s="1"/>
  <c r="M1548" i="14" s="1"/>
  <c r="M1597" i="14" s="1"/>
  <c r="M1646" i="14" s="1"/>
  <c r="M1698" i="14" s="1"/>
  <c r="M1747" i="14" s="1"/>
  <c r="M1796" i="14" s="1"/>
  <c r="M1845" i="14" s="1"/>
  <c r="M1186" i="14"/>
  <c r="M1235" i="14" s="1"/>
  <c r="M1302" i="14" s="1"/>
  <c r="M1351" i="14" s="1"/>
  <c r="M1400" i="14" s="1"/>
  <c r="M1449" i="14" s="1"/>
  <c r="M1501" i="14" s="1"/>
  <c r="M1550" i="14" s="1"/>
  <c r="M1599" i="14" s="1"/>
  <c r="M1648" i="14" s="1"/>
  <c r="M1700" i="14" s="1"/>
  <c r="M1749" i="14" s="1"/>
  <c r="M1798" i="14" s="1"/>
  <c r="M1847" i="14" s="1"/>
  <c r="M1404" i="14"/>
  <c r="M1453" i="14" s="1"/>
  <c r="M1505" i="14" s="1"/>
  <c r="M1554" i="14" s="1"/>
  <c r="M1603" i="14" s="1"/>
  <c r="M1652" i="14" s="1"/>
  <c r="M1704" i="14" s="1"/>
  <c r="M1753" i="14" s="1"/>
  <c r="M1802" i="14" s="1"/>
  <c r="M1851" i="14" s="1"/>
  <c r="N203" i="22"/>
  <c r="N279" i="8"/>
  <c r="M279" i="8"/>
  <c r="M203" i="22"/>
  <c r="E64" i="22"/>
  <c r="K38" i="46"/>
  <c r="N170" i="14"/>
  <c r="N375" i="14"/>
  <c r="N380" i="14" s="1"/>
  <c r="N153" i="14"/>
  <c r="N136" i="14"/>
  <c r="K153" i="8"/>
  <c r="K63" i="22"/>
  <c r="Q1599" i="14"/>
  <c r="K74" i="37"/>
  <c r="H1236" i="14"/>
  <c r="H1303" i="14" s="1"/>
  <c r="H1352" i="14" s="1"/>
  <c r="H1401" i="14" s="1"/>
  <c r="H1450" i="14" s="1"/>
  <c r="H1502" i="14" s="1"/>
  <c r="H1551" i="14" s="1"/>
  <c r="H1600" i="14" s="1"/>
  <c r="H1649" i="14" s="1"/>
  <c r="H1701" i="14" s="1"/>
  <c r="H1750" i="14" s="1"/>
  <c r="H1799" i="14" s="1"/>
  <c r="H1848" i="14" s="1"/>
  <c r="F1236" i="14"/>
  <c r="F1303" i="14" s="1"/>
  <c r="F1352" i="14" s="1"/>
  <c r="F1401" i="14" s="1"/>
  <c r="F1450" i="14" s="1"/>
  <c r="F1502" i="14" s="1"/>
  <c r="F1551" i="14" s="1"/>
  <c r="F1600" i="14" s="1"/>
  <c r="F1607" i="14"/>
  <c r="K72" i="46"/>
  <c r="K63" i="14"/>
  <c r="K102" i="24" s="1"/>
  <c r="L109" i="37"/>
  <c r="L250" i="37"/>
  <c r="L933" i="14"/>
  <c r="L982" i="14" s="1"/>
  <c r="L1031" i="14" s="1"/>
  <c r="L1083" i="14" s="1"/>
  <c r="L1132" i="14" s="1"/>
  <c r="L1181" i="14" s="1"/>
  <c r="L1230" i="14" s="1"/>
  <c r="L1297" i="14" s="1"/>
  <c r="L1346" i="14" s="1"/>
  <c r="L1395" i="14" s="1"/>
  <c r="L1444" i="14" s="1"/>
  <c r="L1496" i="14" s="1"/>
  <c r="L1545" i="14" s="1"/>
  <c r="L1594" i="14" s="1"/>
  <c r="L1643" i="14" s="1"/>
  <c r="L1695" i="14" s="1"/>
  <c r="L1744" i="14" s="1"/>
  <c r="L1793" i="14" s="1"/>
  <c r="L1842" i="14" s="1"/>
  <c r="L1186" i="14"/>
  <c r="L1235" i="14" s="1"/>
  <c r="L1302" i="14" s="1"/>
  <c r="L1351" i="14" s="1"/>
  <c r="L1400" i="14" s="1"/>
  <c r="L1449" i="14" s="1"/>
  <c r="L1501" i="14" s="1"/>
  <c r="L1550" i="14" s="1"/>
  <c r="L1599" i="14" s="1"/>
  <c r="L1648" i="14" s="1"/>
  <c r="L1700" i="14" s="1"/>
  <c r="L1749" i="14" s="1"/>
  <c r="L1798" i="14" s="1"/>
  <c r="L1847" i="14" s="1"/>
  <c r="L983" i="14"/>
  <c r="L1032" i="14" s="1"/>
  <c r="L1084" i="14" s="1"/>
  <c r="L1133" i="14" s="1"/>
  <c r="L1404" i="14"/>
  <c r="L1453" i="14" s="1"/>
  <c r="L1505" i="14" s="1"/>
  <c r="L1554" i="14" s="1"/>
  <c r="L1603" i="14" s="1"/>
  <c r="L1652" i="14" s="1"/>
  <c r="L1704" i="14" s="1"/>
  <c r="L1753" i="14" s="1"/>
  <c r="L1802" i="14" s="1"/>
  <c r="L1851" i="14" s="1"/>
  <c r="L1033" i="14"/>
  <c r="L1085" i="14" s="1"/>
  <c r="L1134" i="14" s="1"/>
  <c r="L1183" i="14" s="1"/>
  <c r="L1232" i="14" s="1"/>
  <c r="L1299" i="14" s="1"/>
  <c r="L1348" i="14" s="1"/>
  <c r="L1397" i="14" s="1"/>
  <c r="L1446" i="14" s="1"/>
  <c r="L1498" i="14" s="1"/>
  <c r="L1547" i="14" s="1"/>
  <c r="L1596" i="14" s="1"/>
  <c r="L1645" i="14" s="1"/>
  <c r="L1697" i="14" s="1"/>
  <c r="L1746" i="14" s="1"/>
  <c r="L1795" i="14" s="1"/>
  <c r="L1844" i="14" s="1"/>
  <c r="L1607" i="14"/>
  <c r="L1656" i="14" s="1"/>
  <c r="L1708" i="14" s="1"/>
  <c r="L1757" i="14" s="1"/>
  <c r="L1806" i="14" s="1"/>
  <c r="L1855" i="14" s="1"/>
  <c r="L1136" i="14"/>
  <c r="L1185" i="14" s="1"/>
  <c r="L1234" i="14" s="1"/>
  <c r="L1301" i="14" s="1"/>
  <c r="L1350" i="14" s="1"/>
  <c r="L1399" i="14" s="1"/>
  <c r="L1448" i="14" s="1"/>
  <c r="L1500" i="14" s="1"/>
  <c r="L1549" i="14" s="1"/>
  <c r="L1598" i="14" s="1"/>
  <c r="L1647" i="14" s="1"/>
  <c r="L1699" i="14" s="1"/>
  <c r="L1748" i="14" s="1"/>
  <c r="L1797" i="14" s="1"/>
  <c r="L1846" i="14" s="1"/>
  <c r="L1086" i="14"/>
  <c r="L1135" i="14" s="1"/>
  <c r="L1184" i="14" s="1"/>
  <c r="L1233" i="14" s="1"/>
  <c r="L1300" i="14" s="1"/>
  <c r="L1349" i="14" s="1"/>
  <c r="L1398" i="14" s="1"/>
  <c r="L1447" i="14" s="1"/>
  <c r="L1499" i="14" s="1"/>
  <c r="L1548" i="14" s="1"/>
  <c r="L1597" i="14" s="1"/>
  <c r="L1646" i="14" s="1"/>
  <c r="L1698" i="14" s="1"/>
  <c r="L1747" i="14" s="1"/>
  <c r="L1796" i="14" s="1"/>
  <c r="L1845" i="14" s="1"/>
  <c r="L1236" i="14"/>
  <c r="L1303" i="14" s="1"/>
  <c r="L1352" i="14" s="1"/>
  <c r="L1401" i="14" s="1"/>
  <c r="L1450" i="14" s="1"/>
  <c r="L1502" i="14" s="1"/>
  <c r="L1551" i="14" s="1"/>
  <c r="L1600" i="14" s="1"/>
  <c r="L1649" i="14" s="1"/>
  <c r="L1701" i="14" s="1"/>
  <c r="L1750" i="14" s="1"/>
  <c r="L1799" i="14" s="1"/>
  <c r="L1848" i="14" s="1"/>
  <c r="L899" i="14"/>
  <c r="L895" i="14"/>
  <c r="L903" i="14"/>
  <c r="L891" i="14"/>
  <c r="F1653" i="14"/>
  <c r="Q1653" i="14" s="1"/>
  <c r="Q1604" i="14"/>
  <c r="I491" i="14"/>
  <c r="I492" i="14" s="1"/>
  <c r="F353" i="8"/>
  <c r="F277" i="22"/>
  <c r="F147" i="37" s="1"/>
  <c r="F250" i="37"/>
  <c r="F109" i="37"/>
  <c r="I111" i="37"/>
  <c r="I50" i="10"/>
  <c r="I252" i="37"/>
  <c r="F983" i="14"/>
  <c r="F1032" i="14" s="1"/>
  <c r="F1084" i="14" s="1"/>
  <c r="F1133" i="14" s="1"/>
  <c r="F1182" i="14" s="1"/>
  <c r="F1231" i="14" s="1"/>
  <c r="F1298" i="14" s="1"/>
  <c r="F1347" i="14" s="1"/>
  <c r="F1396" i="14" s="1"/>
  <c r="F1445" i="14" s="1"/>
  <c r="F1497" i="14" s="1"/>
  <c r="F1546" i="14" s="1"/>
  <c r="F1595" i="14" s="1"/>
  <c r="F933" i="14"/>
  <c r="F982" i="14" s="1"/>
  <c r="F1031" i="14" s="1"/>
  <c r="F1083" i="14" s="1"/>
  <c r="F1132" i="14" s="1"/>
  <c r="F1181" i="14" s="1"/>
  <c r="F1230" i="14" s="1"/>
  <c r="F1297" i="14" s="1"/>
  <c r="F1346" i="14" s="1"/>
  <c r="F1395" i="14" s="1"/>
  <c r="F1444" i="14" s="1"/>
  <c r="F1496" i="14" s="1"/>
  <c r="F1545" i="14" s="1"/>
  <c r="F1594" i="14" s="1"/>
  <c r="F1033" i="14"/>
  <c r="F1085" i="14" s="1"/>
  <c r="F1134" i="14" s="1"/>
  <c r="F1183" i="14" s="1"/>
  <c r="F1232" i="14" s="1"/>
  <c r="F1299" i="14" s="1"/>
  <c r="F1348" i="14" s="1"/>
  <c r="F1397" i="14" s="1"/>
  <c r="F1446" i="14" s="1"/>
  <c r="F1498" i="14" s="1"/>
  <c r="F1547" i="14" s="1"/>
  <c r="F1596" i="14" s="1"/>
  <c r="F352" i="8"/>
  <c r="F276" i="22"/>
  <c r="F146" i="37" s="1"/>
  <c r="I891" i="14"/>
  <c r="I899" i="14"/>
  <c r="I895" i="14"/>
  <c r="I903" i="14"/>
  <c r="I250" i="37"/>
  <c r="I109" i="37"/>
  <c r="I1454" i="14"/>
  <c r="I1506" i="14" s="1"/>
  <c r="I1555" i="14" s="1"/>
  <c r="I1604" i="14" s="1"/>
  <c r="I1653" i="14" s="1"/>
  <c r="I1705" i="14" s="1"/>
  <c r="I1754" i="14" s="1"/>
  <c r="I1803" i="14" s="1"/>
  <c r="I1852" i="14" s="1"/>
  <c r="I1086" i="14"/>
  <c r="I1135" i="14" s="1"/>
  <c r="I1184" i="14" s="1"/>
  <c r="I1233" i="14" s="1"/>
  <c r="I1300" i="14" s="1"/>
  <c r="I1349" i="14" s="1"/>
  <c r="I1398" i="14" s="1"/>
  <c r="I1447" i="14" s="1"/>
  <c r="I1499" i="14" s="1"/>
  <c r="I1548" i="14" s="1"/>
  <c r="I1597" i="14" s="1"/>
  <c r="I1646" i="14" s="1"/>
  <c r="I1698" i="14" s="1"/>
  <c r="I1747" i="14" s="1"/>
  <c r="I1796" i="14" s="1"/>
  <c r="I1845" i="14" s="1"/>
  <c r="I933" i="14"/>
  <c r="I982" i="14" s="1"/>
  <c r="I1031" i="14" s="1"/>
  <c r="I1083" i="14" s="1"/>
  <c r="I1132" i="14" s="1"/>
  <c r="I1181" i="14" s="1"/>
  <c r="I1230" i="14" s="1"/>
  <c r="I1297" i="14" s="1"/>
  <c r="I1346" i="14" s="1"/>
  <c r="I1395" i="14" s="1"/>
  <c r="I1444" i="14" s="1"/>
  <c r="I1496" i="14" s="1"/>
  <c r="I1545" i="14" s="1"/>
  <c r="I1594" i="14" s="1"/>
  <c r="I1643" i="14" s="1"/>
  <c r="I1695" i="14" s="1"/>
  <c r="I1744" i="14" s="1"/>
  <c r="I1793" i="14" s="1"/>
  <c r="I1842" i="14" s="1"/>
  <c r="I1236" i="14"/>
  <c r="I1303" i="14" s="1"/>
  <c r="I1352" i="14" s="1"/>
  <c r="I1401" i="14" s="1"/>
  <c r="I1450" i="14" s="1"/>
  <c r="I1502" i="14" s="1"/>
  <c r="I1551" i="14" s="1"/>
  <c r="I1600" i="14" s="1"/>
  <c r="I1649" i="14" s="1"/>
  <c r="I1701" i="14" s="1"/>
  <c r="I1750" i="14" s="1"/>
  <c r="I1799" i="14" s="1"/>
  <c r="I1848" i="14" s="1"/>
  <c r="I1186" i="14"/>
  <c r="I1235" i="14" s="1"/>
  <c r="I1302" i="14" s="1"/>
  <c r="I1351" i="14" s="1"/>
  <c r="I1400" i="14" s="1"/>
  <c r="I1449" i="14" s="1"/>
  <c r="I1501" i="14" s="1"/>
  <c r="I1550" i="14" s="1"/>
  <c r="I1599" i="14" s="1"/>
  <c r="I1648" i="14" s="1"/>
  <c r="I1700" i="14" s="1"/>
  <c r="I1749" i="14" s="1"/>
  <c r="I1798" i="14" s="1"/>
  <c r="I1847" i="14" s="1"/>
  <c r="I983" i="14"/>
  <c r="I1032" i="14" s="1"/>
  <c r="I1084" i="14" s="1"/>
  <c r="I1133" i="14" s="1"/>
  <c r="I1182" i="14" s="1"/>
  <c r="I1231" i="14" s="1"/>
  <c r="I1298" i="14" s="1"/>
  <c r="I1347" i="14" s="1"/>
  <c r="I1396" i="14" s="1"/>
  <c r="I1445" i="14" s="1"/>
  <c r="I1497" i="14" s="1"/>
  <c r="I1546" i="14" s="1"/>
  <c r="I1595" i="14" s="1"/>
  <c r="I1644" i="14" s="1"/>
  <c r="I1696" i="14" s="1"/>
  <c r="I1745" i="14" s="1"/>
  <c r="I1794" i="14" s="1"/>
  <c r="I1843" i="14" s="1"/>
  <c r="I1033" i="14"/>
  <c r="I1085" i="14" s="1"/>
  <c r="I1134" i="14" s="1"/>
  <c r="I1183" i="14" s="1"/>
  <c r="I1232" i="14" s="1"/>
  <c r="I1299" i="14" s="1"/>
  <c r="I1348" i="14" s="1"/>
  <c r="I1397" i="14" s="1"/>
  <c r="I1446" i="14" s="1"/>
  <c r="I1498" i="14" s="1"/>
  <c r="I1547" i="14" s="1"/>
  <c r="I1596" i="14" s="1"/>
  <c r="I1645" i="14" s="1"/>
  <c r="I1697" i="14" s="1"/>
  <c r="I1746" i="14" s="1"/>
  <c r="I1795" i="14" s="1"/>
  <c r="I1844" i="14" s="1"/>
  <c r="I1404" i="14"/>
  <c r="I1453" i="14" s="1"/>
  <c r="I1505" i="14" s="1"/>
  <c r="I1554" i="14" s="1"/>
  <c r="I1603" i="14" s="1"/>
  <c r="I1652" i="14" s="1"/>
  <c r="I1704" i="14" s="1"/>
  <c r="I1753" i="14" s="1"/>
  <c r="I1802" i="14" s="1"/>
  <c r="I1851" i="14" s="1"/>
  <c r="I108" i="22"/>
  <c r="I136" i="22" s="1"/>
  <c r="I198" i="8"/>
  <c r="F111" i="37"/>
  <c r="F50" i="10"/>
  <c r="F252" i="37"/>
  <c r="K275" i="22"/>
  <c r="K145" i="37" s="1"/>
  <c r="K351" i="8"/>
  <c r="F891" i="14"/>
  <c r="F899" i="14"/>
  <c r="F895" i="14"/>
  <c r="F903" i="14"/>
  <c r="F1086" i="14"/>
  <c r="F1135" i="14" s="1"/>
  <c r="F1184" i="14" s="1"/>
  <c r="F1233" i="14" s="1"/>
  <c r="F1300" i="14" s="1"/>
  <c r="F1349" i="14" s="1"/>
  <c r="F1398" i="14" s="1"/>
  <c r="F1447" i="14" s="1"/>
  <c r="F1499" i="14" s="1"/>
  <c r="F1548" i="14" s="1"/>
  <c r="F1597" i="14" s="1"/>
  <c r="F1404" i="14"/>
  <c r="F1453" i="14" s="1"/>
  <c r="F1505" i="14" s="1"/>
  <c r="F1554" i="14" s="1"/>
  <c r="F1603" i="14" s="1"/>
  <c r="J74" i="37"/>
  <c r="J60" i="14"/>
  <c r="J488" i="14"/>
  <c r="H50" i="10"/>
  <c r="H111" i="37"/>
  <c r="H252" i="37"/>
  <c r="I21" i="8"/>
  <c r="I262" i="37" s="1"/>
  <c r="I79" i="37"/>
  <c r="I75" i="46"/>
  <c r="H895" i="14"/>
  <c r="H903" i="14"/>
  <c r="H899" i="14"/>
  <c r="H891" i="14"/>
  <c r="J351" i="8"/>
  <c r="J275" i="22"/>
  <c r="J145" i="37" s="1"/>
  <c r="N282" i="22"/>
  <c r="N158" i="37" s="1"/>
  <c r="N358" i="8"/>
  <c r="N60" i="14"/>
  <c r="N74" i="37"/>
  <c r="F79" i="37"/>
  <c r="F75" i="46"/>
  <c r="F21" i="8"/>
  <c r="F262" i="37" s="1"/>
  <c r="F40" i="11"/>
  <c r="G40" i="11" s="1"/>
  <c r="J40" i="11" s="1"/>
  <c r="K40" i="11" s="1"/>
  <c r="E262" i="37"/>
  <c r="J359" i="8"/>
  <c r="J283" i="22"/>
  <c r="J159" i="37" s="1"/>
  <c r="N22" i="8"/>
  <c r="N90" i="37"/>
  <c r="H109" i="37"/>
  <c r="H250" i="37"/>
  <c r="H1033" i="14"/>
  <c r="H1085" i="14" s="1"/>
  <c r="H1134" i="14" s="1"/>
  <c r="H1183" i="14" s="1"/>
  <c r="H1232" i="14" s="1"/>
  <c r="H1299" i="14" s="1"/>
  <c r="H1348" i="14" s="1"/>
  <c r="H1397" i="14" s="1"/>
  <c r="H1446" i="14" s="1"/>
  <c r="H1498" i="14" s="1"/>
  <c r="H1547" i="14" s="1"/>
  <c r="H1596" i="14" s="1"/>
  <c r="H1645" i="14" s="1"/>
  <c r="H1697" i="14" s="1"/>
  <c r="H1746" i="14" s="1"/>
  <c r="H1795" i="14" s="1"/>
  <c r="H1844" i="14" s="1"/>
  <c r="H983" i="14"/>
  <c r="H1032" i="14" s="1"/>
  <c r="H1084" i="14" s="1"/>
  <c r="H1133" i="14" s="1"/>
  <c r="H1182" i="14" s="1"/>
  <c r="H1231" i="14" s="1"/>
  <c r="H1298" i="14" s="1"/>
  <c r="H1347" i="14" s="1"/>
  <c r="H1396" i="14" s="1"/>
  <c r="H1445" i="14" s="1"/>
  <c r="H1497" i="14" s="1"/>
  <c r="H1546" i="14" s="1"/>
  <c r="H1595" i="14" s="1"/>
  <c r="H1644" i="14" s="1"/>
  <c r="H1696" i="14" s="1"/>
  <c r="H1745" i="14" s="1"/>
  <c r="H1794" i="14" s="1"/>
  <c r="H1843" i="14" s="1"/>
  <c r="H1404" i="14"/>
  <c r="H1453" i="14" s="1"/>
  <c r="H1505" i="14" s="1"/>
  <c r="H1554" i="14" s="1"/>
  <c r="H1603" i="14" s="1"/>
  <c r="H1652" i="14" s="1"/>
  <c r="H1704" i="14" s="1"/>
  <c r="H1753" i="14" s="1"/>
  <c r="H1802" i="14" s="1"/>
  <c r="H1851" i="14" s="1"/>
  <c r="H933" i="14"/>
  <c r="H982" i="14" s="1"/>
  <c r="H1031" i="14" s="1"/>
  <c r="H1083" i="14" s="1"/>
  <c r="H1132" i="14" s="1"/>
  <c r="H1181" i="14" s="1"/>
  <c r="H1230" i="14" s="1"/>
  <c r="H1297" i="14" s="1"/>
  <c r="H1346" i="14" s="1"/>
  <c r="H1395" i="14" s="1"/>
  <c r="H1444" i="14" s="1"/>
  <c r="H1496" i="14" s="1"/>
  <c r="H1545" i="14" s="1"/>
  <c r="H1594" i="14" s="1"/>
  <c r="H1643" i="14" s="1"/>
  <c r="H1695" i="14" s="1"/>
  <c r="H1744" i="14" s="1"/>
  <c r="H1793" i="14" s="1"/>
  <c r="H1842" i="14" s="1"/>
  <c r="H1186" i="14"/>
  <c r="H1235" i="14" s="1"/>
  <c r="H1302" i="14" s="1"/>
  <c r="H1351" i="14" s="1"/>
  <c r="H1400" i="14" s="1"/>
  <c r="H1449" i="14" s="1"/>
  <c r="H1501" i="14" s="1"/>
  <c r="H1550" i="14" s="1"/>
  <c r="H1599" i="14" s="1"/>
  <c r="H1648" i="14" s="1"/>
  <c r="H1700" i="14" s="1"/>
  <c r="H1749" i="14" s="1"/>
  <c r="H1798" i="14" s="1"/>
  <c r="H1847" i="14" s="1"/>
  <c r="N488" i="14"/>
  <c r="N489" i="14" s="1"/>
  <c r="H1086" i="14"/>
  <c r="H1135" i="14" s="1"/>
  <c r="H1184" i="14" s="1"/>
  <c r="H1233" i="14" s="1"/>
  <c r="H1300" i="14" s="1"/>
  <c r="H1349" i="14" s="1"/>
  <c r="H1398" i="14" s="1"/>
  <c r="H1447" i="14" s="1"/>
  <c r="H1499" i="14" s="1"/>
  <c r="H1548" i="14" s="1"/>
  <c r="H1597" i="14" s="1"/>
  <c r="H1646" i="14" s="1"/>
  <c r="H1698" i="14" s="1"/>
  <c r="H1747" i="14" s="1"/>
  <c r="H1796" i="14" s="1"/>
  <c r="H1845" i="14" s="1"/>
  <c r="E1696" i="14"/>
  <c r="E1745" i="14" s="1"/>
  <c r="E1794" i="14" s="1"/>
  <c r="E1843" i="14" s="1"/>
  <c r="N352" i="8"/>
  <c r="N276" i="22"/>
  <c r="N146" i="37" s="1"/>
  <c r="J1886" i="14"/>
  <c r="J274" i="22"/>
  <c r="J144" i="37" s="1"/>
  <c r="J350" i="8"/>
  <c r="J135" i="22"/>
  <c r="J282" i="22"/>
  <c r="J158" i="37" s="1"/>
  <c r="J358" i="8"/>
  <c r="N350" i="8"/>
  <c r="N274" i="22"/>
  <c r="N144" i="37" s="1"/>
  <c r="F198" i="8"/>
  <c r="F108" i="22"/>
  <c r="J353" i="8"/>
  <c r="J277" i="22"/>
  <c r="J147" i="37" s="1"/>
  <c r="J352" i="8"/>
  <c r="J276" i="22"/>
  <c r="J146" i="37" s="1"/>
  <c r="E1695" i="14"/>
  <c r="E1744" i="14" s="1"/>
  <c r="E1793" i="14" s="1"/>
  <c r="E1842" i="14" s="1"/>
  <c r="N353" i="8"/>
  <c r="N277" i="22"/>
  <c r="N147" i="37" s="1"/>
  <c r="J90" i="37"/>
  <c r="J22" i="8"/>
  <c r="H72" i="46"/>
  <c r="H63" i="14"/>
  <c r="H102" i="24" s="1"/>
  <c r="E1697" i="14"/>
  <c r="E1746" i="14" s="1"/>
  <c r="E1795" i="14" s="1"/>
  <c r="E1844" i="14" s="1"/>
  <c r="F491" i="14"/>
  <c r="F492" i="14" s="1"/>
  <c r="J1208" i="14"/>
  <c r="J1210" i="14" s="1"/>
  <c r="J1159" i="14"/>
  <c r="J1161" i="14" s="1"/>
  <c r="J1009" i="14"/>
  <c r="J1011" i="14" s="1"/>
  <c r="J1722" i="14"/>
  <c r="J1724" i="14" s="1"/>
  <c r="J23" i="8"/>
  <c r="J54" i="46"/>
  <c r="J1474" i="14"/>
  <c r="J1476" i="14" s="1"/>
  <c r="J1110" i="14"/>
  <c r="J1112" i="14" s="1"/>
  <c r="J1621" i="14"/>
  <c r="J1623" i="14" s="1"/>
  <c r="J1275" i="14"/>
  <c r="J1277" i="14" s="1"/>
  <c r="J1523" i="14"/>
  <c r="J1525" i="14" s="1"/>
  <c r="J1422" i="14"/>
  <c r="J1424" i="14" s="1"/>
  <c r="J960" i="14"/>
  <c r="J962" i="14" s="1"/>
  <c r="J1373" i="14"/>
  <c r="J1375" i="14" s="1"/>
  <c r="J1324" i="14"/>
  <c r="J1326" i="14" s="1"/>
  <c r="J1572" i="14"/>
  <c r="J1574" i="14" s="1"/>
  <c r="J65" i="37"/>
  <c r="J1061" i="14"/>
  <c r="J1063" i="14" s="1"/>
  <c r="J1771" i="14"/>
  <c r="J1773" i="14" s="1"/>
  <c r="J1820" i="14"/>
  <c r="J1822" i="14" s="1"/>
  <c r="J862" i="14"/>
  <c r="J864" i="14" s="1"/>
  <c r="J911" i="14"/>
  <c r="J913" i="14" s="1"/>
  <c r="J1454" i="14" s="1"/>
  <c r="J1506" i="14" s="1"/>
  <c r="J1555" i="14" s="1"/>
  <c r="J1604" i="14" s="1"/>
  <c r="J1653" i="14" s="1"/>
  <c r="J1705" i="14" s="1"/>
  <c r="J1754" i="14" s="1"/>
  <c r="J1803" i="14" s="1"/>
  <c r="J1852" i="14" s="1"/>
  <c r="J49" i="10"/>
  <c r="J1673" i="14"/>
  <c r="J1675" i="14" s="1"/>
  <c r="N1422" i="14"/>
  <c r="N1424" i="14" s="1"/>
  <c r="N1722" i="14"/>
  <c r="N1724" i="14" s="1"/>
  <c r="N1523" i="14"/>
  <c r="N1525" i="14" s="1"/>
  <c r="N1474" i="14"/>
  <c r="N1476" i="14" s="1"/>
  <c r="N1771" i="14"/>
  <c r="N1773" i="14" s="1"/>
  <c r="N911" i="14"/>
  <c r="N913" i="14" s="1"/>
  <c r="N1621" i="14"/>
  <c r="N1623" i="14" s="1"/>
  <c r="N1673" i="14"/>
  <c r="N1675" i="14" s="1"/>
  <c r="N1275" i="14"/>
  <c r="N1277" i="14" s="1"/>
  <c r="N1373" i="14"/>
  <c r="N1375" i="14" s="1"/>
  <c r="N23" i="8"/>
  <c r="N65" i="37"/>
  <c r="N1572" i="14"/>
  <c r="N1574" i="14" s="1"/>
  <c r="N1110" i="14"/>
  <c r="N1112" i="14" s="1"/>
  <c r="N1208" i="14"/>
  <c r="N1210" i="14" s="1"/>
  <c r="N862" i="14"/>
  <c r="N864" i="14" s="1"/>
  <c r="N1061" i="14"/>
  <c r="N1063" i="14" s="1"/>
  <c r="N54" i="46"/>
  <c r="N1009" i="14"/>
  <c r="N1011" i="14" s="1"/>
  <c r="N1820" i="14"/>
  <c r="N1822" i="14" s="1"/>
  <c r="N1324" i="14"/>
  <c r="N1326" i="14" s="1"/>
  <c r="N49" i="10"/>
  <c r="N960" i="14"/>
  <c r="N962" i="14" s="1"/>
  <c r="N1159" i="14"/>
  <c r="N1161" i="14" s="1"/>
  <c r="N359" i="8"/>
  <c r="N283" i="22"/>
  <c r="N159" i="37" s="1"/>
  <c r="K494" i="14"/>
  <c r="K495" i="14" s="1"/>
  <c r="H494" i="14"/>
  <c r="H495" i="14" s="1"/>
  <c r="E494" i="14"/>
  <c r="E495" i="14" s="1"/>
  <c r="L501" i="14"/>
  <c r="L498" i="14"/>
  <c r="M501" i="14"/>
  <c r="M498" i="14"/>
  <c r="M137" i="22"/>
  <c r="L200" i="8"/>
  <c r="L110" i="22"/>
  <c r="L111" i="22" s="1"/>
  <c r="L122" i="37" s="1"/>
  <c r="M21" i="8"/>
  <c r="M262" i="37" s="1"/>
  <c r="M79" i="37"/>
  <c r="M75" i="46"/>
  <c r="M110" i="22"/>
  <c r="M200" i="8"/>
  <c r="E1698" i="14"/>
  <c r="E1747" i="14" s="1"/>
  <c r="E1796" i="14" s="1"/>
  <c r="E1845" i="14" s="1"/>
  <c r="E1701" i="14"/>
  <c r="E1750" i="14" s="1"/>
  <c r="E1799" i="14" s="1"/>
  <c r="E1848" i="14" s="1"/>
  <c r="K1034" i="14"/>
  <c r="L63" i="14"/>
  <c r="L102" i="24" s="1"/>
  <c r="L72" i="46"/>
  <c r="K136" i="22"/>
  <c r="E1700" i="14"/>
  <c r="E1749" i="14" s="1"/>
  <c r="E1798" i="14" s="1"/>
  <c r="E1847" i="14" s="1"/>
  <c r="H136" i="22"/>
  <c r="H109" i="22"/>
  <c r="H199" i="8"/>
  <c r="K109" i="22"/>
  <c r="K199" i="8"/>
  <c r="E199" i="8"/>
  <c r="E109" i="22"/>
  <c r="G1897" i="14"/>
  <c r="G1457" i="14"/>
  <c r="G1509" i="14" s="1"/>
  <c r="G1558" i="14" s="1"/>
  <c r="G51" i="22"/>
  <c r="G141" i="8"/>
  <c r="G862" i="14"/>
  <c r="G864" i="14" s="1"/>
  <c r="G1474" i="14"/>
  <c r="G1476" i="14" s="1"/>
  <c r="G1422" i="14"/>
  <c r="G1424" i="14" s="1"/>
  <c r="G1673" i="14"/>
  <c r="G1675" i="14" s="1"/>
  <c r="G1373" i="14"/>
  <c r="G1375" i="14" s="1"/>
  <c r="G960" i="14"/>
  <c r="G962" i="14" s="1"/>
  <c r="G1820" i="14"/>
  <c r="G1822" i="14" s="1"/>
  <c r="G1722" i="14"/>
  <c r="G1724" i="14" s="1"/>
  <c r="G1110" i="14"/>
  <c r="G1112" i="14" s="1"/>
  <c r="G1771" i="14"/>
  <c r="G1773" i="14" s="1"/>
  <c r="G1159" i="14"/>
  <c r="G1161" i="14" s="1"/>
  <c r="G911" i="14"/>
  <c r="G913" i="14" s="1"/>
  <c r="G1275" i="14"/>
  <c r="G1277" i="14" s="1"/>
  <c r="G65" i="37"/>
  <c r="G54" i="46"/>
  <c r="G49" i="10"/>
  <c r="G1572" i="14"/>
  <c r="G1574" i="14" s="1"/>
  <c r="G1061" i="14"/>
  <c r="G1063" i="14" s="1"/>
  <c r="G1009" i="14"/>
  <c r="G1011" i="14" s="1"/>
  <c r="G1523" i="14"/>
  <c r="G1525" i="14" s="1"/>
  <c r="G23" i="8"/>
  <c r="G1621" i="14"/>
  <c r="G1623" i="14" s="1"/>
  <c r="G1208" i="14"/>
  <c r="G1210" i="14" s="1"/>
  <c r="G1324" i="14"/>
  <c r="G1326" i="14" s="1"/>
  <c r="G352" i="8"/>
  <c r="G276" i="22"/>
  <c r="G146" i="37" s="1"/>
  <c r="G566" i="14"/>
  <c r="G565" i="14"/>
  <c r="G286" i="14"/>
  <c r="G282" i="22"/>
  <c r="G158" i="37" s="1"/>
  <c r="G358" i="8"/>
  <c r="G283" i="22"/>
  <c r="G159" i="37" s="1"/>
  <c r="G359" i="8"/>
  <c r="G1895" i="14"/>
  <c r="G413" i="14"/>
  <c r="G412" i="14"/>
  <c r="G353" i="8"/>
  <c r="G277" i="22"/>
  <c r="G147" i="37" s="1"/>
  <c r="G74" i="22"/>
  <c r="G164" i="8"/>
  <c r="M1136" i="14"/>
  <c r="G274" i="22"/>
  <c r="G144" i="37" s="1"/>
  <c r="G350" i="8"/>
  <c r="G530" i="14"/>
  <c r="G531" i="14" s="1"/>
  <c r="G640" i="14"/>
  <c r="G641" i="14" s="1"/>
  <c r="G72" i="46"/>
  <c r="G63" i="14"/>
  <c r="G102" i="24" s="1"/>
  <c r="G224" i="22"/>
  <c r="G300" i="8"/>
  <c r="G252" i="37"/>
  <c r="G111" i="37"/>
  <c r="G50" i="10"/>
  <c r="G110" i="37"/>
  <c r="G251" i="37"/>
  <c r="G318" i="8"/>
  <c r="G242" i="22"/>
  <c r="G330" i="14"/>
  <c r="G331" i="14" s="1"/>
  <c r="G494" i="14"/>
  <c r="G495" i="14" s="1"/>
  <c r="G362" i="14"/>
  <c r="G614" i="14"/>
  <c r="G615" i="14" s="1"/>
  <c r="G186" i="8"/>
  <c r="G96" i="22"/>
  <c r="G109" i="22"/>
  <c r="G199" i="8"/>
  <c r="G469" i="14"/>
  <c r="G135" i="22"/>
  <c r="G121" i="22"/>
  <c r="G211" i="8"/>
  <c r="M29" i="8" l="1"/>
  <c r="M339" i="14"/>
  <c r="M336" i="14"/>
  <c r="J336" i="14"/>
  <c r="J339" i="14"/>
  <c r="J29" i="8"/>
  <c r="K159" i="14"/>
  <c r="K573" i="14"/>
  <c r="K141" i="14"/>
  <c r="K44" i="37" s="1"/>
  <c r="H1139" i="14"/>
  <c r="H1188" i="14" s="1"/>
  <c r="H1237" i="14" s="1"/>
  <c r="H1304" i="14" s="1"/>
  <c r="H1353" i="14" s="1"/>
  <c r="H1402" i="14" s="1"/>
  <c r="H1451" i="14" s="1"/>
  <c r="H1503" i="14" s="1"/>
  <c r="H1552" i="14" s="1"/>
  <c r="H1601" i="14" s="1"/>
  <c r="H1650" i="14" s="1"/>
  <c r="H1702" i="14" s="1"/>
  <c r="H1751" i="14" s="1"/>
  <c r="H1800" i="14" s="1"/>
  <c r="H1849" i="14" s="1"/>
  <c r="H1888" i="14"/>
  <c r="L614" i="14"/>
  <c r="I76" i="22"/>
  <c r="I166" i="8"/>
  <c r="F654" i="14"/>
  <c r="F653" i="14"/>
  <c r="H307" i="14"/>
  <c r="H306" i="14"/>
  <c r="K167" i="8"/>
  <c r="K77" i="22"/>
  <c r="N198" i="22"/>
  <c r="N274" i="8"/>
  <c r="U300" i="21"/>
  <c r="V300" i="21" s="1"/>
  <c r="W300" i="21" s="1"/>
  <c r="K1308" i="14"/>
  <c r="H1308" i="14"/>
  <c r="F1308" i="14"/>
  <c r="I1308" i="14"/>
  <c r="M1308" i="14"/>
  <c r="N1308" i="14"/>
  <c r="J1308" i="14"/>
  <c r="L1308" i="14"/>
  <c r="E1308" i="14"/>
  <c r="F74" i="22"/>
  <c r="F164" i="8"/>
  <c r="M1888" i="14"/>
  <c r="M1139" i="14"/>
  <c r="M1188" i="14" s="1"/>
  <c r="M1237" i="14" s="1"/>
  <c r="M1304" i="14" s="1"/>
  <c r="M1353" i="14" s="1"/>
  <c r="M1402" i="14" s="1"/>
  <c r="M1451" i="14" s="1"/>
  <c r="M1503" i="14" s="1"/>
  <c r="M1552" i="14" s="1"/>
  <c r="M1601" i="14" s="1"/>
  <c r="M1650" i="14" s="1"/>
  <c r="M1702" i="14" s="1"/>
  <c r="M1751" i="14" s="1"/>
  <c r="M1800" i="14" s="1"/>
  <c r="M1849" i="14" s="1"/>
  <c r="H1898" i="14"/>
  <c r="H1510" i="14"/>
  <c r="H1559" i="14" s="1"/>
  <c r="H1608" i="14" s="1"/>
  <c r="H1657" i="14" s="1"/>
  <c r="H1709" i="14" s="1"/>
  <c r="H1758" i="14" s="1"/>
  <c r="H1807" i="14" s="1"/>
  <c r="H1856" i="14" s="1"/>
  <c r="E199" i="22"/>
  <c r="E275" i="8"/>
  <c r="J213" i="8"/>
  <c r="E1139" i="14"/>
  <c r="E1188" i="14" s="1"/>
  <c r="E1237" i="14" s="1"/>
  <c r="E1304" i="14" s="1"/>
  <c r="E1353" i="14" s="1"/>
  <c r="E1402" i="14" s="1"/>
  <c r="E1451" i="14" s="1"/>
  <c r="E1503" i="14" s="1"/>
  <c r="E1552" i="14" s="1"/>
  <c r="E1601" i="14" s="1"/>
  <c r="E1650" i="14" s="1"/>
  <c r="E1702" i="14" s="1"/>
  <c r="E1751" i="14" s="1"/>
  <c r="E1800" i="14" s="1"/>
  <c r="E1849" i="14" s="1"/>
  <c r="E1888" i="14"/>
  <c r="E52" i="22"/>
  <c r="E142" i="8"/>
  <c r="I243" i="22"/>
  <c r="I319" i="8"/>
  <c r="H138" i="14"/>
  <c r="H172" i="14"/>
  <c r="H423" i="14"/>
  <c r="H155" i="14"/>
  <c r="J323" i="8"/>
  <c r="J247" i="22"/>
  <c r="J644" i="14"/>
  <c r="J647" i="14"/>
  <c r="L575" i="14"/>
  <c r="K336" i="14"/>
  <c r="K29" i="8"/>
  <c r="K339" i="14"/>
  <c r="I267" i="8"/>
  <c r="I191" i="22"/>
  <c r="J188" i="8"/>
  <c r="J98" i="22"/>
  <c r="N1139" i="14"/>
  <c r="N1188" i="14" s="1"/>
  <c r="N1237" i="14" s="1"/>
  <c r="N1888" i="14"/>
  <c r="L650" i="14"/>
  <c r="H276" i="8"/>
  <c r="H200" i="22"/>
  <c r="H277" i="8" s="1"/>
  <c r="AA306" i="21"/>
  <c r="AB306" i="21" s="1"/>
  <c r="AC306" i="21" s="1"/>
  <c r="H1611" i="14"/>
  <c r="E1611" i="14"/>
  <c r="K1611" i="14"/>
  <c r="M1611" i="14"/>
  <c r="J1611" i="14"/>
  <c r="N1611" i="14"/>
  <c r="I1611" i="14"/>
  <c r="F1611" i="14"/>
  <c r="L1611" i="14"/>
  <c r="F986" i="14"/>
  <c r="F1035" i="14" s="1"/>
  <c r="F1087" i="14" s="1"/>
  <c r="F1136" i="14" s="1"/>
  <c r="F1185" i="14" s="1"/>
  <c r="F1234" i="14" s="1"/>
  <c r="F1301" i="14" s="1"/>
  <c r="F1350" i="14" s="1"/>
  <c r="F1399" i="14" s="1"/>
  <c r="F1448" i="14" s="1"/>
  <c r="F1500" i="14" s="1"/>
  <c r="F1549" i="14" s="1"/>
  <c r="F1598" i="14" s="1"/>
  <c r="F1883" i="14"/>
  <c r="N986" i="14"/>
  <c r="N1035" i="14" s="1"/>
  <c r="N1087" i="14" s="1"/>
  <c r="N1883" i="14"/>
  <c r="H986" i="14"/>
  <c r="H1035" i="14" s="1"/>
  <c r="H1087" i="14" s="1"/>
  <c r="H1136" i="14" s="1"/>
  <c r="H1185" i="14" s="1"/>
  <c r="H1234" i="14" s="1"/>
  <c r="H1301" i="14" s="1"/>
  <c r="H1350" i="14" s="1"/>
  <c r="H1399" i="14" s="1"/>
  <c r="H1448" i="14" s="1"/>
  <c r="H1500" i="14" s="1"/>
  <c r="H1549" i="14" s="1"/>
  <c r="H1598" i="14" s="1"/>
  <c r="H1647" i="14" s="1"/>
  <c r="H1699" i="14" s="1"/>
  <c r="H1748" i="14" s="1"/>
  <c r="H1797" i="14" s="1"/>
  <c r="H1846" i="14" s="1"/>
  <c r="H1883" i="14"/>
  <c r="E239" i="22"/>
  <c r="E315" i="8"/>
  <c r="I1457" i="14"/>
  <c r="I1509" i="14" s="1"/>
  <c r="I1558" i="14" s="1"/>
  <c r="I1607" i="14" s="1"/>
  <c r="I1656" i="14" s="1"/>
  <c r="I1708" i="14" s="1"/>
  <c r="I1757" i="14" s="1"/>
  <c r="I1806" i="14" s="1"/>
  <c r="I1855" i="14" s="1"/>
  <c r="I1897" i="14"/>
  <c r="K653" i="14"/>
  <c r="K654" i="14"/>
  <c r="K291" i="8"/>
  <c r="K215" i="22"/>
  <c r="AB307" i="21"/>
  <c r="AC307" i="21" s="1"/>
  <c r="AD307" i="21" s="1"/>
  <c r="L1661" i="14"/>
  <c r="E1661" i="14"/>
  <c r="J1661" i="14"/>
  <c r="M1661" i="14"/>
  <c r="I1661" i="14"/>
  <c r="F1661" i="14"/>
  <c r="K1661" i="14"/>
  <c r="H1661" i="14"/>
  <c r="N1661" i="14"/>
  <c r="N296" i="14"/>
  <c r="N298" i="14" s="1"/>
  <c r="N292" i="14"/>
  <c r="N294" i="14" s="1"/>
  <c r="N303" i="14"/>
  <c r="N304" i="14"/>
  <c r="J143" i="8"/>
  <c r="J53" i="22"/>
  <c r="AB276" i="21"/>
  <c r="X304" i="21"/>
  <c r="F410" i="14"/>
  <c r="L359" i="8"/>
  <c r="L283" i="22"/>
  <c r="L159" i="37" s="1"/>
  <c r="F242" i="22"/>
  <c r="F318" i="8"/>
  <c r="M351" i="8"/>
  <c r="M275" i="22"/>
  <c r="M145" i="37" s="1"/>
  <c r="J617" i="14"/>
  <c r="J618" i="14" s="1"/>
  <c r="I1510" i="14"/>
  <c r="I1559" i="14" s="1"/>
  <c r="I1608" i="14" s="1"/>
  <c r="I1657" i="14" s="1"/>
  <c r="I1709" i="14" s="1"/>
  <c r="I1758" i="14" s="1"/>
  <c r="I1807" i="14" s="1"/>
  <c r="I1856" i="14" s="1"/>
  <c r="I1898" i="14"/>
  <c r="E537" i="14"/>
  <c r="E534" i="14"/>
  <c r="M423" i="14"/>
  <c r="M138" i="14"/>
  <c r="M172" i="14"/>
  <c r="M155" i="14"/>
  <c r="K245" i="22"/>
  <c r="K1139" i="14"/>
  <c r="K1188" i="14" s="1"/>
  <c r="K1237" i="14" s="1"/>
  <c r="K1304" i="14" s="1"/>
  <c r="K1353" i="14" s="1"/>
  <c r="K1402" i="14" s="1"/>
  <c r="K1451" i="14" s="1"/>
  <c r="K1503" i="14" s="1"/>
  <c r="K1552" i="14" s="1"/>
  <c r="K1601" i="14" s="1"/>
  <c r="K1650" i="14" s="1"/>
  <c r="K1702" i="14" s="1"/>
  <c r="K1751" i="14" s="1"/>
  <c r="K1800" i="14" s="1"/>
  <c r="K1849" i="14" s="1"/>
  <c r="K1888" i="14"/>
  <c r="L543" i="14"/>
  <c r="F537" i="14"/>
  <c r="F534" i="14"/>
  <c r="G1611" i="14"/>
  <c r="H215" i="22"/>
  <c r="H291" i="8"/>
  <c r="I530" i="14"/>
  <c r="I531" i="14" s="1"/>
  <c r="F136" i="22"/>
  <c r="L192" i="22"/>
  <c r="L268" i="8"/>
  <c r="H1457" i="14"/>
  <c r="H1509" i="14" s="1"/>
  <c r="H1558" i="14" s="1"/>
  <c r="H1607" i="14" s="1"/>
  <c r="H1656" i="14" s="1"/>
  <c r="H1708" i="14" s="1"/>
  <c r="H1757" i="14" s="1"/>
  <c r="H1806" i="14" s="1"/>
  <c r="H1855" i="14" s="1"/>
  <c r="H1897" i="14"/>
  <c r="J75" i="22"/>
  <c r="J165" i="8"/>
  <c r="I306" i="14"/>
  <c r="F192" i="22"/>
  <c r="F268" i="8"/>
  <c r="N30" i="8"/>
  <c r="N422" i="14"/>
  <c r="N419" i="14"/>
  <c r="J292" i="14"/>
  <c r="J294" i="14" s="1"/>
  <c r="J303" i="14"/>
  <c r="J296" i="14"/>
  <c r="J298" i="14" s="1"/>
  <c r="J304" i="14"/>
  <c r="E338" i="8"/>
  <c r="E262" i="22"/>
  <c r="M267" i="8"/>
  <c r="M191" i="22"/>
  <c r="I986" i="14"/>
  <c r="I1035" i="14" s="1"/>
  <c r="I1087" i="14" s="1"/>
  <c r="I1136" i="14" s="1"/>
  <c r="I1185" i="14" s="1"/>
  <c r="I1234" i="14" s="1"/>
  <c r="I1301" i="14" s="1"/>
  <c r="I1350" i="14" s="1"/>
  <c r="I1399" i="14" s="1"/>
  <c r="I1448" i="14" s="1"/>
  <c r="I1500" i="14" s="1"/>
  <c r="I1549" i="14" s="1"/>
  <c r="I1598" i="14" s="1"/>
  <c r="I1647" i="14" s="1"/>
  <c r="I1699" i="14" s="1"/>
  <c r="I1748" i="14" s="1"/>
  <c r="I1797" i="14" s="1"/>
  <c r="I1846" i="14" s="1"/>
  <c r="I1883" i="14"/>
  <c r="E1510" i="14"/>
  <c r="E1559" i="14" s="1"/>
  <c r="E1608" i="14" s="1"/>
  <c r="E1657" i="14" s="1"/>
  <c r="E1709" i="14" s="1"/>
  <c r="E1758" i="14" s="1"/>
  <c r="E1807" i="14" s="1"/>
  <c r="E1856" i="14" s="1"/>
  <c r="E1898" i="14"/>
  <c r="M1457" i="14"/>
  <c r="M1509" i="14" s="1"/>
  <c r="M1558" i="14" s="1"/>
  <c r="M1607" i="14" s="1"/>
  <c r="M1656" i="14" s="1"/>
  <c r="M1708" i="14" s="1"/>
  <c r="M1757" i="14" s="1"/>
  <c r="M1806" i="14" s="1"/>
  <c r="M1855" i="14" s="1"/>
  <c r="M1897" i="14"/>
  <c r="K544" i="14"/>
  <c r="K543" i="14"/>
  <c r="F614" i="14"/>
  <c r="F615" i="14" s="1"/>
  <c r="I650" i="14"/>
  <c r="I651" i="14" s="1"/>
  <c r="F350" i="8"/>
  <c r="F274" i="22"/>
  <c r="F144" i="37" s="1"/>
  <c r="L44" i="37"/>
  <c r="L1510" i="14"/>
  <c r="L1559" i="14" s="1"/>
  <c r="L1608" i="14" s="1"/>
  <c r="L1657" i="14" s="1"/>
  <c r="L1709" i="14" s="1"/>
  <c r="L1758" i="14" s="1"/>
  <c r="L1807" i="14" s="1"/>
  <c r="L1856" i="14" s="1"/>
  <c r="L1898" i="14"/>
  <c r="E302" i="8"/>
  <c r="E226" i="22"/>
  <c r="L291" i="8"/>
  <c r="L215" i="22"/>
  <c r="I300" i="14"/>
  <c r="F342" i="14"/>
  <c r="F343" i="14"/>
  <c r="J1898" i="14"/>
  <c r="J1510" i="14"/>
  <c r="J1559" i="14" s="1"/>
  <c r="J1608" i="14" s="1"/>
  <c r="I277" i="21"/>
  <c r="H284" i="21"/>
  <c r="I284" i="21" s="1"/>
  <c r="J284" i="21" s="1"/>
  <c r="K284" i="21" s="1"/>
  <c r="H280" i="21"/>
  <c r="L151" i="14"/>
  <c r="L168" i="14"/>
  <c r="L134" i="14"/>
  <c r="K84" i="22"/>
  <c r="K174" i="8"/>
  <c r="M283" i="22"/>
  <c r="M159" i="37" s="1"/>
  <c r="M359" i="8"/>
  <c r="AD310" i="21"/>
  <c r="K1898" i="14"/>
  <c r="K1510" i="14"/>
  <c r="K1559" i="14" s="1"/>
  <c r="K1608" i="14" s="1"/>
  <c r="K1657" i="14" s="1"/>
  <c r="K1709" i="14" s="1"/>
  <c r="K1758" i="14" s="1"/>
  <c r="K1807" i="14" s="1"/>
  <c r="K1856" i="14" s="1"/>
  <c r="M304" i="14"/>
  <c r="G1883" i="14"/>
  <c r="G986" i="14"/>
  <c r="G1035" i="14" s="1"/>
  <c r="G1087" i="14" s="1"/>
  <c r="H134" i="14"/>
  <c r="H151" i="14"/>
  <c r="H168" i="14"/>
  <c r="I1139" i="14"/>
  <c r="I1188" i="14" s="1"/>
  <c r="I1237" i="14" s="1"/>
  <c r="I1304" i="14" s="1"/>
  <c r="I1353" i="14" s="1"/>
  <c r="I1402" i="14" s="1"/>
  <c r="I1451" i="14" s="1"/>
  <c r="I1503" i="14" s="1"/>
  <c r="I1552" i="14" s="1"/>
  <c r="I1601" i="14" s="1"/>
  <c r="I1650" i="14" s="1"/>
  <c r="I1702" i="14" s="1"/>
  <c r="I1751" i="14" s="1"/>
  <c r="I1800" i="14" s="1"/>
  <c r="I1849" i="14" s="1"/>
  <c r="I1888" i="14"/>
  <c r="K260" i="22"/>
  <c r="K336" i="8"/>
  <c r="AE311" i="21"/>
  <c r="N52" i="22"/>
  <c r="N142" i="8"/>
  <c r="M617" i="14"/>
  <c r="G1661" i="14"/>
  <c r="G1888" i="14"/>
  <c r="G1139" i="14"/>
  <c r="G1188" i="14" s="1"/>
  <c r="G1237" i="14" s="1"/>
  <c r="H244" i="22"/>
  <c r="H321" i="8" s="1"/>
  <c r="H320" i="8"/>
  <c r="Y276" i="21"/>
  <c r="U301" i="21"/>
  <c r="J149" i="8"/>
  <c r="J319" i="8"/>
  <c r="J243" i="22"/>
  <c r="I29" i="8"/>
  <c r="I339" i="14"/>
  <c r="I336" i="14"/>
  <c r="F1510" i="14"/>
  <c r="F1559" i="14" s="1"/>
  <c r="F1608" i="14" s="1"/>
  <c r="F1898" i="14"/>
  <c r="E97" i="22"/>
  <c r="E187" i="8"/>
  <c r="H263" i="22"/>
  <c r="H339" i="8"/>
  <c r="H250" i="22"/>
  <c r="H326" i="8"/>
  <c r="E166" i="8"/>
  <c r="E76" i="22"/>
  <c r="L248" i="22"/>
  <c r="L324" i="8"/>
  <c r="F97" i="22"/>
  <c r="F187" i="8"/>
  <c r="I96" i="22"/>
  <c r="I186" i="8"/>
  <c r="L307" i="14"/>
  <c r="F1139" i="14"/>
  <c r="F1188" i="14" s="1"/>
  <c r="F1237" i="14" s="1"/>
  <c r="F1304" i="14" s="1"/>
  <c r="F1353" i="14" s="1"/>
  <c r="F1402" i="14" s="1"/>
  <c r="F1451" i="14" s="1"/>
  <c r="F1503" i="14" s="1"/>
  <c r="F1552" i="14" s="1"/>
  <c r="F1601" i="14" s="1"/>
  <c r="F1888" i="14"/>
  <c r="K235" i="22"/>
  <c r="K311" i="8"/>
  <c r="N530" i="14"/>
  <c r="J413" i="14"/>
  <c r="J1139" i="14"/>
  <c r="J1188" i="14" s="1"/>
  <c r="J1237" i="14" s="1"/>
  <c r="J1888" i="14"/>
  <c r="L423" i="14"/>
  <c r="L172" i="14"/>
  <c r="L138" i="14"/>
  <c r="L155" i="14"/>
  <c r="F307" i="14"/>
  <c r="I274" i="22"/>
  <c r="I144" i="37" s="1"/>
  <c r="I1886" i="14"/>
  <c r="I350" i="8"/>
  <c r="I416" i="14"/>
  <c r="N76" i="22"/>
  <c r="N166" i="8"/>
  <c r="F260" i="22"/>
  <c r="F336" i="8"/>
  <c r="E1897" i="14"/>
  <c r="E1457" i="14"/>
  <c r="E1509" i="14" s="1"/>
  <c r="E1558" i="14" s="1"/>
  <c r="E1607" i="14" s="1"/>
  <c r="E1656" i="14" s="1"/>
  <c r="E1708" i="14" s="1"/>
  <c r="E1757" i="14" s="1"/>
  <c r="E1806" i="14" s="1"/>
  <c r="E1855" i="14" s="1"/>
  <c r="J1457" i="14"/>
  <c r="J1509" i="14" s="1"/>
  <c r="J1558" i="14" s="1"/>
  <c r="J1897" i="14"/>
  <c r="M540" i="14"/>
  <c r="M541" i="14"/>
  <c r="M148" i="8"/>
  <c r="M58" i="22"/>
  <c r="M300" i="14"/>
  <c r="N343" i="14"/>
  <c r="I16" i="31"/>
  <c r="O16" i="31" s="1"/>
  <c r="I22" i="20"/>
  <c r="O22" i="20" s="1"/>
  <c r="E1883" i="14"/>
  <c r="E986" i="14"/>
  <c r="E1035" i="14" s="1"/>
  <c r="E1087" i="14" s="1"/>
  <c r="E1136" i="14" s="1"/>
  <c r="E1185" i="14" s="1"/>
  <c r="E1234" i="14" s="1"/>
  <c r="E1301" i="14" s="1"/>
  <c r="E1350" i="14" s="1"/>
  <c r="E1399" i="14" s="1"/>
  <c r="E1448" i="14" s="1"/>
  <c r="E1500" i="14" s="1"/>
  <c r="E1549" i="14" s="1"/>
  <c r="E1598" i="14" s="1"/>
  <c r="E1647" i="14" s="1"/>
  <c r="E1699" i="14" s="1"/>
  <c r="E1748" i="14" s="1"/>
  <c r="E1797" i="14" s="1"/>
  <c r="E1846" i="14" s="1"/>
  <c r="I23" i="29"/>
  <c r="O23" i="29" s="1"/>
  <c r="I15" i="41"/>
  <c r="O15" i="41" s="1"/>
  <c r="I17" i="28"/>
  <c r="O17" i="28" s="1"/>
  <c r="L1888" i="14"/>
  <c r="L1139" i="14"/>
  <c r="L1188" i="14" s="1"/>
  <c r="L1237" i="14" s="1"/>
  <c r="L1304" i="14" s="1"/>
  <c r="L1353" i="14" s="1"/>
  <c r="L1402" i="14" s="1"/>
  <c r="L1451" i="14" s="1"/>
  <c r="L1503" i="14" s="1"/>
  <c r="L1552" i="14" s="1"/>
  <c r="L1601" i="14" s="1"/>
  <c r="L1650" i="14" s="1"/>
  <c r="L1702" i="14" s="1"/>
  <c r="L1751" i="14" s="1"/>
  <c r="L1800" i="14" s="1"/>
  <c r="L1849" i="14" s="1"/>
  <c r="H281" i="21"/>
  <c r="I281" i="21" s="1"/>
  <c r="J281" i="21" s="1"/>
  <c r="K281" i="21" s="1"/>
  <c r="L281" i="21" s="1"/>
  <c r="G278" i="21"/>
  <c r="G312" i="21"/>
  <c r="G313" i="21" s="1"/>
  <c r="K155" i="14"/>
  <c r="K423" i="14"/>
  <c r="K172" i="14"/>
  <c r="K138" i="14"/>
  <c r="K248" i="22"/>
  <c r="K324" i="8"/>
  <c r="M319" i="8"/>
  <c r="M243" i="22"/>
  <c r="N575" i="14"/>
  <c r="N576" i="14" s="1"/>
  <c r="L342" i="14"/>
  <c r="L343" i="14"/>
  <c r="H618" i="14"/>
  <c r="R297" i="21"/>
  <c r="S297" i="21" s="1"/>
  <c r="T297" i="21" s="1"/>
  <c r="H1140" i="14"/>
  <c r="I1140" i="14"/>
  <c r="G1140" i="14"/>
  <c r="J1140" i="14"/>
  <c r="F1140" i="14"/>
  <c r="M1140" i="14"/>
  <c r="E1140" i="14"/>
  <c r="R23" i="29" s="1"/>
  <c r="K1140" i="14"/>
  <c r="L1140" i="14"/>
  <c r="N1140" i="14"/>
  <c r="I148" i="8"/>
  <c r="I58" i="22"/>
  <c r="I149" i="8" s="1"/>
  <c r="M1510" i="14"/>
  <c r="M1559" i="14" s="1"/>
  <c r="M1608" i="14" s="1"/>
  <c r="M1657" i="14" s="1"/>
  <c r="M1709" i="14" s="1"/>
  <c r="M1758" i="14" s="1"/>
  <c r="M1807" i="14" s="1"/>
  <c r="M1856" i="14" s="1"/>
  <c r="M1898" i="14"/>
  <c r="E346" i="14"/>
  <c r="M215" i="22"/>
  <c r="M291" i="8"/>
  <c r="H547" i="14"/>
  <c r="E416" i="14"/>
  <c r="E289" i="14"/>
  <c r="I615" i="14"/>
  <c r="J143" i="14"/>
  <c r="J538" i="14"/>
  <c r="J161" i="14"/>
  <c r="E25" i="14"/>
  <c r="E37" i="46" s="1"/>
  <c r="E26" i="14"/>
  <c r="E36" i="46"/>
  <c r="F55" i="37"/>
  <c r="E136" i="22"/>
  <c r="K48" i="10"/>
  <c r="F24" i="14"/>
  <c r="F36" i="46" s="1"/>
  <c r="K20" i="8"/>
  <c r="J48" i="10"/>
  <c r="M251" i="37"/>
  <c r="M110" i="37"/>
  <c r="Q1648" i="14"/>
  <c r="L1887" i="14"/>
  <c r="L354" i="8"/>
  <c r="H137" i="22"/>
  <c r="K354" i="8"/>
  <c r="K21" i="8"/>
  <c r="K262" i="37" s="1"/>
  <c r="K278" i="22"/>
  <c r="K148" i="37" s="1"/>
  <c r="F1705" i="14"/>
  <c r="F1754" i="14" s="1"/>
  <c r="F1803" i="14" s="1"/>
  <c r="F1852" i="14" s="1"/>
  <c r="K137" i="22"/>
  <c r="K75" i="46"/>
  <c r="E155" i="8"/>
  <c r="J20" i="8"/>
  <c r="J110" i="37" s="1"/>
  <c r="J1186" i="14"/>
  <c r="J1235" i="14" s="1"/>
  <c r="J1302" i="14" s="1"/>
  <c r="J1351" i="14" s="1"/>
  <c r="J1400" i="14" s="1"/>
  <c r="J1449" i="14" s="1"/>
  <c r="J1501" i="14" s="1"/>
  <c r="J1550" i="14" s="1"/>
  <c r="J1599" i="14" s="1"/>
  <c r="J1648" i="14" s="1"/>
  <c r="J1700" i="14" s="1"/>
  <c r="J1749" i="14" s="1"/>
  <c r="J1798" i="14" s="1"/>
  <c r="J1847" i="14" s="1"/>
  <c r="E369" i="14"/>
  <c r="E379" i="14" s="1"/>
  <c r="J38" i="46"/>
  <c r="M278" i="22"/>
  <c r="M148" i="37" s="1"/>
  <c r="M354" i="8"/>
  <c r="M1887" i="14"/>
  <c r="H373" i="14"/>
  <c r="H379" i="14"/>
  <c r="H279" i="8" s="1"/>
  <c r="N20" i="8"/>
  <c r="N38" i="46"/>
  <c r="N56" i="37"/>
  <c r="N48" i="10"/>
  <c r="H56" i="37"/>
  <c r="K79" i="37"/>
  <c r="H64" i="22"/>
  <c r="H155" i="8" s="1"/>
  <c r="H154" i="8"/>
  <c r="H48" i="10"/>
  <c r="H38" i="46"/>
  <c r="H65" i="22"/>
  <c r="F155" i="8"/>
  <c r="J64" i="22"/>
  <c r="J154" i="8"/>
  <c r="L153" i="14"/>
  <c r="L170" i="14"/>
  <c r="L375" i="14"/>
  <c r="L380" i="14" s="1"/>
  <c r="L136" i="14"/>
  <c r="K251" i="37"/>
  <c r="K110" i="37"/>
  <c r="E373" i="14"/>
  <c r="N382" i="14"/>
  <c r="H110" i="37"/>
  <c r="H251" i="37"/>
  <c r="I373" i="14"/>
  <c r="I379" i="14"/>
  <c r="J369" i="14"/>
  <c r="E65" i="22"/>
  <c r="I155" i="8"/>
  <c r="H153" i="14"/>
  <c r="H136" i="14"/>
  <c r="H375" i="14"/>
  <c r="H170" i="14"/>
  <c r="K373" i="14"/>
  <c r="K379" i="14"/>
  <c r="F203" i="22"/>
  <c r="F279" i="8"/>
  <c r="I20" i="8"/>
  <c r="I56" i="37"/>
  <c r="I48" i="10"/>
  <c r="I38" i="46"/>
  <c r="M382" i="14"/>
  <c r="M383" i="14" s="1"/>
  <c r="K64" i="22"/>
  <c r="K155" i="8" s="1"/>
  <c r="K154" i="8"/>
  <c r="L203" i="22"/>
  <c r="L279" i="8"/>
  <c r="F136" i="14"/>
  <c r="F153" i="14"/>
  <c r="F375" i="14"/>
  <c r="F380" i="14" s="1"/>
  <c r="F170" i="14"/>
  <c r="F1649" i="14"/>
  <c r="Q1600" i="14"/>
  <c r="Q1607" i="14"/>
  <c r="F1656" i="14"/>
  <c r="N1404" i="14"/>
  <c r="N1453" i="14" s="1"/>
  <c r="N1505" i="14" s="1"/>
  <c r="N1554" i="14" s="1"/>
  <c r="N1603" i="14" s="1"/>
  <c r="N1652" i="14" s="1"/>
  <c r="N1704" i="14" s="1"/>
  <c r="N1753" i="14" s="1"/>
  <c r="N1802" i="14" s="1"/>
  <c r="N1851" i="14" s="1"/>
  <c r="F1647" i="14"/>
  <c r="Q1598" i="14"/>
  <c r="F1645" i="14"/>
  <c r="Q1596" i="14"/>
  <c r="I494" i="14"/>
  <c r="J1236" i="14"/>
  <c r="J1303" i="14" s="1"/>
  <c r="J1352" i="14" s="1"/>
  <c r="J1401" i="14" s="1"/>
  <c r="J1450" i="14" s="1"/>
  <c r="J1502" i="14" s="1"/>
  <c r="J1551" i="14" s="1"/>
  <c r="J1600" i="14" s="1"/>
  <c r="J1649" i="14" s="1"/>
  <c r="J1701" i="14" s="1"/>
  <c r="J1750" i="14" s="1"/>
  <c r="J1799" i="14" s="1"/>
  <c r="J1848" i="14" s="1"/>
  <c r="F1646" i="14"/>
  <c r="Q1597" i="14"/>
  <c r="I109" i="22"/>
  <c r="I199" i="8"/>
  <c r="J1136" i="14"/>
  <c r="J1185" i="14" s="1"/>
  <c r="J1234" i="14" s="1"/>
  <c r="J1301" i="14" s="1"/>
  <c r="J1350" i="14" s="1"/>
  <c r="J1399" i="14" s="1"/>
  <c r="J1448" i="14" s="1"/>
  <c r="J1500" i="14" s="1"/>
  <c r="J1549" i="14" s="1"/>
  <c r="J1598" i="14" s="1"/>
  <c r="J1647" i="14" s="1"/>
  <c r="J1699" i="14" s="1"/>
  <c r="J1748" i="14" s="1"/>
  <c r="J1797" i="14" s="1"/>
  <c r="J1846" i="14" s="1"/>
  <c r="F1652" i="14"/>
  <c r="Q1603" i="14"/>
  <c r="F1644" i="14"/>
  <c r="Q1595" i="14"/>
  <c r="N1186" i="14"/>
  <c r="N1235" i="14" s="1"/>
  <c r="N1302" i="14" s="1"/>
  <c r="N1351" i="14" s="1"/>
  <c r="N1400" i="14" s="1"/>
  <c r="N1449" i="14" s="1"/>
  <c r="N1501" i="14" s="1"/>
  <c r="N1550" i="14" s="1"/>
  <c r="N1599" i="14" s="1"/>
  <c r="N1648" i="14" s="1"/>
  <c r="N1700" i="14" s="1"/>
  <c r="N1749" i="14" s="1"/>
  <c r="N1798" i="14" s="1"/>
  <c r="N1847" i="14" s="1"/>
  <c r="F1643" i="14"/>
  <c r="Q1594" i="14"/>
  <c r="F1650" i="14"/>
  <c r="Q1601" i="14"/>
  <c r="N491" i="14"/>
  <c r="N492" i="14" s="1"/>
  <c r="G1454" i="14"/>
  <c r="G1506" i="14" s="1"/>
  <c r="G1555" i="14" s="1"/>
  <c r="G1604" i="14" s="1"/>
  <c r="G1653" i="14" s="1"/>
  <c r="G1705" i="14" s="1"/>
  <c r="G1754" i="14" s="1"/>
  <c r="G1803" i="14" s="1"/>
  <c r="G1852" i="14" s="1"/>
  <c r="G1136" i="14"/>
  <c r="G1185" i="14" s="1"/>
  <c r="G1234" i="14" s="1"/>
  <c r="G1301" i="14" s="1"/>
  <c r="G1350" i="14" s="1"/>
  <c r="G1399" i="14" s="1"/>
  <c r="G1448" i="14" s="1"/>
  <c r="G1500" i="14" s="1"/>
  <c r="G1549" i="14" s="1"/>
  <c r="G1598" i="14" s="1"/>
  <c r="G1647" i="14" s="1"/>
  <c r="G1699" i="14" s="1"/>
  <c r="G1748" i="14" s="1"/>
  <c r="G1797" i="14" s="1"/>
  <c r="G1846" i="14" s="1"/>
  <c r="N250" i="37"/>
  <c r="N109" i="37"/>
  <c r="F199" i="8"/>
  <c r="F109" i="22"/>
  <c r="N1607" i="14"/>
  <c r="N1656" i="14" s="1"/>
  <c r="N1708" i="14" s="1"/>
  <c r="N1757" i="14" s="1"/>
  <c r="N1806" i="14" s="1"/>
  <c r="N1855" i="14" s="1"/>
  <c r="N1304" i="14"/>
  <c r="N1353" i="14" s="1"/>
  <c r="N1402" i="14" s="1"/>
  <c r="N1451" i="14" s="1"/>
  <c r="N1503" i="14" s="1"/>
  <c r="N1552" i="14" s="1"/>
  <c r="N1601" i="14" s="1"/>
  <c r="N1650" i="14" s="1"/>
  <c r="N1702" i="14" s="1"/>
  <c r="N1751" i="14" s="1"/>
  <c r="N1800" i="14" s="1"/>
  <c r="N1849" i="14" s="1"/>
  <c r="N1086" i="14"/>
  <c r="N1135" i="14" s="1"/>
  <c r="N1184" i="14" s="1"/>
  <c r="N1233" i="14" s="1"/>
  <c r="N1300" i="14" s="1"/>
  <c r="N1349" i="14" s="1"/>
  <c r="N1398" i="14" s="1"/>
  <c r="N1447" i="14" s="1"/>
  <c r="N1499" i="14" s="1"/>
  <c r="N1548" i="14" s="1"/>
  <c r="N1597" i="14" s="1"/>
  <c r="N1646" i="14" s="1"/>
  <c r="N1698" i="14" s="1"/>
  <c r="N1747" i="14" s="1"/>
  <c r="N1796" i="14" s="1"/>
  <c r="N1845" i="14" s="1"/>
  <c r="N252" i="37"/>
  <c r="N111" i="37"/>
  <c r="N50" i="10"/>
  <c r="N1657" i="14"/>
  <c r="N1709" i="14" s="1"/>
  <c r="N1758" i="14" s="1"/>
  <c r="N1807" i="14" s="1"/>
  <c r="N1856" i="14" s="1"/>
  <c r="J198" i="8"/>
  <c r="J108" i="22"/>
  <c r="J903" i="14"/>
  <c r="J899" i="14"/>
  <c r="J895" i="14"/>
  <c r="J891" i="14"/>
  <c r="J250" i="37"/>
  <c r="J109" i="37"/>
  <c r="G1657" i="14"/>
  <c r="G1709" i="14" s="1"/>
  <c r="G1758" i="14" s="1"/>
  <c r="G1807" i="14" s="1"/>
  <c r="G1856" i="14" s="1"/>
  <c r="G1186" i="14"/>
  <c r="G1235" i="14" s="1"/>
  <c r="G1302" i="14" s="1"/>
  <c r="G1351" i="14" s="1"/>
  <c r="G1400" i="14" s="1"/>
  <c r="G1449" i="14" s="1"/>
  <c r="G1501" i="14" s="1"/>
  <c r="G1550" i="14" s="1"/>
  <c r="G1599" i="14" s="1"/>
  <c r="G1648" i="14" s="1"/>
  <c r="G1700" i="14" s="1"/>
  <c r="G1749" i="14" s="1"/>
  <c r="G1798" i="14" s="1"/>
  <c r="G1847" i="14" s="1"/>
  <c r="G1236" i="14"/>
  <c r="G1303" i="14" s="1"/>
  <c r="G1352" i="14" s="1"/>
  <c r="G1401" i="14" s="1"/>
  <c r="G1450" i="14" s="1"/>
  <c r="G1502" i="14" s="1"/>
  <c r="G1551" i="14" s="1"/>
  <c r="G1600" i="14" s="1"/>
  <c r="G1649" i="14" s="1"/>
  <c r="G1701" i="14" s="1"/>
  <c r="G1750" i="14" s="1"/>
  <c r="G1799" i="14" s="1"/>
  <c r="G1848" i="14" s="1"/>
  <c r="G1404" i="14"/>
  <c r="G1453" i="14" s="1"/>
  <c r="G1505" i="14" s="1"/>
  <c r="G1554" i="14" s="1"/>
  <c r="G1603" i="14" s="1"/>
  <c r="G1652" i="14" s="1"/>
  <c r="G1704" i="14" s="1"/>
  <c r="G1753" i="14" s="1"/>
  <c r="G1802" i="14" s="1"/>
  <c r="G1851" i="14" s="1"/>
  <c r="G1507" i="14"/>
  <c r="G1556" i="14" s="1"/>
  <c r="G1605" i="14" s="1"/>
  <c r="G1654" i="14" s="1"/>
  <c r="G1706" i="14" s="1"/>
  <c r="G1755" i="14" s="1"/>
  <c r="G1804" i="14" s="1"/>
  <c r="G1853" i="14" s="1"/>
  <c r="M201" i="8"/>
  <c r="N933" i="14"/>
  <c r="N982" i="14" s="1"/>
  <c r="N1031" i="14" s="1"/>
  <c r="N1083" i="14" s="1"/>
  <c r="N1132" i="14" s="1"/>
  <c r="N1181" i="14" s="1"/>
  <c r="N1230" i="14" s="1"/>
  <c r="N1297" i="14" s="1"/>
  <c r="N1346" i="14" s="1"/>
  <c r="N1395" i="14" s="1"/>
  <c r="N1444" i="14" s="1"/>
  <c r="N1496" i="14" s="1"/>
  <c r="N1545" i="14" s="1"/>
  <c r="N1594" i="14" s="1"/>
  <c r="N1643" i="14" s="1"/>
  <c r="N1695" i="14" s="1"/>
  <c r="N1744" i="14" s="1"/>
  <c r="N1793" i="14" s="1"/>
  <c r="N1842" i="14" s="1"/>
  <c r="N983" i="14"/>
  <c r="N1032" i="14" s="1"/>
  <c r="N1084" i="14" s="1"/>
  <c r="N1133" i="14" s="1"/>
  <c r="N1182" i="14" s="1"/>
  <c r="N1231" i="14" s="1"/>
  <c r="N1298" i="14" s="1"/>
  <c r="N1347" i="14" s="1"/>
  <c r="N1396" i="14" s="1"/>
  <c r="N1445" i="14" s="1"/>
  <c r="N1497" i="14" s="1"/>
  <c r="N1546" i="14" s="1"/>
  <c r="N1595" i="14" s="1"/>
  <c r="N1644" i="14" s="1"/>
  <c r="N1696" i="14" s="1"/>
  <c r="N1745" i="14" s="1"/>
  <c r="N1794" i="14" s="1"/>
  <c r="N1843" i="14" s="1"/>
  <c r="N1033" i="14"/>
  <c r="N1085" i="14" s="1"/>
  <c r="N1134" i="14" s="1"/>
  <c r="N1183" i="14" s="1"/>
  <c r="N1232" i="14" s="1"/>
  <c r="N1299" i="14" s="1"/>
  <c r="N1348" i="14" s="1"/>
  <c r="N1397" i="14" s="1"/>
  <c r="N1446" i="14" s="1"/>
  <c r="N1498" i="14" s="1"/>
  <c r="N1547" i="14" s="1"/>
  <c r="N1596" i="14" s="1"/>
  <c r="N1645" i="14" s="1"/>
  <c r="N1697" i="14" s="1"/>
  <c r="N1746" i="14" s="1"/>
  <c r="N1795" i="14" s="1"/>
  <c r="N1844" i="14" s="1"/>
  <c r="J983" i="14"/>
  <c r="J1032" i="14" s="1"/>
  <c r="J1084" i="14" s="1"/>
  <c r="J1133" i="14" s="1"/>
  <c r="J1182" i="14" s="1"/>
  <c r="J1231" i="14" s="1"/>
  <c r="J1298" i="14" s="1"/>
  <c r="J1347" i="14" s="1"/>
  <c r="J1396" i="14" s="1"/>
  <c r="J1445" i="14" s="1"/>
  <c r="J1497" i="14" s="1"/>
  <c r="J1546" i="14" s="1"/>
  <c r="J1595" i="14" s="1"/>
  <c r="J1644" i="14" s="1"/>
  <c r="J1696" i="14" s="1"/>
  <c r="J1745" i="14" s="1"/>
  <c r="J1794" i="14" s="1"/>
  <c r="J1843" i="14" s="1"/>
  <c r="J1033" i="14"/>
  <c r="J1085" i="14" s="1"/>
  <c r="J1134" i="14" s="1"/>
  <c r="J1183" i="14" s="1"/>
  <c r="J1232" i="14" s="1"/>
  <c r="J1299" i="14" s="1"/>
  <c r="J1348" i="14" s="1"/>
  <c r="J1397" i="14" s="1"/>
  <c r="J1446" i="14" s="1"/>
  <c r="J1498" i="14" s="1"/>
  <c r="J1547" i="14" s="1"/>
  <c r="J1596" i="14" s="1"/>
  <c r="J1645" i="14" s="1"/>
  <c r="J1697" i="14" s="1"/>
  <c r="J1746" i="14" s="1"/>
  <c r="J1795" i="14" s="1"/>
  <c r="J1844" i="14" s="1"/>
  <c r="J933" i="14"/>
  <c r="J982" i="14" s="1"/>
  <c r="J1031" i="14" s="1"/>
  <c r="J1083" i="14" s="1"/>
  <c r="J1132" i="14" s="1"/>
  <c r="J1181" i="14" s="1"/>
  <c r="J1230" i="14" s="1"/>
  <c r="J1297" i="14" s="1"/>
  <c r="J1346" i="14" s="1"/>
  <c r="J1395" i="14" s="1"/>
  <c r="J1444" i="14" s="1"/>
  <c r="J1496" i="14" s="1"/>
  <c r="J1545" i="14" s="1"/>
  <c r="J1594" i="14" s="1"/>
  <c r="J1643" i="14" s="1"/>
  <c r="J1695" i="14" s="1"/>
  <c r="J1744" i="14" s="1"/>
  <c r="J1793" i="14" s="1"/>
  <c r="J1842" i="14" s="1"/>
  <c r="H75" i="46"/>
  <c r="H21" i="8"/>
  <c r="H262" i="37" s="1"/>
  <c r="H79" i="37"/>
  <c r="J1086" i="14"/>
  <c r="J1135" i="14" s="1"/>
  <c r="J1184" i="14" s="1"/>
  <c r="J1233" i="14" s="1"/>
  <c r="J1300" i="14" s="1"/>
  <c r="J1349" i="14" s="1"/>
  <c r="J1398" i="14" s="1"/>
  <c r="J1447" i="14" s="1"/>
  <c r="J1499" i="14" s="1"/>
  <c r="J1548" i="14" s="1"/>
  <c r="J1597" i="14" s="1"/>
  <c r="J1646" i="14" s="1"/>
  <c r="J1698" i="14" s="1"/>
  <c r="J1747" i="14" s="1"/>
  <c r="J1796" i="14" s="1"/>
  <c r="J1845" i="14" s="1"/>
  <c r="J1607" i="14"/>
  <c r="J1656" i="14" s="1"/>
  <c r="J1708" i="14" s="1"/>
  <c r="J1757" i="14" s="1"/>
  <c r="J1806" i="14" s="1"/>
  <c r="J1855" i="14" s="1"/>
  <c r="N108" i="22"/>
  <c r="N198" i="8"/>
  <c r="N1236" i="14"/>
  <c r="N1303" i="14" s="1"/>
  <c r="N1352" i="14" s="1"/>
  <c r="N1401" i="14" s="1"/>
  <c r="J1404" i="14"/>
  <c r="J1453" i="14" s="1"/>
  <c r="J1505" i="14" s="1"/>
  <c r="J1554" i="14" s="1"/>
  <c r="J1603" i="14" s="1"/>
  <c r="J1652" i="14" s="1"/>
  <c r="J1704" i="14" s="1"/>
  <c r="J1753" i="14" s="1"/>
  <c r="J1802" i="14" s="1"/>
  <c r="J1851" i="14" s="1"/>
  <c r="N72" i="46"/>
  <c r="N63" i="14"/>
  <c r="N102" i="24" s="1"/>
  <c r="N1454" i="14"/>
  <c r="N1506" i="14" s="1"/>
  <c r="N1555" i="14" s="1"/>
  <c r="N1604" i="14" s="1"/>
  <c r="N1653" i="14" s="1"/>
  <c r="N1705" i="14" s="1"/>
  <c r="N1754" i="14" s="1"/>
  <c r="N1803" i="14" s="1"/>
  <c r="N1852" i="14" s="1"/>
  <c r="J72" i="46"/>
  <c r="J63" i="14"/>
  <c r="J102" i="24" s="1"/>
  <c r="N903" i="14"/>
  <c r="N895" i="14"/>
  <c r="N891" i="14"/>
  <c r="N899" i="14"/>
  <c r="F494" i="14"/>
  <c r="F495" i="14" s="1"/>
  <c r="J50" i="10"/>
  <c r="M74" i="10" s="1"/>
  <c r="M20" i="10" s="1"/>
  <c r="J111" i="37"/>
  <c r="J252" i="37"/>
  <c r="J1657" i="14"/>
  <c r="J1709" i="14" s="1"/>
  <c r="J1758" i="14" s="1"/>
  <c r="J1807" i="14" s="1"/>
  <c r="J1856" i="14" s="1"/>
  <c r="J1887" i="14"/>
  <c r="J278" i="22"/>
  <c r="J148" i="37" s="1"/>
  <c r="J354" i="8"/>
  <c r="N1136" i="14"/>
  <c r="N1185" i="14" s="1"/>
  <c r="N1234" i="14" s="1"/>
  <c r="N1301" i="14" s="1"/>
  <c r="N1350" i="14" s="1"/>
  <c r="N1399" i="14" s="1"/>
  <c r="N1448" i="14" s="1"/>
  <c r="N1500" i="14" s="1"/>
  <c r="N1549" i="14" s="1"/>
  <c r="N1598" i="14" s="1"/>
  <c r="N1647" i="14" s="1"/>
  <c r="N1699" i="14" s="1"/>
  <c r="N1748" i="14" s="1"/>
  <c r="N1797" i="14" s="1"/>
  <c r="N1846" i="14" s="1"/>
  <c r="J1304" i="14"/>
  <c r="J1353" i="14" s="1"/>
  <c r="J1402" i="14" s="1"/>
  <c r="J1451" i="14" s="1"/>
  <c r="J1503" i="14" s="1"/>
  <c r="J1552" i="14" s="1"/>
  <c r="J1601" i="14" s="1"/>
  <c r="J1650" i="14" s="1"/>
  <c r="J1702" i="14" s="1"/>
  <c r="J1751" i="14" s="1"/>
  <c r="J1800" i="14" s="1"/>
  <c r="J1849" i="14" s="1"/>
  <c r="J489" i="14"/>
  <c r="H498" i="14"/>
  <c r="H501" i="14"/>
  <c r="K53" i="20"/>
  <c r="E137" i="22"/>
  <c r="L79" i="37"/>
  <c r="L21" i="8"/>
  <c r="L262" i="37" s="1"/>
  <c r="L75" i="46"/>
  <c r="L138" i="22"/>
  <c r="L139" i="22" s="1"/>
  <c r="L201" i="8"/>
  <c r="L1182" i="14"/>
  <c r="L502" i="14"/>
  <c r="L174" i="14"/>
  <c r="L140" i="14"/>
  <c r="L157" i="14"/>
  <c r="L164" i="14" s="1"/>
  <c r="H200" i="8"/>
  <c r="H110" i="22"/>
  <c r="H201" i="8" s="1"/>
  <c r="M111" i="22"/>
  <c r="M157" i="14"/>
  <c r="M502" i="14"/>
  <c r="M174" i="14"/>
  <c r="M140" i="14"/>
  <c r="L305" i="8"/>
  <c r="L229" i="22"/>
  <c r="I32" i="20"/>
  <c r="I33" i="20" s="1"/>
  <c r="I27" i="28"/>
  <c r="I28" i="28" s="1"/>
  <c r="I25" i="41"/>
  <c r="I26" i="41" s="1"/>
  <c r="I26" i="31"/>
  <c r="I27" i="31" s="1"/>
  <c r="I33" i="29"/>
  <c r="I34" i="29" s="1"/>
  <c r="E498" i="14"/>
  <c r="E501" i="14"/>
  <c r="K501" i="14"/>
  <c r="K498" i="14"/>
  <c r="K1086" i="14"/>
  <c r="M305" i="8"/>
  <c r="M229" i="22"/>
  <c r="E110" i="22"/>
  <c r="E111" i="22" s="1"/>
  <c r="E200" i="8"/>
  <c r="K200" i="8"/>
  <c r="K110" i="22"/>
  <c r="K138" i="22" s="1"/>
  <c r="K139" i="22" s="1"/>
  <c r="M1185" i="14"/>
  <c r="G75" i="22"/>
  <c r="G165" i="8"/>
  <c r="G289" i="14"/>
  <c r="G288" i="14"/>
  <c r="G572" i="14"/>
  <c r="G569" i="14"/>
  <c r="G1304" i="14"/>
  <c r="G1353" i="14" s="1"/>
  <c r="G1402" i="14" s="1"/>
  <c r="G1451" i="14" s="1"/>
  <c r="G1503" i="14" s="1"/>
  <c r="G1552" i="14" s="1"/>
  <c r="G1601" i="14" s="1"/>
  <c r="G1650" i="14" s="1"/>
  <c r="G1702" i="14" s="1"/>
  <c r="G1751" i="14" s="1"/>
  <c r="G1800" i="14" s="1"/>
  <c r="G1849" i="14" s="1"/>
  <c r="G1607" i="14"/>
  <c r="G1656" i="14" s="1"/>
  <c r="G1708" i="14" s="1"/>
  <c r="G1757" i="14" s="1"/>
  <c r="G1806" i="14" s="1"/>
  <c r="G1855" i="14" s="1"/>
  <c r="G415" i="14"/>
  <c r="G416" i="14" s="1"/>
  <c r="G250" i="37"/>
  <c r="G109" i="37"/>
  <c r="G891" i="14"/>
  <c r="G895" i="14"/>
  <c r="G899" i="14"/>
  <c r="G903" i="14"/>
  <c r="K67" i="10"/>
  <c r="I73" i="10"/>
  <c r="I16" i="10" s="1"/>
  <c r="J73" i="10"/>
  <c r="J16" i="10" s="1"/>
  <c r="M67" i="10"/>
  <c r="L73" i="10"/>
  <c r="L16" i="10" s="1"/>
  <c r="J67" i="10"/>
  <c r="N67" i="10"/>
  <c r="I67" i="10"/>
  <c r="O49" i="10"/>
  <c r="N73" i="10"/>
  <c r="N16" i="10" s="1"/>
  <c r="H73" i="10"/>
  <c r="H16" i="10" s="1"/>
  <c r="M73" i="10"/>
  <c r="M16" i="10" s="1"/>
  <c r="L67" i="10"/>
  <c r="E73" i="10"/>
  <c r="E16" i="10" s="1"/>
  <c r="F73" i="10"/>
  <c r="F16" i="10" s="1"/>
  <c r="K73" i="10"/>
  <c r="K16" i="10" s="1"/>
  <c r="G67" i="10"/>
  <c r="H67" i="10"/>
  <c r="E67" i="10"/>
  <c r="F67" i="10"/>
  <c r="G73" i="10"/>
  <c r="G16" i="10" s="1"/>
  <c r="G1033" i="14"/>
  <c r="G1085" i="14" s="1"/>
  <c r="G1134" i="14" s="1"/>
  <c r="G1183" i="14" s="1"/>
  <c r="G1232" i="14" s="1"/>
  <c r="G1299" i="14" s="1"/>
  <c r="G1348" i="14" s="1"/>
  <c r="G1397" i="14" s="1"/>
  <c r="G1446" i="14" s="1"/>
  <c r="G1498" i="14" s="1"/>
  <c r="G1547" i="14" s="1"/>
  <c r="G1596" i="14" s="1"/>
  <c r="G1645" i="14" s="1"/>
  <c r="G1697" i="14" s="1"/>
  <c r="G1746" i="14" s="1"/>
  <c r="G1795" i="14" s="1"/>
  <c r="G1844" i="14" s="1"/>
  <c r="G983" i="14"/>
  <c r="G1032" i="14" s="1"/>
  <c r="G1084" i="14" s="1"/>
  <c r="G1133" i="14" s="1"/>
  <c r="G1182" i="14" s="1"/>
  <c r="G1231" i="14" s="1"/>
  <c r="G1298" i="14" s="1"/>
  <c r="G1347" i="14" s="1"/>
  <c r="G1396" i="14" s="1"/>
  <c r="G1445" i="14" s="1"/>
  <c r="G1497" i="14" s="1"/>
  <c r="G1546" i="14" s="1"/>
  <c r="G1595" i="14" s="1"/>
  <c r="G1644" i="14" s="1"/>
  <c r="G1696" i="14" s="1"/>
  <c r="G1745" i="14" s="1"/>
  <c r="G1794" i="14" s="1"/>
  <c r="G1843" i="14" s="1"/>
  <c r="G933" i="14"/>
  <c r="G982" i="14" s="1"/>
  <c r="G1031" i="14" s="1"/>
  <c r="G1083" i="14" s="1"/>
  <c r="G1132" i="14" s="1"/>
  <c r="G1181" i="14" s="1"/>
  <c r="G1230" i="14" s="1"/>
  <c r="G1297" i="14" s="1"/>
  <c r="G1346" i="14" s="1"/>
  <c r="G1395" i="14" s="1"/>
  <c r="G1444" i="14" s="1"/>
  <c r="G1496" i="14" s="1"/>
  <c r="G1545" i="14" s="1"/>
  <c r="G1594" i="14" s="1"/>
  <c r="G1643" i="14" s="1"/>
  <c r="G1695" i="14" s="1"/>
  <c r="G1744" i="14" s="1"/>
  <c r="G1793" i="14" s="1"/>
  <c r="G1842" i="14" s="1"/>
  <c r="G83" i="22"/>
  <c r="G173" i="8"/>
  <c r="G1086" i="14"/>
  <c r="G1135" i="14" s="1"/>
  <c r="G1184" i="14" s="1"/>
  <c r="G1233" i="14" s="1"/>
  <c r="G1300" i="14" s="1"/>
  <c r="G1349" i="14" s="1"/>
  <c r="G1398" i="14" s="1"/>
  <c r="G1447" i="14" s="1"/>
  <c r="G1499" i="14" s="1"/>
  <c r="G1548" i="14" s="1"/>
  <c r="G1597" i="14" s="1"/>
  <c r="G1646" i="14" s="1"/>
  <c r="G1698" i="14" s="1"/>
  <c r="G1747" i="14" s="1"/>
  <c r="G1796" i="14" s="1"/>
  <c r="G1845" i="14" s="1"/>
  <c r="G333" i="14"/>
  <c r="G334" i="14" s="1"/>
  <c r="G644" i="14"/>
  <c r="G647" i="14"/>
  <c r="G617" i="14"/>
  <c r="G501" i="14"/>
  <c r="G498" i="14"/>
  <c r="G471" i="14"/>
  <c r="G472" i="14" s="1"/>
  <c r="G152" i="8"/>
  <c r="G62" i="22"/>
  <c r="G79" i="37"/>
  <c r="G21" i="8"/>
  <c r="G75" i="46"/>
  <c r="G319" i="8"/>
  <c r="G243" i="22"/>
  <c r="G200" i="8"/>
  <c r="G110" i="22"/>
  <c r="G201" i="8" s="1"/>
  <c r="G57" i="22"/>
  <c r="G147" i="8"/>
  <c r="G534" i="14"/>
  <c r="G537" i="14"/>
  <c r="G363" i="14"/>
  <c r="O50" i="10"/>
  <c r="G122" i="22"/>
  <c r="G213" i="8" s="1"/>
  <c r="G212" i="8"/>
  <c r="G97" i="22"/>
  <c r="G188" i="8" s="1"/>
  <c r="G187" i="8"/>
  <c r="I653" i="14" l="1"/>
  <c r="I654" i="14"/>
  <c r="I534" i="14"/>
  <c r="I537" i="14"/>
  <c r="N578" i="14"/>
  <c r="N579" i="14" s="1"/>
  <c r="F618" i="14"/>
  <c r="F617" i="14"/>
  <c r="E303" i="14"/>
  <c r="E296" i="14"/>
  <c r="E298" i="14" s="1"/>
  <c r="E292" i="14"/>
  <c r="E294" i="14" s="1"/>
  <c r="E300" i="14" s="1"/>
  <c r="K1189" i="14"/>
  <c r="K1238" i="14" s="1"/>
  <c r="K1305" i="14" s="1"/>
  <c r="K1354" i="14" s="1"/>
  <c r="K1403" i="14" s="1"/>
  <c r="K1452" i="14" s="1"/>
  <c r="K1504" i="14" s="1"/>
  <c r="K1553" i="14" s="1"/>
  <c r="K1602" i="14" s="1"/>
  <c r="K1651" i="14" s="1"/>
  <c r="K1703" i="14" s="1"/>
  <c r="K1752" i="14" s="1"/>
  <c r="K1801" i="14" s="1"/>
  <c r="K1850" i="14" s="1"/>
  <c r="K1889" i="14"/>
  <c r="J1189" i="14"/>
  <c r="J1238" i="14" s="1"/>
  <c r="J1305" i="14" s="1"/>
  <c r="J1354" i="14" s="1"/>
  <c r="J1403" i="14" s="1"/>
  <c r="J1452" i="14" s="1"/>
  <c r="J1504" i="14" s="1"/>
  <c r="J1553" i="14" s="1"/>
  <c r="J1602" i="14" s="1"/>
  <c r="J1651" i="14" s="1"/>
  <c r="J1703" i="14" s="1"/>
  <c r="J1752" i="14" s="1"/>
  <c r="J1801" i="14" s="1"/>
  <c r="J1850" i="14" s="1"/>
  <c r="J1889" i="14"/>
  <c r="K425" i="14"/>
  <c r="K426" i="14"/>
  <c r="E876" i="14"/>
  <c r="E925" i="14" s="1"/>
  <c r="E974" i="14" s="1"/>
  <c r="E1023" i="14" s="1"/>
  <c r="E1075" i="14" s="1"/>
  <c r="E1124" i="14" s="1"/>
  <c r="E1173" i="14" s="1"/>
  <c r="E1222" i="14" s="1"/>
  <c r="E1289" i="14" s="1"/>
  <c r="E1338" i="14" s="1"/>
  <c r="E1387" i="14" s="1"/>
  <c r="E1436" i="14" s="1"/>
  <c r="I876" i="14"/>
  <c r="I925" i="14" s="1"/>
  <c r="I974" i="14" s="1"/>
  <c r="I1023" i="14" s="1"/>
  <c r="I1075" i="14" s="1"/>
  <c r="I1124" i="14" s="1"/>
  <c r="I1173" i="14" s="1"/>
  <c r="I1222" i="14" s="1"/>
  <c r="I1289" i="14" s="1"/>
  <c r="I1338" i="14" s="1"/>
  <c r="I1387" i="14" s="1"/>
  <c r="I1436" i="14" s="1"/>
  <c r="I1488" i="14" s="1"/>
  <c r="I1537" i="14" s="1"/>
  <c r="I1586" i="14" s="1"/>
  <c r="I1635" i="14" s="1"/>
  <c r="I1687" i="14" s="1"/>
  <c r="I1736" i="14" s="1"/>
  <c r="I1785" i="14" s="1"/>
  <c r="I1834" i="14" s="1"/>
  <c r="L876" i="14"/>
  <c r="L925" i="14" s="1"/>
  <c r="L974" i="14" s="1"/>
  <c r="L1023" i="14" s="1"/>
  <c r="L1075" i="14" s="1"/>
  <c r="L1124" i="14" s="1"/>
  <c r="G876" i="14"/>
  <c r="G925" i="14" s="1"/>
  <c r="G974" i="14" s="1"/>
  <c r="G1023" i="14" s="1"/>
  <c r="G1075" i="14" s="1"/>
  <c r="G1124" i="14" s="1"/>
  <c r="G1173" i="14" s="1"/>
  <c r="G1222" i="14" s="1"/>
  <c r="G1289" i="14" s="1"/>
  <c r="G1338" i="14" s="1"/>
  <c r="G1387" i="14" s="1"/>
  <c r="G1436" i="14" s="1"/>
  <c r="G1488" i="14" s="1"/>
  <c r="G1537" i="14" s="1"/>
  <c r="G1586" i="14" s="1"/>
  <c r="G1635" i="14" s="1"/>
  <c r="G1687" i="14" s="1"/>
  <c r="G1736" i="14" s="1"/>
  <c r="G1785" i="14" s="1"/>
  <c r="G1834" i="14" s="1"/>
  <c r="N876" i="14"/>
  <c r="N925" i="14" s="1"/>
  <c r="N974" i="14" s="1"/>
  <c r="N1023" i="14" s="1"/>
  <c r="N1075" i="14" s="1"/>
  <c r="N1124" i="14" s="1"/>
  <c r="N1173" i="14" s="1"/>
  <c r="N1222" i="14" s="1"/>
  <c r="N1289" i="14" s="1"/>
  <c r="N1338" i="14" s="1"/>
  <c r="N1387" i="14" s="1"/>
  <c r="N1436" i="14" s="1"/>
  <c r="N1488" i="14" s="1"/>
  <c r="N1537" i="14" s="1"/>
  <c r="N1586" i="14" s="1"/>
  <c r="N1635" i="14" s="1"/>
  <c r="N1687" i="14" s="1"/>
  <c r="N1736" i="14" s="1"/>
  <c r="N1785" i="14" s="1"/>
  <c r="N1834" i="14" s="1"/>
  <c r="M876" i="14"/>
  <c r="M925" i="14" s="1"/>
  <c r="M974" i="14" s="1"/>
  <c r="M1023" i="14" s="1"/>
  <c r="M1075" i="14" s="1"/>
  <c r="M1124" i="14" s="1"/>
  <c r="M1173" i="14" s="1"/>
  <c r="M1222" i="14" s="1"/>
  <c r="M1289" i="14" s="1"/>
  <c r="M1338" i="14" s="1"/>
  <c r="M1387" i="14" s="1"/>
  <c r="M1436" i="14" s="1"/>
  <c r="M1488" i="14" s="1"/>
  <c r="M1537" i="14" s="1"/>
  <c r="M1586" i="14" s="1"/>
  <c r="M1635" i="14" s="1"/>
  <c r="M1687" i="14" s="1"/>
  <c r="M1736" i="14" s="1"/>
  <c r="M1785" i="14" s="1"/>
  <c r="M1834" i="14" s="1"/>
  <c r="F876" i="14"/>
  <c r="F925" i="14" s="1"/>
  <c r="F974" i="14" s="1"/>
  <c r="F1023" i="14" s="1"/>
  <c r="F1075" i="14" s="1"/>
  <c r="F1124" i="14" s="1"/>
  <c r="F1173" i="14" s="1"/>
  <c r="F1222" i="14" s="1"/>
  <c r="F1289" i="14" s="1"/>
  <c r="F1338" i="14" s="1"/>
  <c r="F1387" i="14" s="1"/>
  <c r="F1436" i="14" s="1"/>
  <c r="F1488" i="14" s="1"/>
  <c r="F1537" i="14" s="1"/>
  <c r="F1586" i="14" s="1"/>
  <c r="F1635" i="14" s="1"/>
  <c r="F1687" i="14" s="1"/>
  <c r="F1736" i="14" s="1"/>
  <c r="F1785" i="14" s="1"/>
  <c r="F1834" i="14" s="1"/>
  <c r="J876" i="14"/>
  <c r="J925" i="14" s="1"/>
  <c r="J974" i="14" s="1"/>
  <c r="J1023" i="14" s="1"/>
  <c r="J1075" i="14" s="1"/>
  <c r="J1124" i="14" s="1"/>
  <c r="J1173" i="14" s="1"/>
  <c r="J1222" i="14" s="1"/>
  <c r="J1289" i="14" s="1"/>
  <c r="J1338" i="14" s="1"/>
  <c r="J1387" i="14" s="1"/>
  <c r="J1436" i="14" s="1"/>
  <c r="J1488" i="14" s="1"/>
  <c r="J1537" i="14" s="1"/>
  <c r="J1586" i="14" s="1"/>
  <c r="J1635" i="14" s="1"/>
  <c r="J1687" i="14" s="1"/>
  <c r="J1736" i="14" s="1"/>
  <c r="J1785" i="14" s="1"/>
  <c r="J1834" i="14" s="1"/>
  <c r="H876" i="14"/>
  <c r="H925" i="14" s="1"/>
  <c r="H974" i="14" s="1"/>
  <c r="H1023" i="14" s="1"/>
  <c r="H1075" i="14" s="1"/>
  <c r="H1124" i="14" s="1"/>
  <c r="H1173" i="14" s="1"/>
  <c r="K876" i="14"/>
  <c r="K925" i="14" s="1"/>
  <c r="K974" i="14" s="1"/>
  <c r="K1023" i="14" s="1"/>
  <c r="K1075" i="14" s="1"/>
  <c r="K1124" i="14" s="1"/>
  <c r="K1173" i="14" s="1"/>
  <c r="K1222" i="14" s="1"/>
  <c r="K1289" i="14" s="1"/>
  <c r="K1338" i="14" s="1"/>
  <c r="K1387" i="14" s="1"/>
  <c r="K1436" i="14" s="1"/>
  <c r="K1488" i="14" s="1"/>
  <c r="K1537" i="14" s="1"/>
  <c r="K1586" i="14" s="1"/>
  <c r="K1635" i="14" s="1"/>
  <c r="K1687" i="14" s="1"/>
  <c r="K1736" i="14" s="1"/>
  <c r="K1785" i="14" s="1"/>
  <c r="K1834" i="14" s="1"/>
  <c r="M149" i="8"/>
  <c r="M59" i="22"/>
  <c r="I422" i="14"/>
  <c r="I419" i="14"/>
  <c r="I30" i="8"/>
  <c r="F309" i="14"/>
  <c r="F310" i="14"/>
  <c r="L425" i="14"/>
  <c r="L426" i="14"/>
  <c r="N97" i="22"/>
  <c r="N187" i="8"/>
  <c r="F280" i="22"/>
  <c r="F156" i="37" s="1"/>
  <c r="F356" i="8"/>
  <c r="H251" i="22"/>
  <c r="H327" i="8"/>
  <c r="E98" i="22"/>
  <c r="O53" i="20" s="1"/>
  <c r="E188" i="8"/>
  <c r="I340" i="14"/>
  <c r="I135" i="14"/>
  <c r="I169" i="14"/>
  <c r="I152" i="14"/>
  <c r="AC276" i="21"/>
  <c r="Y305" i="21"/>
  <c r="G280" i="22"/>
  <c r="G156" i="37" s="1"/>
  <c r="G356" i="8"/>
  <c r="M244" i="22"/>
  <c r="M245" i="22" s="1"/>
  <c r="M320" i="8"/>
  <c r="N53" i="22"/>
  <c r="N143" i="8"/>
  <c r="K1864" i="14"/>
  <c r="K1910" i="14" s="1"/>
  <c r="H1864" i="14"/>
  <c r="H1910" i="14" s="1"/>
  <c r="M1864" i="14"/>
  <c r="M1910" i="14" s="1"/>
  <c r="L1864" i="14"/>
  <c r="L1910" i="14" s="1"/>
  <c r="I1864" i="14"/>
  <c r="I1910" i="14" s="1"/>
  <c r="G1864" i="14"/>
  <c r="G1910" i="14" s="1"/>
  <c r="E1864" i="14"/>
  <c r="E1910" i="14" s="1"/>
  <c r="F1864" i="14"/>
  <c r="F1910" i="14" s="1"/>
  <c r="J1864" i="14"/>
  <c r="J1910" i="14" s="1"/>
  <c r="N1864" i="14"/>
  <c r="N1910" i="14" s="1"/>
  <c r="G1886" i="14"/>
  <c r="G351" i="8"/>
  <c r="G275" i="22"/>
  <c r="G145" i="37" s="1"/>
  <c r="F345" i="14"/>
  <c r="F346" i="14" s="1"/>
  <c r="J306" i="14"/>
  <c r="J307" i="14"/>
  <c r="I192" i="22"/>
  <c r="I268" i="8"/>
  <c r="G1903" i="14"/>
  <c r="G1660" i="14"/>
  <c r="G1712" i="14" s="1"/>
  <c r="G1761" i="14" s="1"/>
  <c r="G1810" i="14" s="1"/>
  <c r="G1859" i="14" s="1"/>
  <c r="L325" i="8"/>
  <c r="L249" i="22"/>
  <c r="E161" i="14"/>
  <c r="E4" i="34" s="1"/>
  <c r="E143" i="14"/>
  <c r="E538" i="14"/>
  <c r="F412" i="14"/>
  <c r="F413" i="14" s="1"/>
  <c r="N300" i="14"/>
  <c r="K1904" i="14"/>
  <c r="K1713" i="14"/>
  <c r="K1762" i="14" s="1"/>
  <c r="K1811" i="14" s="1"/>
  <c r="K1860" i="14" s="1"/>
  <c r="J1904" i="14"/>
  <c r="J1713" i="14"/>
  <c r="J1762" i="14" s="1"/>
  <c r="J1811" i="14" s="1"/>
  <c r="J1860" i="14" s="1"/>
  <c r="H351" i="8"/>
  <c r="H275" i="22"/>
  <c r="H145" i="37" s="1"/>
  <c r="H1886" i="14"/>
  <c r="F275" i="22"/>
  <c r="F145" i="37" s="1"/>
  <c r="F1886" i="14"/>
  <c r="F351" i="8"/>
  <c r="I1660" i="14"/>
  <c r="I1712" i="14" s="1"/>
  <c r="I1761" i="14" s="1"/>
  <c r="I1810" i="14" s="1"/>
  <c r="I1859" i="14" s="1"/>
  <c r="I1903" i="14"/>
  <c r="K1903" i="14"/>
  <c r="K1660" i="14"/>
  <c r="K1712" i="14" s="1"/>
  <c r="K1761" i="14" s="1"/>
  <c r="K1810" i="14" s="1"/>
  <c r="K1859" i="14" s="1"/>
  <c r="I59" i="22"/>
  <c r="K273" i="8"/>
  <c r="K197" i="22"/>
  <c r="L236" i="22"/>
  <c r="L312" i="8"/>
  <c r="E1895" i="14"/>
  <c r="E1357" i="14"/>
  <c r="E1406" i="14" s="1"/>
  <c r="E1455" i="14" s="1"/>
  <c r="E1507" i="14" s="1"/>
  <c r="E1556" i="14" s="1"/>
  <c r="E1605" i="14" s="1"/>
  <c r="E1654" i="14" s="1"/>
  <c r="E1706" i="14" s="1"/>
  <c r="E1755" i="14" s="1"/>
  <c r="E1804" i="14" s="1"/>
  <c r="E1853" i="14" s="1"/>
  <c r="M1895" i="14"/>
  <c r="M1357" i="14"/>
  <c r="M1406" i="14" s="1"/>
  <c r="M1455" i="14" s="1"/>
  <c r="M1507" i="14" s="1"/>
  <c r="M1556" i="14" s="1"/>
  <c r="M1605" i="14" s="1"/>
  <c r="M1654" i="14" s="1"/>
  <c r="M1706" i="14" s="1"/>
  <c r="M1755" i="14" s="1"/>
  <c r="M1804" i="14" s="1"/>
  <c r="M1853" i="14" s="1"/>
  <c r="K1895" i="14"/>
  <c r="K1357" i="14"/>
  <c r="K1406" i="14" s="1"/>
  <c r="K1455" i="14" s="1"/>
  <c r="K1507" i="14" s="1"/>
  <c r="K1556" i="14" s="1"/>
  <c r="K1605" i="14" s="1"/>
  <c r="K1654" i="14" s="1"/>
  <c r="K1706" i="14" s="1"/>
  <c r="K1755" i="14" s="1"/>
  <c r="K1804" i="14" s="1"/>
  <c r="K1853" i="14" s="1"/>
  <c r="H309" i="14"/>
  <c r="F657" i="14"/>
  <c r="F656" i="14"/>
  <c r="L243" i="22"/>
  <c r="L319" i="8"/>
  <c r="M122" i="37"/>
  <c r="J540" i="14"/>
  <c r="J541" i="14"/>
  <c r="E30" i="8"/>
  <c r="E419" i="14"/>
  <c r="E422" i="14"/>
  <c r="E348" i="14"/>
  <c r="E1889" i="14"/>
  <c r="E1189" i="14"/>
  <c r="E1238" i="14" s="1"/>
  <c r="E1305" i="14" s="1"/>
  <c r="E1354" i="14" s="1"/>
  <c r="E1403" i="14" s="1"/>
  <c r="E1452" i="14" s="1"/>
  <c r="E1504" i="14" s="1"/>
  <c r="E1553" i="14" s="1"/>
  <c r="E1602" i="14" s="1"/>
  <c r="E1651" i="14" s="1"/>
  <c r="E1703" i="14" s="1"/>
  <c r="E1752" i="14" s="1"/>
  <c r="E1801" i="14" s="1"/>
  <c r="E1850" i="14" s="1"/>
  <c r="G1189" i="14"/>
  <c r="G1238" i="14" s="1"/>
  <c r="G1305" i="14" s="1"/>
  <c r="G1354" i="14" s="1"/>
  <c r="G1403" i="14" s="1"/>
  <c r="G1452" i="14" s="1"/>
  <c r="G1504" i="14" s="1"/>
  <c r="G1553" i="14" s="1"/>
  <c r="G1602" i="14" s="1"/>
  <c r="G1651" i="14" s="1"/>
  <c r="G1703" i="14" s="1"/>
  <c r="G1752" i="14" s="1"/>
  <c r="G1801" i="14" s="1"/>
  <c r="G1850" i="14" s="1"/>
  <c r="G1889" i="14"/>
  <c r="G1892" i="14" s="1"/>
  <c r="N236" i="22"/>
  <c r="N312" i="8"/>
  <c r="J1892" i="14"/>
  <c r="J280" i="22"/>
  <c r="J156" i="37" s="1"/>
  <c r="J356" i="8"/>
  <c r="N531" i="14"/>
  <c r="F188" i="8"/>
  <c r="F98" i="22"/>
  <c r="E167" i="8"/>
  <c r="E77" i="22"/>
  <c r="I197" i="22"/>
  <c r="I273" i="8"/>
  <c r="M307" i="14"/>
  <c r="M306" i="14"/>
  <c r="AE310" i="21"/>
  <c r="H1814" i="14"/>
  <c r="E1814" i="14"/>
  <c r="I1814" i="14"/>
  <c r="F1814" i="14"/>
  <c r="J1814" i="14"/>
  <c r="K1814" i="14"/>
  <c r="M1814" i="14"/>
  <c r="N1814" i="14"/>
  <c r="L1814" i="14"/>
  <c r="G1814" i="14"/>
  <c r="J277" i="21"/>
  <c r="I285" i="21"/>
  <c r="J285" i="21" s="1"/>
  <c r="K285" i="21" s="1"/>
  <c r="L285" i="21" s="1"/>
  <c r="F198" i="22"/>
  <c r="F274" i="8"/>
  <c r="F319" i="8"/>
  <c r="F243" i="22"/>
  <c r="I97" i="22"/>
  <c r="I188" i="8" s="1"/>
  <c r="I187" i="8"/>
  <c r="F538" i="14"/>
  <c r="F161" i="14"/>
  <c r="F143" i="14"/>
  <c r="K356" i="8"/>
  <c r="K280" i="22"/>
  <c r="K156" i="37" s="1"/>
  <c r="K1892" i="14"/>
  <c r="E247" i="22"/>
  <c r="E323" i="8"/>
  <c r="J320" i="8"/>
  <c r="J244" i="22"/>
  <c r="J245" i="22" s="1"/>
  <c r="Q1661" i="14"/>
  <c r="F1904" i="14"/>
  <c r="F1713" i="14"/>
  <c r="F1762" i="14" s="1"/>
  <c r="F1811" i="14" s="1"/>
  <c r="F1860" i="14" s="1"/>
  <c r="E1904" i="14"/>
  <c r="E1713" i="14"/>
  <c r="E1762" i="14" s="1"/>
  <c r="E1811" i="14" s="1"/>
  <c r="E1860" i="14" s="1"/>
  <c r="N1660" i="14"/>
  <c r="N1712" i="14" s="1"/>
  <c r="N1761" i="14" s="1"/>
  <c r="N1810" i="14" s="1"/>
  <c r="N1859" i="14" s="1"/>
  <c r="N1903" i="14"/>
  <c r="E1660" i="14"/>
  <c r="E1712" i="14" s="1"/>
  <c r="E1761" i="14" s="1"/>
  <c r="E1810" i="14" s="1"/>
  <c r="E1859" i="14" s="1"/>
  <c r="E1903" i="14"/>
  <c r="J259" i="22"/>
  <c r="J335" i="8"/>
  <c r="M25" i="31"/>
  <c r="M32" i="29"/>
  <c r="M24" i="41"/>
  <c r="M31" i="20"/>
  <c r="M26" i="28"/>
  <c r="E53" i="22"/>
  <c r="E143" i="8"/>
  <c r="R15" i="41"/>
  <c r="M280" i="22"/>
  <c r="M156" i="37" s="1"/>
  <c r="M356" i="8"/>
  <c r="M1892" i="14"/>
  <c r="L1357" i="14"/>
  <c r="L1406" i="14" s="1"/>
  <c r="L1455" i="14" s="1"/>
  <c r="L1507" i="14" s="1"/>
  <c r="L1556" i="14" s="1"/>
  <c r="L1605" i="14" s="1"/>
  <c r="L1654" i="14" s="1"/>
  <c r="L1706" i="14" s="1"/>
  <c r="L1755" i="14" s="1"/>
  <c r="L1804" i="14" s="1"/>
  <c r="L1853" i="14" s="1"/>
  <c r="L1895" i="14"/>
  <c r="I1357" i="14"/>
  <c r="I1406" i="14" s="1"/>
  <c r="I1455" i="14" s="1"/>
  <c r="I1507" i="14" s="1"/>
  <c r="I1556" i="14" s="1"/>
  <c r="I1605" i="14" s="1"/>
  <c r="I1654" i="14" s="1"/>
  <c r="I1706" i="14" s="1"/>
  <c r="I1755" i="14" s="1"/>
  <c r="I1804" i="14" s="1"/>
  <c r="I1853" i="14" s="1"/>
  <c r="I1895" i="14"/>
  <c r="J273" i="8"/>
  <c r="J197" i="22"/>
  <c r="H245" i="22"/>
  <c r="M135" i="14"/>
  <c r="M152" i="14"/>
  <c r="M340" i="14"/>
  <c r="M169" i="14"/>
  <c r="M163" i="14"/>
  <c r="N1189" i="14"/>
  <c r="N1238" i="14" s="1"/>
  <c r="N1305" i="14" s="1"/>
  <c r="N1354" i="14" s="1"/>
  <c r="N1403" i="14" s="1"/>
  <c r="N1452" i="14" s="1"/>
  <c r="N1504" i="14" s="1"/>
  <c r="N1553" i="14" s="1"/>
  <c r="N1602" i="14" s="1"/>
  <c r="N1651" i="14" s="1"/>
  <c r="N1703" i="14" s="1"/>
  <c r="N1752" i="14" s="1"/>
  <c r="N1801" i="14" s="1"/>
  <c r="N1850" i="14" s="1"/>
  <c r="N1889" i="14"/>
  <c r="M1189" i="14"/>
  <c r="M1238" i="14" s="1"/>
  <c r="M1305" i="14" s="1"/>
  <c r="M1354" i="14" s="1"/>
  <c r="M1403" i="14" s="1"/>
  <c r="M1452" i="14" s="1"/>
  <c r="M1504" i="14" s="1"/>
  <c r="M1553" i="14" s="1"/>
  <c r="M1602" i="14" s="1"/>
  <c r="M1651" i="14" s="1"/>
  <c r="M1703" i="14" s="1"/>
  <c r="M1752" i="14" s="1"/>
  <c r="M1801" i="14" s="1"/>
  <c r="M1850" i="14" s="1"/>
  <c r="M1889" i="14"/>
  <c r="I1189" i="14"/>
  <c r="I1238" i="14" s="1"/>
  <c r="I1305" i="14" s="1"/>
  <c r="I1354" i="14" s="1"/>
  <c r="I1403" i="14" s="1"/>
  <c r="I1452" i="14" s="1"/>
  <c r="I1504" i="14" s="1"/>
  <c r="I1553" i="14" s="1"/>
  <c r="I1602" i="14" s="1"/>
  <c r="I1651" i="14" s="1"/>
  <c r="I1703" i="14" s="1"/>
  <c r="I1752" i="14" s="1"/>
  <c r="I1801" i="14" s="1"/>
  <c r="I1850" i="14" s="1"/>
  <c r="I1889" i="14"/>
  <c r="L346" i="14"/>
  <c r="L345" i="14"/>
  <c r="L356" i="8"/>
  <c r="L280" i="22"/>
  <c r="L156" i="37" s="1"/>
  <c r="N345" i="14"/>
  <c r="M543" i="14"/>
  <c r="I278" i="22"/>
  <c r="I148" i="37" s="1"/>
  <c r="I1887" i="14"/>
  <c r="I354" i="8"/>
  <c r="L309" i="14"/>
  <c r="L310" i="14" s="1"/>
  <c r="G1904" i="14"/>
  <c r="G1713" i="14"/>
  <c r="G1762" i="14" s="1"/>
  <c r="G1811" i="14" s="1"/>
  <c r="G1860" i="14" s="1"/>
  <c r="I98" i="22"/>
  <c r="I151" i="14"/>
  <c r="I168" i="14"/>
  <c r="I134" i="14"/>
  <c r="K325" i="8"/>
  <c r="K249" i="22"/>
  <c r="I351" i="8"/>
  <c r="I275" i="22"/>
  <c r="I145" i="37" s="1"/>
  <c r="E339" i="8"/>
  <c r="E263" i="22"/>
  <c r="J267" i="8"/>
  <c r="J191" i="22"/>
  <c r="N172" i="14"/>
  <c r="N423" i="14"/>
  <c r="N155" i="14"/>
  <c r="N138" i="14"/>
  <c r="F247" i="22"/>
  <c r="F323" i="8"/>
  <c r="Y304" i="21"/>
  <c r="Z304" i="21" s="1"/>
  <c r="AA304" i="21" s="1"/>
  <c r="J1511" i="14"/>
  <c r="M1511" i="14"/>
  <c r="I1511" i="14"/>
  <c r="E1511" i="14"/>
  <c r="H1511" i="14"/>
  <c r="N1511" i="14"/>
  <c r="K1511" i="14"/>
  <c r="L1511" i="14"/>
  <c r="F1511" i="14"/>
  <c r="G1511" i="14"/>
  <c r="N306" i="14"/>
  <c r="N307" i="14" s="1"/>
  <c r="N1904" i="14"/>
  <c r="N1713" i="14"/>
  <c r="N1762" i="14" s="1"/>
  <c r="N1811" i="14" s="1"/>
  <c r="N1860" i="14" s="1"/>
  <c r="I1713" i="14"/>
  <c r="I1762" i="14" s="1"/>
  <c r="I1811" i="14" s="1"/>
  <c r="I1860" i="14" s="1"/>
  <c r="I1904" i="14"/>
  <c r="L1713" i="14"/>
  <c r="L1762" i="14" s="1"/>
  <c r="L1811" i="14" s="1"/>
  <c r="L1860" i="14" s="1"/>
  <c r="L1904" i="14"/>
  <c r="K656" i="14"/>
  <c r="K657" i="14" s="1"/>
  <c r="N351" i="8"/>
  <c r="N1886" i="14"/>
  <c r="N275" i="22"/>
  <c r="N145" i="37" s="1"/>
  <c r="L1660" i="14"/>
  <c r="L1712" i="14" s="1"/>
  <c r="L1761" i="14" s="1"/>
  <c r="L1810" i="14" s="1"/>
  <c r="L1859" i="14" s="1"/>
  <c r="L1903" i="14"/>
  <c r="J1903" i="14"/>
  <c r="J1660" i="14"/>
  <c r="J1712" i="14" s="1"/>
  <c r="J1761" i="14" s="1"/>
  <c r="J1810" i="14" s="1"/>
  <c r="J1859" i="14" s="1"/>
  <c r="H1903" i="14"/>
  <c r="H1660" i="14"/>
  <c r="H1712" i="14" s="1"/>
  <c r="H1761" i="14" s="1"/>
  <c r="H1810" i="14" s="1"/>
  <c r="H1859" i="14" s="1"/>
  <c r="L336" i="8"/>
  <c r="L260" i="22"/>
  <c r="N280" i="22"/>
  <c r="N156" i="37" s="1"/>
  <c r="N1892" i="14"/>
  <c r="N356" i="8"/>
  <c r="K340" i="14"/>
  <c r="K152" i="14"/>
  <c r="K135" i="14"/>
  <c r="K169" i="14"/>
  <c r="J144" i="14"/>
  <c r="J44" i="37" s="1"/>
  <c r="J158" i="14"/>
  <c r="J648" i="14"/>
  <c r="R16" i="31"/>
  <c r="R22" i="20"/>
  <c r="J1895" i="14"/>
  <c r="J1357" i="14"/>
  <c r="J1406" i="14" s="1"/>
  <c r="J1455" i="14" s="1"/>
  <c r="J1507" i="14" s="1"/>
  <c r="J1556" i="14" s="1"/>
  <c r="J1605" i="14" s="1"/>
  <c r="J1654" i="14" s="1"/>
  <c r="J1706" i="14" s="1"/>
  <c r="J1755" i="14" s="1"/>
  <c r="J1804" i="14" s="1"/>
  <c r="J1853" i="14" s="1"/>
  <c r="F1357" i="14"/>
  <c r="F1406" i="14" s="1"/>
  <c r="F1455" i="14" s="1"/>
  <c r="F1507" i="14" s="1"/>
  <c r="F1556" i="14" s="1"/>
  <c r="F1605" i="14" s="1"/>
  <c r="F1895" i="14"/>
  <c r="H201" i="22"/>
  <c r="I167" i="8"/>
  <c r="I77" i="22"/>
  <c r="K575" i="14"/>
  <c r="J152" i="14"/>
  <c r="J340" i="14"/>
  <c r="J169" i="14"/>
  <c r="J135" i="14"/>
  <c r="M273" i="8"/>
  <c r="M197" i="22"/>
  <c r="I617" i="14"/>
  <c r="I618" i="14"/>
  <c r="L1889" i="14"/>
  <c r="L1189" i="14"/>
  <c r="L1238" i="14" s="1"/>
  <c r="L1305" i="14" s="1"/>
  <c r="L1354" i="14" s="1"/>
  <c r="L1403" i="14" s="1"/>
  <c r="L1452" i="14" s="1"/>
  <c r="L1504" i="14" s="1"/>
  <c r="L1553" i="14" s="1"/>
  <c r="L1602" i="14" s="1"/>
  <c r="L1651" i="14" s="1"/>
  <c r="L1703" i="14" s="1"/>
  <c r="L1752" i="14" s="1"/>
  <c r="L1801" i="14" s="1"/>
  <c r="L1850" i="14" s="1"/>
  <c r="F1189" i="14"/>
  <c r="F1238" i="14" s="1"/>
  <c r="F1305" i="14" s="1"/>
  <c r="F1354" i="14" s="1"/>
  <c r="F1403" i="14" s="1"/>
  <c r="F1452" i="14" s="1"/>
  <c r="F1504" i="14" s="1"/>
  <c r="F1553" i="14" s="1"/>
  <c r="F1602" i="14" s="1"/>
  <c r="F1889" i="14"/>
  <c r="H1889" i="14"/>
  <c r="H1189" i="14"/>
  <c r="H1238" i="14" s="1"/>
  <c r="H1305" i="14" s="1"/>
  <c r="H1354" i="14" s="1"/>
  <c r="H1403" i="14" s="1"/>
  <c r="H1452" i="14" s="1"/>
  <c r="H1504" i="14" s="1"/>
  <c r="H1553" i="14" s="1"/>
  <c r="H1602" i="14" s="1"/>
  <c r="H1651" i="14" s="1"/>
  <c r="H1703" i="14" s="1"/>
  <c r="H1752" i="14" s="1"/>
  <c r="H1801" i="14" s="1"/>
  <c r="H1850" i="14" s="1"/>
  <c r="L274" i="8"/>
  <c r="L198" i="22"/>
  <c r="E351" i="8"/>
  <c r="E275" i="22"/>
  <c r="E145" i="37" s="1"/>
  <c r="E1886" i="14"/>
  <c r="M151" i="14"/>
  <c r="M164" i="14" s="1"/>
  <c r="M168" i="14"/>
  <c r="M134" i="14"/>
  <c r="M146" i="14" s="1"/>
  <c r="M248" i="22"/>
  <c r="M324" i="8"/>
  <c r="N167" i="8"/>
  <c r="N77" i="22"/>
  <c r="J415" i="14"/>
  <c r="J416" i="14"/>
  <c r="Q1608" i="14"/>
  <c r="F1657" i="14"/>
  <c r="V301" i="21"/>
  <c r="W301" i="21" s="1"/>
  <c r="X301" i="21" s="1"/>
  <c r="H1358" i="14"/>
  <c r="F1358" i="14"/>
  <c r="M1358" i="14"/>
  <c r="G1358" i="14"/>
  <c r="K1358" i="14"/>
  <c r="N1358" i="14"/>
  <c r="E1358" i="14"/>
  <c r="L1358" i="14"/>
  <c r="J1358" i="14"/>
  <c r="I1358" i="14"/>
  <c r="M618" i="14"/>
  <c r="I356" i="8"/>
  <c r="I1892" i="14"/>
  <c r="I280" i="22"/>
  <c r="I156" i="37" s="1"/>
  <c r="H312" i="21"/>
  <c r="I280" i="21"/>
  <c r="H278" i="21"/>
  <c r="E303" i="8"/>
  <c r="E227" i="22"/>
  <c r="I260" i="22"/>
  <c r="I336" i="8"/>
  <c r="K546" i="14"/>
  <c r="K547" i="14"/>
  <c r="J300" i="14"/>
  <c r="N291" i="8"/>
  <c r="N215" i="22"/>
  <c r="I307" i="14"/>
  <c r="L544" i="14"/>
  <c r="M425" i="14"/>
  <c r="AB308" i="21"/>
  <c r="N191" i="22"/>
  <c r="N267" i="8"/>
  <c r="H1713" i="14"/>
  <c r="H1762" i="14" s="1"/>
  <c r="H1811" i="14" s="1"/>
  <c r="H1860" i="14" s="1"/>
  <c r="H1904" i="14"/>
  <c r="M1904" i="14"/>
  <c r="M1713" i="14"/>
  <c r="M1762" i="14" s="1"/>
  <c r="M1811" i="14" s="1"/>
  <c r="M1860" i="14" s="1"/>
  <c r="K261" i="22"/>
  <c r="K337" i="8"/>
  <c r="F1660" i="14"/>
  <c r="Q1611" i="14"/>
  <c r="F1903" i="14"/>
  <c r="M1903" i="14"/>
  <c r="M1660" i="14"/>
  <c r="M1712" i="14" s="1"/>
  <c r="M1761" i="14" s="1"/>
  <c r="M1810" i="14" s="1"/>
  <c r="M1859" i="14" s="1"/>
  <c r="L651" i="14"/>
  <c r="L576" i="14"/>
  <c r="H426" i="14"/>
  <c r="H425" i="14"/>
  <c r="R17" i="28"/>
  <c r="E280" i="22"/>
  <c r="E156" i="37" s="1"/>
  <c r="E1892" i="14"/>
  <c r="E356" i="8"/>
  <c r="N1357" i="14"/>
  <c r="N1406" i="14" s="1"/>
  <c r="N1455" i="14" s="1"/>
  <c r="N1507" i="14" s="1"/>
  <c r="N1556" i="14" s="1"/>
  <c r="N1605" i="14" s="1"/>
  <c r="N1654" i="14" s="1"/>
  <c r="N1706" i="14" s="1"/>
  <c r="N1755" i="14" s="1"/>
  <c r="N1804" i="14" s="1"/>
  <c r="N1853" i="14" s="1"/>
  <c r="N1895" i="14"/>
  <c r="H1895" i="14"/>
  <c r="H1357" i="14"/>
  <c r="H1406" i="14" s="1"/>
  <c r="H1455" i="14" s="1"/>
  <c r="H1507" i="14" s="1"/>
  <c r="H1556" i="14" s="1"/>
  <c r="H1605" i="14" s="1"/>
  <c r="H1654" i="14" s="1"/>
  <c r="H1706" i="14" s="1"/>
  <c r="H1755" i="14" s="1"/>
  <c r="H1804" i="14" s="1"/>
  <c r="H1853" i="14" s="1"/>
  <c r="H192" i="22"/>
  <c r="H268" i="8"/>
  <c r="F261" i="22"/>
  <c r="F337" i="8"/>
  <c r="L615" i="14"/>
  <c r="H1892" i="14"/>
  <c r="H356" i="8"/>
  <c r="H280" i="22"/>
  <c r="H156" i="37" s="1"/>
  <c r="M138" i="22"/>
  <c r="M139" i="22" s="1"/>
  <c r="E38" i="46"/>
  <c r="E56" i="37"/>
  <c r="E20" i="8"/>
  <c r="E48" i="10"/>
  <c r="J251" i="37"/>
  <c r="F25" i="14"/>
  <c r="F37" i="46" s="1"/>
  <c r="H74" i="10"/>
  <c r="H20" i="10" s="1"/>
  <c r="H22" i="10" s="1"/>
  <c r="L74" i="10"/>
  <c r="L20" i="10" s="1"/>
  <c r="L171" i="37" s="1"/>
  <c r="H380" i="14"/>
  <c r="H382" i="14" s="1"/>
  <c r="L163" i="14"/>
  <c r="H203" i="22"/>
  <c r="N110" i="37"/>
  <c r="N251" i="37"/>
  <c r="F382" i="14"/>
  <c r="M385" i="14"/>
  <c r="M386" i="14" s="1"/>
  <c r="I251" i="37"/>
  <c r="I110" i="37"/>
  <c r="K375" i="14"/>
  <c r="K380" i="14" s="1"/>
  <c r="K153" i="14"/>
  <c r="K170" i="14"/>
  <c r="K136" i="14"/>
  <c r="I375" i="14"/>
  <c r="I380" i="14" s="1"/>
  <c r="I136" i="14"/>
  <c r="I170" i="14"/>
  <c r="I153" i="14"/>
  <c r="E153" i="14"/>
  <c r="E6" i="34" s="1"/>
  <c r="E170" i="14"/>
  <c r="E136" i="14"/>
  <c r="D6" i="34" s="1"/>
  <c r="E375" i="14"/>
  <c r="E380" i="14" s="1"/>
  <c r="N204" i="22"/>
  <c r="N280" i="8"/>
  <c r="L382" i="14"/>
  <c r="L383" i="14" s="1"/>
  <c r="J155" i="8"/>
  <c r="J65" i="22"/>
  <c r="N383" i="14"/>
  <c r="K65" i="22"/>
  <c r="M204" i="22"/>
  <c r="M280" i="8"/>
  <c r="K203" i="22"/>
  <c r="K279" i="8"/>
  <c r="J379" i="14"/>
  <c r="J373" i="14"/>
  <c r="I203" i="22"/>
  <c r="I279" i="8"/>
  <c r="E203" i="22"/>
  <c r="E279" i="8"/>
  <c r="N74" i="10"/>
  <c r="N20" i="10" s="1"/>
  <c r="N171" i="37" s="1"/>
  <c r="J68" i="10"/>
  <c r="M68" i="10"/>
  <c r="E74" i="10"/>
  <c r="E20" i="10" s="1"/>
  <c r="E171" i="37" s="1"/>
  <c r="I68" i="10"/>
  <c r="F1708" i="14"/>
  <c r="F1757" i="14" s="1"/>
  <c r="F1806" i="14" s="1"/>
  <c r="F1855" i="14" s="1"/>
  <c r="Q1656" i="14"/>
  <c r="N68" i="10"/>
  <c r="L68" i="10"/>
  <c r="F1701" i="14"/>
  <c r="F1750" i="14" s="1"/>
  <c r="F1799" i="14" s="1"/>
  <c r="F1848" i="14" s="1"/>
  <c r="Q1649" i="14"/>
  <c r="G74" i="10"/>
  <c r="G20" i="10" s="1"/>
  <c r="G171" i="37" s="1"/>
  <c r="I74" i="10"/>
  <c r="I20" i="10" s="1"/>
  <c r="E68" i="10"/>
  <c r="G68" i="10"/>
  <c r="K74" i="10"/>
  <c r="K20" i="10" s="1"/>
  <c r="K22" i="10" s="1"/>
  <c r="H68" i="10"/>
  <c r="F74" i="10"/>
  <c r="F20" i="10" s="1"/>
  <c r="F171" i="37" s="1"/>
  <c r="J74" i="10"/>
  <c r="J20" i="10" s="1"/>
  <c r="J22" i="10" s="1"/>
  <c r="K68" i="10"/>
  <c r="F68" i="10"/>
  <c r="F1702" i="14"/>
  <c r="F1751" i="14" s="1"/>
  <c r="F1800" i="14" s="1"/>
  <c r="F1849" i="14" s="1"/>
  <c r="Q1650" i="14"/>
  <c r="F1695" i="14"/>
  <c r="F1744" i="14" s="1"/>
  <c r="F1793" i="14" s="1"/>
  <c r="F1842" i="14" s="1"/>
  <c r="Q1643" i="14"/>
  <c r="F1696" i="14"/>
  <c r="F1745" i="14" s="1"/>
  <c r="F1794" i="14" s="1"/>
  <c r="F1843" i="14" s="1"/>
  <c r="Q1644" i="14"/>
  <c r="F1704" i="14"/>
  <c r="F1753" i="14" s="1"/>
  <c r="F1802" i="14" s="1"/>
  <c r="F1851" i="14" s="1"/>
  <c r="Q1652" i="14"/>
  <c r="I110" i="22"/>
  <c r="I138" i="22" s="1"/>
  <c r="I200" i="8"/>
  <c r="F1699" i="14"/>
  <c r="F1748" i="14" s="1"/>
  <c r="F1797" i="14" s="1"/>
  <c r="F1846" i="14" s="1"/>
  <c r="Q1647" i="14"/>
  <c r="I495" i="14"/>
  <c r="F1697" i="14"/>
  <c r="F1746" i="14" s="1"/>
  <c r="F1795" i="14" s="1"/>
  <c r="F1844" i="14" s="1"/>
  <c r="Q1645" i="14"/>
  <c r="F1698" i="14"/>
  <c r="F1747" i="14" s="1"/>
  <c r="F1796" i="14" s="1"/>
  <c r="F1845" i="14" s="1"/>
  <c r="Q1646" i="14"/>
  <c r="I137" i="22"/>
  <c r="I139" i="22" s="1"/>
  <c r="J136" i="22"/>
  <c r="J79" i="37"/>
  <c r="J75" i="46"/>
  <c r="J21" i="8"/>
  <c r="J262" i="37" s="1"/>
  <c r="F501" i="14"/>
  <c r="F498" i="14"/>
  <c r="N494" i="14"/>
  <c r="N495" i="14" s="1"/>
  <c r="J491" i="14"/>
  <c r="J492" i="14" s="1"/>
  <c r="F200" i="8"/>
  <c r="F110" i="22"/>
  <c r="N75" i="46"/>
  <c r="N79" i="37"/>
  <c r="N21" i="8"/>
  <c r="N262" i="37" s="1"/>
  <c r="N136" i="22"/>
  <c r="N199" i="8"/>
  <c r="N109" i="22"/>
  <c r="N137" i="22" s="1"/>
  <c r="E122" i="37"/>
  <c r="M141" i="22"/>
  <c r="K305" i="8"/>
  <c r="K229" i="22"/>
  <c r="M504" i="14"/>
  <c r="M505" i="14" s="1"/>
  <c r="K201" i="8"/>
  <c r="L504" i="14"/>
  <c r="L505" i="14" s="1"/>
  <c r="L1231" i="14"/>
  <c r="K1135" i="14"/>
  <c r="K111" i="22"/>
  <c r="E305" i="8"/>
  <c r="E229" i="22"/>
  <c r="L141" i="22"/>
  <c r="L190" i="37"/>
  <c r="L166" i="14"/>
  <c r="H305" i="8"/>
  <c r="H229" i="22"/>
  <c r="M53" i="20"/>
  <c r="E138" i="22"/>
  <c r="E174" i="14"/>
  <c r="E502" i="14"/>
  <c r="E157" i="14"/>
  <c r="E140" i="14"/>
  <c r="M40" i="37"/>
  <c r="H138" i="22"/>
  <c r="H139" i="22" s="1"/>
  <c r="H111" i="22"/>
  <c r="H122" i="37" s="1"/>
  <c r="L146" i="14"/>
  <c r="L40" i="37"/>
  <c r="E201" i="8"/>
  <c r="H140" i="14"/>
  <c r="H174" i="14"/>
  <c r="H163" i="14" s="1"/>
  <c r="H502" i="14"/>
  <c r="H157" i="14"/>
  <c r="H164" i="14" s="1"/>
  <c r="H1222" i="14"/>
  <c r="K157" i="14"/>
  <c r="K174" i="14"/>
  <c r="K502" i="14"/>
  <c r="K140" i="14"/>
  <c r="K32" i="20"/>
  <c r="K33" i="20" s="1"/>
  <c r="K27" i="28"/>
  <c r="K28" i="28" s="1"/>
  <c r="K33" i="29"/>
  <c r="K34" i="29" s="1"/>
  <c r="K25" i="41"/>
  <c r="K26" i="41" s="1"/>
  <c r="K26" i="31"/>
  <c r="K27" i="31" s="1"/>
  <c r="G174" i="8"/>
  <c r="G84" i="22"/>
  <c r="G18" i="10"/>
  <c r="G183" i="37"/>
  <c r="G169" i="37"/>
  <c r="L169" i="37"/>
  <c r="L183" i="37"/>
  <c r="L18" i="10"/>
  <c r="N1450" i="14"/>
  <c r="G166" i="8"/>
  <c r="G76" i="22"/>
  <c r="G311" i="8"/>
  <c r="G235" i="22"/>
  <c r="K169" i="37"/>
  <c r="K183" i="37"/>
  <c r="K18" i="10"/>
  <c r="M183" i="37"/>
  <c r="M18" i="10"/>
  <c r="M169" i="37"/>
  <c r="G142" i="8"/>
  <c r="G52" i="22"/>
  <c r="F169" i="37"/>
  <c r="F18" i="10"/>
  <c r="F183" i="37"/>
  <c r="H18" i="10"/>
  <c r="H169" i="37"/>
  <c r="H183" i="37"/>
  <c r="J169" i="37"/>
  <c r="J183" i="37"/>
  <c r="J18" i="10"/>
  <c r="G292" i="14"/>
  <c r="G294" i="14" s="1"/>
  <c r="G296" i="14"/>
  <c r="G298" i="14" s="1"/>
  <c r="G303" i="14"/>
  <c r="E169" i="37"/>
  <c r="E183" i="37"/>
  <c r="E18" i="10"/>
  <c r="N18" i="10"/>
  <c r="N183" i="37"/>
  <c r="N169" i="37"/>
  <c r="I169" i="37"/>
  <c r="I18" i="10"/>
  <c r="I183" i="37"/>
  <c r="G30" i="8"/>
  <c r="G419" i="14"/>
  <c r="G422" i="14"/>
  <c r="G141" i="14"/>
  <c r="G159" i="14"/>
  <c r="G573" i="14"/>
  <c r="M1234" i="14"/>
  <c r="G474" i="14"/>
  <c r="G475" i="14" s="1"/>
  <c r="G339" i="14"/>
  <c r="G336" i="14"/>
  <c r="G29" i="8"/>
  <c r="M22" i="10"/>
  <c r="M171" i="37"/>
  <c r="G365" i="14"/>
  <c r="G366" i="14" s="1"/>
  <c r="G244" i="22"/>
  <c r="G321" i="8" s="1"/>
  <c r="G320" i="8"/>
  <c r="G98" i="22"/>
  <c r="G247" i="22"/>
  <c r="G323" i="8"/>
  <c r="G123" i="22"/>
  <c r="G502" i="14"/>
  <c r="G157" i="14"/>
  <c r="G140" i="14"/>
  <c r="G40" i="37" s="1"/>
  <c r="G174" i="14"/>
  <c r="G111" i="22"/>
  <c r="G335" i="8"/>
  <c r="G259" i="22"/>
  <c r="G58" i="22"/>
  <c r="G149" i="8" s="1"/>
  <c r="G148" i="8"/>
  <c r="G143" i="14"/>
  <c r="G538" i="14"/>
  <c r="G161" i="14"/>
  <c r="G136" i="22"/>
  <c r="E1488" i="14"/>
  <c r="G225" i="22"/>
  <c r="G301" i="8"/>
  <c r="G305" i="8"/>
  <c r="G229" i="22"/>
  <c r="G648" i="14"/>
  <c r="G144" i="14"/>
  <c r="G158" i="14"/>
  <c r="H171" i="37"/>
  <c r="G262" i="37"/>
  <c r="G618" i="14"/>
  <c r="N309" i="14" l="1"/>
  <c r="N310" i="14"/>
  <c r="L313" i="14"/>
  <c r="L312" i="14"/>
  <c r="G360" i="8"/>
  <c r="G284" i="22"/>
  <c r="G160" i="37" s="1"/>
  <c r="M190" i="37"/>
  <c r="M166" i="14"/>
  <c r="F415" i="14"/>
  <c r="F416" i="14"/>
  <c r="F348" i="14"/>
  <c r="N581" i="14"/>
  <c r="N582" i="14"/>
  <c r="L547" i="14"/>
  <c r="L546" i="14"/>
  <c r="I309" i="14"/>
  <c r="I310" i="14"/>
  <c r="I360" i="8"/>
  <c r="I284" i="22"/>
  <c r="I160" i="37" s="1"/>
  <c r="I1893" i="14"/>
  <c r="J1407" i="14"/>
  <c r="J1456" i="14" s="1"/>
  <c r="J1508" i="14" s="1"/>
  <c r="J1557" i="14" s="1"/>
  <c r="J1606" i="14" s="1"/>
  <c r="J1655" i="14" s="1"/>
  <c r="J1707" i="14" s="1"/>
  <c r="J1756" i="14" s="1"/>
  <c r="J1805" i="14" s="1"/>
  <c r="J1854" i="14" s="1"/>
  <c r="J1896" i="14"/>
  <c r="J1899" i="14" s="1"/>
  <c r="J1900" i="14" s="1"/>
  <c r="K1407" i="14"/>
  <c r="K1456" i="14" s="1"/>
  <c r="K1508" i="14" s="1"/>
  <c r="K1557" i="14" s="1"/>
  <c r="K1606" i="14" s="1"/>
  <c r="K1655" i="14" s="1"/>
  <c r="K1707" i="14" s="1"/>
  <c r="K1756" i="14" s="1"/>
  <c r="K1805" i="14" s="1"/>
  <c r="K1854" i="14" s="1"/>
  <c r="K1896" i="14"/>
  <c r="K1899" i="14" s="1"/>
  <c r="K1900" i="14" s="1"/>
  <c r="H1896" i="14"/>
  <c r="H1899" i="14" s="1"/>
  <c r="H1407" i="14"/>
  <c r="H1456" i="14" s="1"/>
  <c r="H1508" i="14" s="1"/>
  <c r="H1557" i="14" s="1"/>
  <c r="H1606" i="14" s="1"/>
  <c r="H1655" i="14" s="1"/>
  <c r="H1707" i="14" s="1"/>
  <c r="H1756" i="14" s="1"/>
  <c r="H1805" i="14" s="1"/>
  <c r="H1854" i="14" s="1"/>
  <c r="F1709" i="14"/>
  <c r="F1758" i="14" s="1"/>
  <c r="F1807" i="14" s="1"/>
  <c r="F1856" i="14" s="1"/>
  <c r="Q1657" i="14"/>
  <c r="K342" i="14"/>
  <c r="K343" i="14"/>
  <c r="N360" i="8"/>
  <c r="N1893" i="14"/>
  <c r="N284" i="22"/>
  <c r="N160" i="37" s="1"/>
  <c r="F1560" i="14"/>
  <c r="F1609" i="14" s="1"/>
  <c r="F1901" i="14"/>
  <c r="J1560" i="14"/>
  <c r="J1609" i="14" s="1"/>
  <c r="J1658" i="14" s="1"/>
  <c r="J1710" i="14" s="1"/>
  <c r="J1759" i="14" s="1"/>
  <c r="J1808" i="14" s="1"/>
  <c r="J1857" i="14" s="1"/>
  <c r="J1901" i="14"/>
  <c r="N275" i="8"/>
  <c r="N199" i="22"/>
  <c r="L349" i="14"/>
  <c r="L348" i="14"/>
  <c r="K360" i="8"/>
  <c r="K284" i="22"/>
  <c r="K160" i="37" s="1"/>
  <c r="K1893" i="14"/>
  <c r="E880" i="14"/>
  <c r="E929" i="14" s="1"/>
  <c r="E978" i="14" s="1"/>
  <c r="E1027" i="14" s="1"/>
  <c r="E1079" i="14" s="1"/>
  <c r="E1128" i="14" s="1"/>
  <c r="E1177" i="14" s="1"/>
  <c r="E1226" i="14" s="1"/>
  <c r="E1293" i="14" s="1"/>
  <c r="E1342" i="14" s="1"/>
  <c r="E1391" i="14" s="1"/>
  <c r="E1440" i="14" s="1"/>
  <c r="E1492" i="14" s="1"/>
  <c r="E1541" i="14" s="1"/>
  <c r="E1590" i="14" s="1"/>
  <c r="E1639" i="14" s="1"/>
  <c r="E1691" i="14" s="1"/>
  <c r="E1740" i="14" s="1"/>
  <c r="E1789" i="14" s="1"/>
  <c r="E1838" i="14" s="1"/>
  <c r="J880" i="14"/>
  <c r="J929" i="14" s="1"/>
  <c r="J978" i="14" s="1"/>
  <c r="J1027" i="14" s="1"/>
  <c r="J1079" i="14" s="1"/>
  <c r="J1128" i="14" s="1"/>
  <c r="J1177" i="14" s="1"/>
  <c r="J1226" i="14" s="1"/>
  <c r="J1293" i="14" s="1"/>
  <c r="J1342" i="14" s="1"/>
  <c r="J1391" i="14" s="1"/>
  <c r="J1440" i="14" s="1"/>
  <c r="J1492" i="14" s="1"/>
  <c r="J1541" i="14" s="1"/>
  <c r="J1590" i="14" s="1"/>
  <c r="J1639" i="14" s="1"/>
  <c r="J1691" i="14" s="1"/>
  <c r="J1740" i="14" s="1"/>
  <c r="J1789" i="14" s="1"/>
  <c r="J1838" i="14" s="1"/>
  <c r="G880" i="14"/>
  <c r="G929" i="14" s="1"/>
  <c r="G978" i="14" s="1"/>
  <c r="G1027" i="14" s="1"/>
  <c r="G1079" i="14" s="1"/>
  <c r="G1128" i="14" s="1"/>
  <c r="G1177" i="14" s="1"/>
  <c r="G1226" i="14" s="1"/>
  <c r="G1293" i="14" s="1"/>
  <c r="G1342" i="14" s="1"/>
  <c r="G1391" i="14" s="1"/>
  <c r="G1440" i="14" s="1"/>
  <c r="G1492" i="14" s="1"/>
  <c r="G1541" i="14" s="1"/>
  <c r="G1590" i="14" s="1"/>
  <c r="G1639" i="14" s="1"/>
  <c r="G1691" i="14" s="1"/>
  <c r="G1740" i="14" s="1"/>
  <c r="G1789" i="14" s="1"/>
  <c r="G1838" i="14" s="1"/>
  <c r="K880" i="14"/>
  <c r="K929" i="14" s="1"/>
  <c r="K978" i="14" s="1"/>
  <c r="K1027" i="14" s="1"/>
  <c r="K1079" i="14" s="1"/>
  <c r="K1128" i="14" s="1"/>
  <c r="K1177" i="14" s="1"/>
  <c r="K1226" i="14" s="1"/>
  <c r="K1293" i="14" s="1"/>
  <c r="K1342" i="14" s="1"/>
  <c r="K1391" i="14" s="1"/>
  <c r="K1440" i="14" s="1"/>
  <c r="K1492" i="14" s="1"/>
  <c r="K1541" i="14" s="1"/>
  <c r="K1590" i="14" s="1"/>
  <c r="K1639" i="14" s="1"/>
  <c r="K1691" i="14" s="1"/>
  <c r="K1740" i="14" s="1"/>
  <c r="K1789" i="14" s="1"/>
  <c r="K1838" i="14" s="1"/>
  <c r="F880" i="14"/>
  <c r="F929" i="14" s="1"/>
  <c r="F978" i="14" s="1"/>
  <c r="F1027" i="14" s="1"/>
  <c r="F1079" i="14" s="1"/>
  <c r="F1128" i="14" s="1"/>
  <c r="F1177" i="14" s="1"/>
  <c r="F1226" i="14" s="1"/>
  <c r="F1293" i="14" s="1"/>
  <c r="F1342" i="14" s="1"/>
  <c r="F1391" i="14" s="1"/>
  <c r="F1440" i="14" s="1"/>
  <c r="F1492" i="14" s="1"/>
  <c r="F1541" i="14" s="1"/>
  <c r="F1590" i="14" s="1"/>
  <c r="I880" i="14"/>
  <c r="I929" i="14" s="1"/>
  <c r="I978" i="14" s="1"/>
  <c r="I1027" i="14" s="1"/>
  <c r="I1079" i="14" s="1"/>
  <c r="I1128" i="14" s="1"/>
  <c r="I1177" i="14" s="1"/>
  <c r="I1226" i="14" s="1"/>
  <c r="I1293" i="14" s="1"/>
  <c r="I1342" i="14" s="1"/>
  <c r="I1391" i="14" s="1"/>
  <c r="I1440" i="14" s="1"/>
  <c r="I1492" i="14" s="1"/>
  <c r="I1541" i="14" s="1"/>
  <c r="I1590" i="14" s="1"/>
  <c r="I1639" i="14" s="1"/>
  <c r="I1691" i="14" s="1"/>
  <c r="I1740" i="14" s="1"/>
  <c r="I1789" i="14" s="1"/>
  <c r="I1838" i="14" s="1"/>
  <c r="L880" i="14"/>
  <c r="L929" i="14" s="1"/>
  <c r="L978" i="14" s="1"/>
  <c r="L1027" i="14" s="1"/>
  <c r="L1079" i="14" s="1"/>
  <c r="L1128" i="14" s="1"/>
  <c r="L1177" i="14" s="1"/>
  <c r="L1226" i="14" s="1"/>
  <c r="L1293" i="14" s="1"/>
  <c r="L1342" i="14" s="1"/>
  <c r="L1391" i="14" s="1"/>
  <c r="L1440" i="14" s="1"/>
  <c r="L1492" i="14" s="1"/>
  <c r="L1541" i="14" s="1"/>
  <c r="L1590" i="14" s="1"/>
  <c r="L1639" i="14" s="1"/>
  <c r="L1691" i="14" s="1"/>
  <c r="L1740" i="14" s="1"/>
  <c r="L1789" i="14" s="1"/>
  <c r="L1838" i="14" s="1"/>
  <c r="H880" i="14"/>
  <c r="H929" i="14" s="1"/>
  <c r="H978" i="14" s="1"/>
  <c r="H1027" i="14" s="1"/>
  <c r="H1079" i="14" s="1"/>
  <c r="H1128" i="14" s="1"/>
  <c r="H1177" i="14" s="1"/>
  <c r="H1226" i="14" s="1"/>
  <c r="H1293" i="14" s="1"/>
  <c r="H1342" i="14" s="1"/>
  <c r="H1391" i="14" s="1"/>
  <c r="H1440" i="14" s="1"/>
  <c r="H1492" i="14" s="1"/>
  <c r="H1541" i="14" s="1"/>
  <c r="H1590" i="14" s="1"/>
  <c r="H1639" i="14" s="1"/>
  <c r="H1691" i="14" s="1"/>
  <c r="H1740" i="14" s="1"/>
  <c r="H1789" i="14" s="1"/>
  <c r="H1838" i="14" s="1"/>
  <c r="N880" i="14"/>
  <c r="N929" i="14" s="1"/>
  <c r="N978" i="14" s="1"/>
  <c r="N1027" i="14" s="1"/>
  <c r="N1079" i="14" s="1"/>
  <c r="N1128" i="14" s="1"/>
  <c r="N1177" i="14" s="1"/>
  <c r="N1226" i="14" s="1"/>
  <c r="N1293" i="14" s="1"/>
  <c r="N1342" i="14" s="1"/>
  <c r="N1391" i="14" s="1"/>
  <c r="N1440" i="14" s="1"/>
  <c r="N1492" i="14" s="1"/>
  <c r="N1541" i="14" s="1"/>
  <c r="N1590" i="14" s="1"/>
  <c r="N1639" i="14" s="1"/>
  <c r="N1691" i="14" s="1"/>
  <c r="N1740" i="14" s="1"/>
  <c r="N1789" i="14" s="1"/>
  <c r="N1838" i="14" s="1"/>
  <c r="M880" i="14"/>
  <c r="M929" i="14" s="1"/>
  <c r="M978" i="14" s="1"/>
  <c r="M1027" i="14" s="1"/>
  <c r="M1079" i="14" s="1"/>
  <c r="M1128" i="14" s="1"/>
  <c r="M1177" i="14" s="1"/>
  <c r="M1226" i="14" s="1"/>
  <c r="M1293" i="14" s="1"/>
  <c r="M1342" i="14" s="1"/>
  <c r="M1391" i="14" s="1"/>
  <c r="M1440" i="14" s="1"/>
  <c r="M1492" i="14" s="1"/>
  <c r="M1541" i="14" s="1"/>
  <c r="M1590" i="14" s="1"/>
  <c r="M1639" i="14" s="1"/>
  <c r="M1691" i="14" s="1"/>
  <c r="M1740" i="14" s="1"/>
  <c r="M1789" i="14" s="1"/>
  <c r="M1838" i="14" s="1"/>
  <c r="F1863" i="14"/>
  <c r="F1909" i="14"/>
  <c r="J360" i="8"/>
  <c r="J1893" i="14"/>
  <c r="J284" i="22"/>
  <c r="J160" i="37" s="1"/>
  <c r="E200" i="22"/>
  <c r="E276" i="8"/>
  <c r="J309" i="14"/>
  <c r="J310" i="14"/>
  <c r="L428" i="14"/>
  <c r="K428" i="14"/>
  <c r="K429" i="14"/>
  <c r="E267" i="8"/>
  <c r="E191" i="22"/>
  <c r="I161" i="14"/>
  <c r="I143" i="14"/>
  <c r="I44" i="37" s="1"/>
  <c r="I538" i="14"/>
  <c r="J198" i="37"/>
  <c r="L22" i="10"/>
  <c r="G245" i="22"/>
  <c r="H360" i="8"/>
  <c r="H284" i="22"/>
  <c r="H160" i="37" s="1"/>
  <c r="H216" i="22"/>
  <c r="H292" i="8"/>
  <c r="AC308" i="21"/>
  <c r="AD308" i="21" s="1"/>
  <c r="AE308" i="21" s="1"/>
  <c r="M1714" i="14"/>
  <c r="L1714" i="14"/>
  <c r="J1714" i="14"/>
  <c r="I1714" i="14"/>
  <c r="F1714" i="14"/>
  <c r="G1714" i="14"/>
  <c r="H1714" i="14"/>
  <c r="E1714" i="14"/>
  <c r="K1714" i="14"/>
  <c r="N1714" i="14"/>
  <c r="K326" i="8"/>
  <c r="K250" i="22"/>
  <c r="K327" i="8" s="1"/>
  <c r="I312" i="21"/>
  <c r="J280" i="21"/>
  <c r="I278" i="21"/>
  <c r="L1896" i="14"/>
  <c r="L1899" i="14" s="1"/>
  <c r="L1900" i="14" s="1"/>
  <c r="L1407" i="14"/>
  <c r="L1456" i="14" s="1"/>
  <c r="L1508" i="14" s="1"/>
  <c r="L1557" i="14" s="1"/>
  <c r="L1606" i="14" s="1"/>
  <c r="L1655" i="14" s="1"/>
  <c r="L1707" i="14" s="1"/>
  <c r="L1756" i="14" s="1"/>
  <c r="L1805" i="14" s="1"/>
  <c r="L1854" i="14" s="1"/>
  <c r="G1407" i="14"/>
  <c r="G1456" i="14" s="1"/>
  <c r="G1508" i="14" s="1"/>
  <c r="G1557" i="14" s="1"/>
  <c r="G1606" i="14" s="1"/>
  <c r="G1655" i="14" s="1"/>
  <c r="G1707" i="14" s="1"/>
  <c r="G1756" i="14" s="1"/>
  <c r="G1805" i="14" s="1"/>
  <c r="G1854" i="14" s="1"/>
  <c r="G1896" i="14"/>
  <c r="G1899" i="14" s="1"/>
  <c r="H357" i="8"/>
  <c r="H281" i="22"/>
  <c r="H157" i="37" s="1"/>
  <c r="L357" i="8"/>
  <c r="L281" i="22"/>
  <c r="L157" i="37" s="1"/>
  <c r="J342" i="14"/>
  <c r="J343" i="14"/>
  <c r="Q1605" i="14"/>
  <c r="F1654" i="14"/>
  <c r="L1901" i="14"/>
  <c r="L1560" i="14"/>
  <c r="L1609" i="14" s="1"/>
  <c r="L1658" i="14" s="1"/>
  <c r="L1710" i="14" s="1"/>
  <c r="L1759" i="14" s="1"/>
  <c r="L1808" i="14" s="1"/>
  <c r="L1857" i="14" s="1"/>
  <c r="E1560" i="14"/>
  <c r="E1609" i="14" s="1"/>
  <c r="E1658" i="14" s="1"/>
  <c r="E1710" i="14" s="1"/>
  <c r="E1759" i="14" s="1"/>
  <c r="E1808" i="14" s="1"/>
  <c r="E1857" i="14" s="1"/>
  <c r="E1901" i="14"/>
  <c r="N346" i="14"/>
  <c r="M321" i="8"/>
  <c r="I281" i="22"/>
  <c r="I157" i="37" s="1"/>
  <c r="I357" i="8"/>
  <c r="N357" i="8"/>
  <c r="N281" i="22"/>
  <c r="N157" i="37" s="1"/>
  <c r="F540" i="14"/>
  <c r="K277" i="21"/>
  <c r="J286" i="21"/>
  <c r="K286" i="21" s="1"/>
  <c r="L286" i="21" s="1"/>
  <c r="J282" i="21"/>
  <c r="K282" i="21" s="1"/>
  <c r="L282" i="21" s="1"/>
  <c r="M1863" i="14"/>
  <c r="M1909" i="14"/>
  <c r="I1863" i="14"/>
  <c r="I1909" i="14"/>
  <c r="M192" i="22"/>
  <c r="M268" i="8"/>
  <c r="N537" i="14"/>
  <c r="N534" i="14"/>
  <c r="E215" i="22"/>
  <c r="E291" i="8"/>
  <c r="J248" i="22"/>
  <c r="J324" i="8"/>
  <c r="F338" i="8"/>
  <c r="F262" i="22"/>
  <c r="F339" i="8" s="1"/>
  <c r="F278" i="22"/>
  <c r="F148" i="37" s="1"/>
  <c r="F354" i="8"/>
  <c r="J268" i="8"/>
  <c r="J192" i="22"/>
  <c r="Z305" i="21"/>
  <c r="AA305" i="21" s="1"/>
  <c r="AB305" i="21" s="1"/>
  <c r="L1561" i="14"/>
  <c r="E1561" i="14"/>
  <c r="J1561" i="14"/>
  <c r="F1561" i="14"/>
  <c r="G1561" i="14"/>
  <c r="H1561" i="14"/>
  <c r="M1561" i="14"/>
  <c r="I1561" i="14"/>
  <c r="K1561" i="14"/>
  <c r="N1561" i="14"/>
  <c r="L216" i="22"/>
  <c r="L292" i="8"/>
  <c r="I138" i="14"/>
  <c r="I423" i="14"/>
  <c r="I172" i="14"/>
  <c r="I155" i="14"/>
  <c r="K292" i="8"/>
  <c r="K216" i="22"/>
  <c r="K357" i="8"/>
  <c r="K281" i="22"/>
  <c r="K157" i="37" s="1"/>
  <c r="E168" i="14"/>
  <c r="E163" i="14" s="1"/>
  <c r="E164" i="14" s="1"/>
  <c r="E151" i="14"/>
  <c r="E5" i="34" s="1"/>
  <c r="E134" i="14"/>
  <c r="D5" i="34" s="1"/>
  <c r="C5" i="34" s="1"/>
  <c r="B5" i="34" s="1"/>
  <c r="H1901" i="14"/>
  <c r="H1560" i="14"/>
  <c r="H1609" i="14" s="1"/>
  <c r="H1658" i="14" s="1"/>
  <c r="H1710" i="14" s="1"/>
  <c r="H1759" i="14" s="1"/>
  <c r="H1808" i="14" s="1"/>
  <c r="H1857" i="14" s="1"/>
  <c r="N1863" i="14"/>
  <c r="N1909" i="14"/>
  <c r="L617" i="14"/>
  <c r="L618" i="14"/>
  <c r="E284" i="22"/>
  <c r="E160" i="37" s="1"/>
  <c r="E360" i="8"/>
  <c r="H428" i="14"/>
  <c r="F1712" i="14"/>
  <c r="F1761" i="14" s="1"/>
  <c r="F1810" i="14" s="1"/>
  <c r="F1859" i="14" s="1"/>
  <c r="Q1660" i="14"/>
  <c r="M292" i="8"/>
  <c r="M216" i="22"/>
  <c r="E1896" i="14"/>
  <c r="E1899" i="14" s="1"/>
  <c r="E1407" i="14"/>
  <c r="E1456" i="14" s="1"/>
  <c r="E1508" i="14" s="1"/>
  <c r="E1557" i="14" s="1"/>
  <c r="E1606" i="14" s="1"/>
  <c r="E1655" i="14" s="1"/>
  <c r="E1707" i="14" s="1"/>
  <c r="E1756" i="14" s="1"/>
  <c r="E1805" i="14" s="1"/>
  <c r="E1854" i="14" s="1"/>
  <c r="M1896" i="14"/>
  <c r="M1407" i="14"/>
  <c r="M1456" i="14" s="1"/>
  <c r="M1508" i="14" s="1"/>
  <c r="M1557" i="14" s="1"/>
  <c r="M1606" i="14" s="1"/>
  <c r="M1655" i="14" s="1"/>
  <c r="M1707" i="14" s="1"/>
  <c r="M1756" i="14" s="1"/>
  <c r="M1805" i="14" s="1"/>
  <c r="M1854" i="14" s="1"/>
  <c r="J321" i="8"/>
  <c r="J422" i="14"/>
  <c r="J30" i="8"/>
  <c r="J419" i="14"/>
  <c r="F281" i="22"/>
  <c r="F157" i="37" s="1"/>
  <c r="F357" i="8"/>
  <c r="J650" i="14"/>
  <c r="K262" i="22"/>
  <c r="K339" i="8" s="1"/>
  <c r="K338" i="8"/>
  <c r="N268" i="8"/>
  <c r="N192" i="22"/>
  <c r="K1560" i="14"/>
  <c r="K1609" i="14" s="1"/>
  <c r="K1658" i="14" s="1"/>
  <c r="K1710" i="14" s="1"/>
  <c r="K1759" i="14" s="1"/>
  <c r="K1808" i="14" s="1"/>
  <c r="K1857" i="14" s="1"/>
  <c r="K1901" i="14"/>
  <c r="I1560" i="14"/>
  <c r="I1609" i="14" s="1"/>
  <c r="I1658" i="14" s="1"/>
  <c r="I1710" i="14" s="1"/>
  <c r="I1759" i="14" s="1"/>
  <c r="I1808" i="14" s="1"/>
  <c r="I1857" i="14" s="1"/>
  <c r="I1901" i="14"/>
  <c r="L193" i="22"/>
  <c r="L269" i="8"/>
  <c r="M325" i="8"/>
  <c r="M249" i="22"/>
  <c r="M342" i="14"/>
  <c r="I1899" i="14"/>
  <c r="I1900" i="14" s="1"/>
  <c r="M1893" i="14"/>
  <c r="M284" i="22"/>
  <c r="M160" i="37" s="1"/>
  <c r="M360" i="8"/>
  <c r="G1909" i="14"/>
  <c r="G1863" i="14"/>
  <c r="K1863" i="14"/>
  <c r="K1909" i="14"/>
  <c r="E1909" i="14"/>
  <c r="E1863" i="14"/>
  <c r="M309" i="14"/>
  <c r="E357" i="8"/>
  <c r="E281" i="22"/>
  <c r="E157" i="37" s="1"/>
  <c r="E138" i="14"/>
  <c r="D7" i="34" s="1"/>
  <c r="C7" i="34" s="1"/>
  <c r="B7" i="34" s="1"/>
  <c r="E155" i="14"/>
  <c r="E7" i="34" s="1"/>
  <c r="E423" i="14"/>
  <c r="E172" i="14"/>
  <c r="M1899" i="14"/>
  <c r="M1900" i="14" s="1"/>
  <c r="F165" i="8"/>
  <c r="F75" i="22"/>
  <c r="F199" i="22"/>
  <c r="F275" i="8"/>
  <c r="G278" i="22"/>
  <c r="G148" i="37" s="1"/>
  <c r="G354" i="8"/>
  <c r="AC309" i="21"/>
  <c r="I342" i="14"/>
  <c r="F312" i="14"/>
  <c r="F313" i="14" s="1"/>
  <c r="I291" i="8"/>
  <c r="I215" i="22"/>
  <c r="E304" i="14"/>
  <c r="N313" i="8"/>
  <c r="N237" i="22"/>
  <c r="I656" i="14"/>
  <c r="I657" i="14"/>
  <c r="L653" i="14"/>
  <c r="L654" i="14"/>
  <c r="K236" i="22"/>
  <c r="K312" i="8"/>
  <c r="J543" i="14"/>
  <c r="H269" i="8"/>
  <c r="H193" i="22"/>
  <c r="N134" i="14"/>
  <c r="N168" i="14"/>
  <c r="N151" i="14"/>
  <c r="D4" i="34"/>
  <c r="C4" i="34" s="1"/>
  <c r="B4" i="34" s="1"/>
  <c r="E44" i="37"/>
  <c r="G300" i="14"/>
  <c r="L578" i="14"/>
  <c r="L579" i="14" s="1"/>
  <c r="M426" i="14"/>
  <c r="J151" i="14"/>
  <c r="J134" i="14"/>
  <c r="J168" i="14"/>
  <c r="I1407" i="14"/>
  <c r="I1456" i="14" s="1"/>
  <c r="I1508" i="14" s="1"/>
  <c r="I1557" i="14" s="1"/>
  <c r="I1606" i="14" s="1"/>
  <c r="I1655" i="14" s="1"/>
  <c r="I1707" i="14" s="1"/>
  <c r="I1756" i="14" s="1"/>
  <c r="I1805" i="14" s="1"/>
  <c r="I1854" i="14" s="1"/>
  <c r="I1896" i="14"/>
  <c r="N1407" i="14"/>
  <c r="N1456" i="14" s="1"/>
  <c r="N1508" i="14" s="1"/>
  <c r="N1557" i="14" s="1"/>
  <c r="N1606" i="14" s="1"/>
  <c r="N1655" i="14" s="1"/>
  <c r="N1707" i="14" s="1"/>
  <c r="N1756" i="14" s="1"/>
  <c r="N1805" i="14" s="1"/>
  <c r="N1854" i="14" s="1"/>
  <c r="N1896" i="14"/>
  <c r="N1899" i="14" s="1"/>
  <c r="N1900" i="14" s="1"/>
  <c r="F1896" i="14"/>
  <c r="F1899" i="14" s="1"/>
  <c r="F1407" i="14"/>
  <c r="F1456" i="14" s="1"/>
  <c r="F1508" i="14" s="1"/>
  <c r="F1557" i="14" s="1"/>
  <c r="F1606" i="14" s="1"/>
  <c r="J166" i="8"/>
  <c r="J76" i="22"/>
  <c r="E278" i="22"/>
  <c r="E148" i="37" s="1"/>
  <c r="E354" i="8"/>
  <c r="F1651" i="14"/>
  <c r="Q1602" i="14"/>
  <c r="I320" i="8"/>
  <c r="I244" i="22"/>
  <c r="K576" i="14"/>
  <c r="N354" i="8"/>
  <c r="N278" i="22"/>
  <c r="N148" i="37" s="1"/>
  <c r="N1887" i="14"/>
  <c r="G1901" i="14"/>
  <c r="G1560" i="14"/>
  <c r="G1609" i="14" s="1"/>
  <c r="G1658" i="14" s="1"/>
  <c r="G1710" i="14" s="1"/>
  <c r="G1759" i="14" s="1"/>
  <c r="G1808" i="14" s="1"/>
  <c r="G1857" i="14" s="1"/>
  <c r="N1901" i="14"/>
  <c r="N1560" i="14"/>
  <c r="N1609" i="14" s="1"/>
  <c r="N1658" i="14" s="1"/>
  <c r="N1710" i="14" s="1"/>
  <c r="N1759" i="14" s="1"/>
  <c r="N1808" i="14" s="1"/>
  <c r="N1857" i="14" s="1"/>
  <c r="M1560" i="14"/>
  <c r="M1609" i="14" s="1"/>
  <c r="M1658" i="14" s="1"/>
  <c r="M1710" i="14" s="1"/>
  <c r="M1759" i="14" s="1"/>
  <c r="M1808" i="14" s="1"/>
  <c r="M1857" i="14" s="1"/>
  <c r="M1901" i="14"/>
  <c r="N425" i="14"/>
  <c r="N426" i="14"/>
  <c r="M544" i="14"/>
  <c r="L1892" i="14"/>
  <c r="L199" i="22"/>
  <c r="L275" i="8"/>
  <c r="M357" i="8"/>
  <c r="M281" i="22"/>
  <c r="M157" i="37" s="1"/>
  <c r="O32" i="29"/>
  <c r="O31" i="20"/>
  <c r="O24" i="41"/>
  <c r="O25" i="31"/>
  <c r="O26" i="28"/>
  <c r="F44" i="37"/>
  <c r="L1863" i="14"/>
  <c r="L1909" i="14"/>
  <c r="J1863" i="14"/>
  <c r="J1909" i="14"/>
  <c r="H1863" i="14"/>
  <c r="H1909" i="14"/>
  <c r="G357" i="8"/>
  <c r="G281" i="22"/>
  <c r="G157" i="37" s="1"/>
  <c r="E349" i="14"/>
  <c r="H310" i="14"/>
  <c r="H354" i="8"/>
  <c r="H278" i="22"/>
  <c r="H148" i="37" s="1"/>
  <c r="E540" i="14"/>
  <c r="E541" i="14" s="1"/>
  <c r="F1892" i="14"/>
  <c r="N98" i="22"/>
  <c r="N188" i="8"/>
  <c r="F193" i="22"/>
  <c r="F269" i="8"/>
  <c r="J281" i="22"/>
  <c r="J157" i="37" s="1"/>
  <c r="J357" i="8"/>
  <c r="F244" i="22"/>
  <c r="F321" i="8" s="1"/>
  <c r="F320" i="8"/>
  <c r="I323" i="8"/>
  <c r="I247" i="22"/>
  <c r="I261" i="22"/>
  <c r="I337" i="8"/>
  <c r="E251" i="37"/>
  <c r="F55" i="11"/>
  <c r="G55" i="11" s="1"/>
  <c r="J55" i="11" s="1"/>
  <c r="K55" i="11" s="1"/>
  <c r="E12" i="11" s="1"/>
  <c r="B16" i="34"/>
  <c r="E110" i="37"/>
  <c r="F26" i="14"/>
  <c r="F56" i="37" s="1"/>
  <c r="F48" i="10"/>
  <c r="F38" i="46"/>
  <c r="N22" i="10"/>
  <c r="K163" i="14"/>
  <c r="K171" i="37"/>
  <c r="E22" i="10"/>
  <c r="E259" i="37" s="1"/>
  <c r="C6" i="34"/>
  <c r="B6" i="34" s="1"/>
  <c r="I382" i="14"/>
  <c r="I198" i="37"/>
  <c r="K164" i="14"/>
  <c r="K166" i="14" s="1"/>
  <c r="K382" i="14"/>
  <c r="K383" i="14" s="1"/>
  <c r="H280" i="8"/>
  <c r="H204" i="22"/>
  <c r="N385" i="14"/>
  <c r="L385" i="14"/>
  <c r="E382" i="14"/>
  <c r="H383" i="14"/>
  <c r="E198" i="37"/>
  <c r="G22" i="10"/>
  <c r="G117" i="37" s="1"/>
  <c r="J171" i="37"/>
  <c r="K122" i="37"/>
  <c r="J170" i="14"/>
  <c r="J375" i="14"/>
  <c r="J380" i="14" s="1"/>
  <c r="J136" i="14"/>
  <c r="J153" i="14"/>
  <c r="L204" i="22"/>
  <c r="L280" i="8"/>
  <c r="M388" i="14"/>
  <c r="M389" i="14" s="1"/>
  <c r="F280" i="8"/>
  <c r="F204" i="22"/>
  <c r="K198" i="37"/>
  <c r="M198" i="37"/>
  <c r="M185" i="37"/>
  <c r="J203" i="22"/>
  <c r="J279" i="8"/>
  <c r="M281" i="8"/>
  <c r="M205" i="22"/>
  <c r="F383" i="14"/>
  <c r="I171" i="37"/>
  <c r="I22" i="10"/>
  <c r="I259" i="37" s="1"/>
  <c r="F198" i="37"/>
  <c r="L198" i="37"/>
  <c r="H198" i="37"/>
  <c r="L185" i="37"/>
  <c r="I185" i="37"/>
  <c r="J185" i="37"/>
  <c r="F22" i="10"/>
  <c r="I111" i="22"/>
  <c r="I122" i="37" s="1"/>
  <c r="H185" i="37"/>
  <c r="N185" i="37"/>
  <c r="F185" i="37"/>
  <c r="N198" i="37"/>
  <c r="G198" i="37"/>
  <c r="E185" i="37"/>
  <c r="K185" i="37"/>
  <c r="G185" i="37"/>
  <c r="I201" i="8"/>
  <c r="I501" i="14"/>
  <c r="I498" i="14"/>
  <c r="J494" i="14"/>
  <c r="J495" i="14" s="1"/>
  <c r="F174" i="14"/>
  <c r="F140" i="14"/>
  <c r="F502" i="14"/>
  <c r="F157" i="14"/>
  <c r="F201" i="8"/>
  <c r="F111" i="22"/>
  <c r="N498" i="14"/>
  <c r="N501" i="14"/>
  <c r="F305" i="8"/>
  <c r="F229" i="22"/>
  <c r="L1173" i="14"/>
  <c r="N110" i="22"/>
  <c r="N138" i="22" s="1"/>
  <c r="N139" i="22" s="1"/>
  <c r="N200" i="8"/>
  <c r="J199" i="8"/>
  <c r="J109" i="22"/>
  <c r="L507" i="14"/>
  <c r="M507" i="14"/>
  <c r="M508" i="14" s="1"/>
  <c r="M147" i="14"/>
  <c r="M189" i="37"/>
  <c r="H141" i="22"/>
  <c r="L1298" i="14"/>
  <c r="K40" i="37"/>
  <c r="K146" i="14"/>
  <c r="K504" i="14"/>
  <c r="H40" i="37"/>
  <c r="H146" i="14"/>
  <c r="L189" i="37"/>
  <c r="L147" i="14"/>
  <c r="E146" i="14"/>
  <c r="D3" i="34"/>
  <c r="E40" i="37"/>
  <c r="M27" i="28"/>
  <c r="M28" i="28" s="1"/>
  <c r="M25" i="41"/>
  <c r="M26" i="41" s="1"/>
  <c r="M26" i="31"/>
  <c r="M27" i="31" s="1"/>
  <c r="M33" i="29"/>
  <c r="M34" i="29" s="1"/>
  <c r="M32" i="20"/>
  <c r="M33" i="20" s="1"/>
  <c r="E139" i="22"/>
  <c r="K141" i="22"/>
  <c r="H181" i="14"/>
  <c r="H182" i="14" s="1"/>
  <c r="H166" i="14"/>
  <c r="H190" i="37"/>
  <c r="E3" i="34"/>
  <c r="E141" i="22"/>
  <c r="K1184" i="14"/>
  <c r="L306" i="8"/>
  <c r="L230" i="22"/>
  <c r="M230" i="22"/>
  <c r="M306" i="8"/>
  <c r="K190" i="37"/>
  <c r="H1289" i="14"/>
  <c r="H504" i="14"/>
  <c r="H505" i="14" s="1"/>
  <c r="E504" i="14"/>
  <c r="E505" i="14" s="1"/>
  <c r="H176" i="37"/>
  <c r="E176" i="37"/>
  <c r="E257" i="37"/>
  <c r="E115" i="37"/>
  <c r="G168" i="14"/>
  <c r="G151" i="14"/>
  <c r="G134" i="14"/>
  <c r="H115" i="37"/>
  <c r="H257" i="37"/>
  <c r="K115" i="37"/>
  <c r="K176" i="37"/>
  <c r="K257" i="37"/>
  <c r="N1502" i="14"/>
  <c r="G215" i="22"/>
  <c r="G291" i="8"/>
  <c r="G191" i="22"/>
  <c r="G267" i="8"/>
  <c r="G143" i="8"/>
  <c r="G53" i="22"/>
  <c r="L176" i="37"/>
  <c r="L257" i="37"/>
  <c r="L115" i="37"/>
  <c r="G138" i="14"/>
  <c r="G172" i="14"/>
  <c r="G155" i="14"/>
  <c r="G423" i="14"/>
  <c r="F115" i="37"/>
  <c r="F176" i="37"/>
  <c r="F257" i="37"/>
  <c r="M257" i="37"/>
  <c r="M176" i="37"/>
  <c r="M115" i="37"/>
  <c r="G257" i="37"/>
  <c r="G115" i="37"/>
  <c r="G176" i="37"/>
  <c r="M1301" i="14"/>
  <c r="G575" i="14"/>
  <c r="G576" i="14" s="1"/>
  <c r="I257" i="37"/>
  <c r="I115" i="37"/>
  <c r="I176" i="37"/>
  <c r="N257" i="37"/>
  <c r="N115" i="37"/>
  <c r="N176" i="37"/>
  <c r="G304" i="14"/>
  <c r="J257" i="37"/>
  <c r="J115" i="37"/>
  <c r="J176" i="37"/>
  <c r="G77" i="22"/>
  <c r="G167" i="8"/>
  <c r="L259" i="37"/>
  <c r="L117" i="37"/>
  <c r="G44" i="37"/>
  <c r="G153" i="8"/>
  <c r="G63" i="22"/>
  <c r="G226" i="22"/>
  <c r="G303" i="8" s="1"/>
  <c r="G302" i="8"/>
  <c r="H259" i="37"/>
  <c r="H117" i="37"/>
  <c r="G650" i="14"/>
  <c r="G651" i="14" s="1"/>
  <c r="E1537" i="14"/>
  <c r="K259" i="37"/>
  <c r="K117" i="37"/>
  <c r="G504" i="14"/>
  <c r="G505" i="14" s="1"/>
  <c r="J259" i="37"/>
  <c r="J117" i="37"/>
  <c r="G152" i="14"/>
  <c r="G340" i="14"/>
  <c r="G169" i="14"/>
  <c r="G135" i="14"/>
  <c r="G540" i="14"/>
  <c r="G59" i="22"/>
  <c r="N117" i="37"/>
  <c r="N259" i="37"/>
  <c r="G368" i="14"/>
  <c r="G369" i="14" s="1"/>
  <c r="M117" i="37"/>
  <c r="M259" i="37"/>
  <c r="G197" i="22"/>
  <c r="G273" i="8"/>
  <c r="L581" i="14" l="1"/>
  <c r="E543" i="14"/>
  <c r="E544" i="14"/>
  <c r="F195" i="22"/>
  <c r="H312" i="14"/>
  <c r="H313" i="14"/>
  <c r="K578" i="14"/>
  <c r="L1610" i="14"/>
  <c r="L1659" i="14" s="1"/>
  <c r="L1711" i="14" s="1"/>
  <c r="L1760" i="14" s="1"/>
  <c r="L1809" i="14" s="1"/>
  <c r="L1858" i="14" s="1"/>
  <c r="L1902" i="14"/>
  <c r="L1905" i="14" s="1"/>
  <c r="L1906" i="14" s="1"/>
  <c r="J345" i="14"/>
  <c r="N1763" i="14"/>
  <c r="N1812" i="14" s="1"/>
  <c r="N1861" i="14" s="1"/>
  <c r="N1907" i="14"/>
  <c r="G1763" i="14"/>
  <c r="G1812" i="14" s="1"/>
  <c r="G1861" i="14" s="1"/>
  <c r="G1907" i="14"/>
  <c r="L1907" i="14"/>
  <c r="L1763" i="14"/>
  <c r="L1812" i="14" s="1"/>
  <c r="L1861" i="14" s="1"/>
  <c r="K432" i="14"/>
  <c r="K431" i="14"/>
  <c r="J312" i="14"/>
  <c r="Q1609" i="14"/>
  <c r="F1658" i="14"/>
  <c r="K346" i="14"/>
  <c r="K345" i="14"/>
  <c r="F200" i="22"/>
  <c r="F276" i="8"/>
  <c r="F20" i="8"/>
  <c r="F110" i="37" s="1"/>
  <c r="M546" i="14"/>
  <c r="M547" i="14"/>
  <c r="I245" i="22"/>
  <c r="I321" i="8"/>
  <c r="J77" i="22"/>
  <c r="J167" i="8"/>
  <c r="L261" i="22"/>
  <c r="L337" i="8"/>
  <c r="J423" i="14"/>
  <c r="J155" i="14"/>
  <c r="J172" i="14"/>
  <c r="J138" i="14"/>
  <c r="L244" i="22"/>
  <c r="L320" i="8"/>
  <c r="F245" i="22"/>
  <c r="I1610" i="14"/>
  <c r="I1659" i="14" s="1"/>
  <c r="I1711" i="14" s="1"/>
  <c r="I1760" i="14" s="1"/>
  <c r="I1809" i="14" s="1"/>
  <c r="I1858" i="14" s="1"/>
  <c r="I1902" i="14"/>
  <c r="I1905" i="14" s="1"/>
  <c r="I1906" i="14" s="1"/>
  <c r="F1610" i="14"/>
  <c r="F1902" i="14"/>
  <c r="L277" i="21"/>
  <c r="K287" i="21"/>
  <c r="L287" i="21" s="1"/>
  <c r="K283" i="21"/>
  <c r="L283" i="21" s="1"/>
  <c r="N348" i="14"/>
  <c r="J274" i="8"/>
  <c r="J198" i="22"/>
  <c r="K1763" i="14"/>
  <c r="K1812" i="14" s="1"/>
  <c r="K1861" i="14" s="1"/>
  <c r="K1907" i="14"/>
  <c r="F1763" i="14"/>
  <c r="F1812" i="14" s="1"/>
  <c r="F1861" i="14" s="1"/>
  <c r="F1907" i="14"/>
  <c r="M1907" i="14"/>
  <c r="M1763" i="14"/>
  <c r="M1812" i="14" s="1"/>
  <c r="M1861" i="14" s="1"/>
  <c r="K217" i="22"/>
  <c r="K293" i="8"/>
  <c r="J269" i="8"/>
  <c r="J193" i="22"/>
  <c r="L200" i="22"/>
  <c r="L201" i="22" s="1"/>
  <c r="L276" i="8"/>
  <c r="J1905" i="14"/>
  <c r="J1906" i="14" s="1"/>
  <c r="K198" i="22"/>
  <c r="K274" i="8"/>
  <c r="I312" i="14"/>
  <c r="F30" i="8"/>
  <c r="F419" i="14"/>
  <c r="F422" i="14"/>
  <c r="K251" i="22"/>
  <c r="L284" i="22"/>
  <c r="L160" i="37" s="1"/>
  <c r="L1893" i="14"/>
  <c r="L360" i="8"/>
  <c r="F1703" i="14"/>
  <c r="F1752" i="14" s="1"/>
  <c r="F1801" i="14" s="1"/>
  <c r="F1850" i="14" s="1"/>
  <c r="Q1651" i="14"/>
  <c r="J249" i="22"/>
  <c r="J325" i="8"/>
  <c r="N428" i="14"/>
  <c r="N429" i="14"/>
  <c r="M428" i="14"/>
  <c r="L237" i="22"/>
  <c r="L313" i="8"/>
  <c r="E306" i="14"/>
  <c r="F270" i="8"/>
  <c r="F194" i="22"/>
  <c r="F271" i="8" s="1"/>
  <c r="AD309" i="21"/>
  <c r="AE309" i="21" s="1"/>
  <c r="M1764" i="14"/>
  <c r="E1764" i="14"/>
  <c r="T17" i="28" s="1"/>
  <c r="H1764" i="14"/>
  <c r="F1764" i="14"/>
  <c r="I1764" i="14"/>
  <c r="J1764" i="14"/>
  <c r="G1764" i="14"/>
  <c r="L1764" i="14"/>
  <c r="N1764" i="14"/>
  <c r="K1764" i="14"/>
  <c r="H217" i="22"/>
  <c r="H293" i="8"/>
  <c r="M1902" i="14"/>
  <c r="M1905" i="14" s="1"/>
  <c r="M1906" i="14" s="1"/>
  <c r="M1610" i="14"/>
  <c r="M1659" i="14" s="1"/>
  <c r="M1711" i="14" s="1"/>
  <c r="M1760" i="14" s="1"/>
  <c r="M1809" i="14" s="1"/>
  <c r="M1858" i="14" s="1"/>
  <c r="J1610" i="14"/>
  <c r="J1659" i="14" s="1"/>
  <c r="J1711" i="14" s="1"/>
  <c r="J1760" i="14" s="1"/>
  <c r="J1809" i="14" s="1"/>
  <c r="J1858" i="14" s="1"/>
  <c r="J1902" i="14"/>
  <c r="F263" i="22"/>
  <c r="F324" i="8"/>
  <c r="F248" i="22"/>
  <c r="K263" i="22"/>
  <c r="F1706" i="14"/>
  <c r="F1755" i="14" s="1"/>
  <c r="F1804" i="14" s="1"/>
  <c r="F1853" i="14" s="1"/>
  <c r="Q1654" i="14"/>
  <c r="K280" i="21"/>
  <c r="J312" i="21"/>
  <c r="J278" i="21"/>
  <c r="E1907" i="14"/>
  <c r="T15" i="41"/>
  <c r="E1763" i="14"/>
  <c r="E1812" i="14" s="1"/>
  <c r="E1861" i="14" s="1"/>
  <c r="T22" i="20"/>
  <c r="I1907" i="14"/>
  <c r="I1763" i="14"/>
  <c r="I1812" i="14" s="1"/>
  <c r="I1861" i="14" s="1"/>
  <c r="L293" i="8"/>
  <c r="L217" i="22"/>
  <c r="I269" i="8"/>
  <c r="I193" i="22"/>
  <c r="N314" i="8"/>
  <c r="N238" i="22"/>
  <c r="N315" i="8" s="1"/>
  <c r="F76" i="22"/>
  <c r="F138" i="22" s="1"/>
  <c r="F139" i="22" s="1"/>
  <c r="F166" i="8"/>
  <c r="N312" i="14"/>
  <c r="N313" i="14" s="1"/>
  <c r="E248" i="22"/>
  <c r="E324" i="8"/>
  <c r="L656" i="14"/>
  <c r="I198" i="22"/>
  <c r="I274" i="8"/>
  <c r="E425" i="14"/>
  <c r="E426" i="14"/>
  <c r="M193" i="22"/>
  <c r="M269" i="8"/>
  <c r="M274" i="8"/>
  <c r="M198" i="22"/>
  <c r="J260" i="22"/>
  <c r="J336" i="8"/>
  <c r="K1902" i="14"/>
  <c r="K1905" i="14" s="1"/>
  <c r="K1906" i="14" s="1"/>
  <c r="K1610" i="14"/>
  <c r="K1659" i="14" s="1"/>
  <c r="K1711" i="14" s="1"/>
  <c r="K1760" i="14" s="1"/>
  <c r="K1809" i="14" s="1"/>
  <c r="K1858" i="14" s="1"/>
  <c r="G1902" i="14"/>
  <c r="G1610" i="14"/>
  <c r="G1659" i="14" s="1"/>
  <c r="G1711" i="14" s="1"/>
  <c r="G1760" i="14" s="1"/>
  <c r="G1809" i="14" s="1"/>
  <c r="G1858" i="14" s="1"/>
  <c r="N323" i="8"/>
  <c r="N247" i="22"/>
  <c r="M286" i="21"/>
  <c r="E881" i="14"/>
  <c r="E930" i="14" s="1"/>
  <c r="E979" i="14" s="1"/>
  <c r="E1028" i="14" s="1"/>
  <c r="E1080" i="14" s="1"/>
  <c r="E1129" i="14" s="1"/>
  <c r="E1178" i="14" s="1"/>
  <c r="E1227" i="14" s="1"/>
  <c r="E1294" i="14" s="1"/>
  <c r="E1343" i="14" s="1"/>
  <c r="E1392" i="14" s="1"/>
  <c r="E1441" i="14" s="1"/>
  <c r="E1493" i="14" s="1"/>
  <c r="E1542" i="14" s="1"/>
  <c r="E1591" i="14" s="1"/>
  <c r="E1640" i="14" s="1"/>
  <c r="E1692" i="14" s="1"/>
  <c r="E1741" i="14" s="1"/>
  <c r="E1790" i="14" s="1"/>
  <c r="E1839" i="14" s="1"/>
  <c r="I881" i="14"/>
  <c r="I930" i="14" s="1"/>
  <c r="I979" i="14" s="1"/>
  <c r="I1028" i="14" s="1"/>
  <c r="I1080" i="14" s="1"/>
  <c r="I1129" i="14" s="1"/>
  <c r="I1178" i="14" s="1"/>
  <c r="I1227" i="14" s="1"/>
  <c r="I1294" i="14" s="1"/>
  <c r="I1343" i="14" s="1"/>
  <c r="I1392" i="14" s="1"/>
  <c r="I1441" i="14" s="1"/>
  <c r="I1493" i="14" s="1"/>
  <c r="I1542" i="14" s="1"/>
  <c r="I1591" i="14" s="1"/>
  <c r="I1640" i="14" s="1"/>
  <c r="I1692" i="14" s="1"/>
  <c r="I1741" i="14" s="1"/>
  <c r="I1790" i="14" s="1"/>
  <c r="I1839" i="14" s="1"/>
  <c r="L881" i="14"/>
  <c r="L930" i="14" s="1"/>
  <c r="L979" i="14" s="1"/>
  <c r="L1028" i="14" s="1"/>
  <c r="L1080" i="14" s="1"/>
  <c r="L1129" i="14" s="1"/>
  <c r="L1178" i="14" s="1"/>
  <c r="L1227" i="14" s="1"/>
  <c r="L1294" i="14" s="1"/>
  <c r="L1343" i="14" s="1"/>
  <c r="L1392" i="14" s="1"/>
  <c r="L1441" i="14" s="1"/>
  <c r="L1493" i="14" s="1"/>
  <c r="L1542" i="14" s="1"/>
  <c r="L1591" i="14" s="1"/>
  <c r="L1640" i="14" s="1"/>
  <c r="L1692" i="14" s="1"/>
  <c r="L1741" i="14" s="1"/>
  <c r="L1790" i="14" s="1"/>
  <c r="L1839" i="14" s="1"/>
  <c r="G881" i="14"/>
  <c r="G930" i="14" s="1"/>
  <c r="G979" i="14" s="1"/>
  <c r="G1028" i="14" s="1"/>
  <c r="G1080" i="14" s="1"/>
  <c r="G1129" i="14" s="1"/>
  <c r="G1178" i="14" s="1"/>
  <c r="G1227" i="14" s="1"/>
  <c r="G1294" i="14" s="1"/>
  <c r="G1343" i="14" s="1"/>
  <c r="G1392" i="14" s="1"/>
  <c r="G1441" i="14" s="1"/>
  <c r="G1493" i="14" s="1"/>
  <c r="G1542" i="14" s="1"/>
  <c r="G1591" i="14" s="1"/>
  <c r="G1640" i="14" s="1"/>
  <c r="G1692" i="14" s="1"/>
  <c r="G1741" i="14" s="1"/>
  <c r="G1790" i="14" s="1"/>
  <c r="G1839" i="14" s="1"/>
  <c r="N881" i="14"/>
  <c r="N930" i="14" s="1"/>
  <c r="N979" i="14" s="1"/>
  <c r="N1028" i="14" s="1"/>
  <c r="N1080" i="14" s="1"/>
  <c r="N1129" i="14" s="1"/>
  <c r="N1178" i="14" s="1"/>
  <c r="N1227" i="14" s="1"/>
  <c r="N1294" i="14" s="1"/>
  <c r="N1343" i="14" s="1"/>
  <c r="N1392" i="14" s="1"/>
  <c r="N1441" i="14" s="1"/>
  <c r="N1493" i="14" s="1"/>
  <c r="N1542" i="14" s="1"/>
  <c r="N1591" i="14" s="1"/>
  <c r="N1640" i="14" s="1"/>
  <c r="N1692" i="14" s="1"/>
  <c r="N1741" i="14" s="1"/>
  <c r="N1790" i="14" s="1"/>
  <c r="N1839" i="14" s="1"/>
  <c r="M881" i="14"/>
  <c r="M930" i="14" s="1"/>
  <c r="M979" i="14" s="1"/>
  <c r="M1028" i="14" s="1"/>
  <c r="M1080" i="14" s="1"/>
  <c r="M1129" i="14" s="1"/>
  <c r="M1178" i="14" s="1"/>
  <c r="M1227" i="14" s="1"/>
  <c r="M1294" i="14" s="1"/>
  <c r="M1343" i="14" s="1"/>
  <c r="M1392" i="14" s="1"/>
  <c r="M1441" i="14" s="1"/>
  <c r="M1493" i="14" s="1"/>
  <c r="M1542" i="14" s="1"/>
  <c r="M1591" i="14" s="1"/>
  <c r="M1640" i="14" s="1"/>
  <c r="M1692" i="14" s="1"/>
  <c r="M1741" i="14" s="1"/>
  <c r="M1790" i="14" s="1"/>
  <c r="M1839" i="14" s="1"/>
  <c r="F881" i="14"/>
  <c r="F930" i="14" s="1"/>
  <c r="F979" i="14" s="1"/>
  <c r="F1028" i="14" s="1"/>
  <c r="F1080" i="14" s="1"/>
  <c r="F1129" i="14" s="1"/>
  <c r="F1178" i="14" s="1"/>
  <c r="F1227" i="14" s="1"/>
  <c r="F1294" i="14" s="1"/>
  <c r="F1343" i="14" s="1"/>
  <c r="F1392" i="14" s="1"/>
  <c r="F1441" i="14" s="1"/>
  <c r="F1493" i="14" s="1"/>
  <c r="F1542" i="14" s="1"/>
  <c r="F1591" i="14" s="1"/>
  <c r="J881" i="14"/>
  <c r="J930" i="14" s="1"/>
  <c r="J979" i="14" s="1"/>
  <c r="J1028" i="14" s="1"/>
  <c r="J1080" i="14" s="1"/>
  <c r="J1129" i="14" s="1"/>
  <c r="J1178" i="14" s="1"/>
  <c r="J1227" i="14" s="1"/>
  <c r="J1294" i="14" s="1"/>
  <c r="J1343" i="14" s="1"/>
  <c r="J1392" i="14" s="1"/>
  <c r="J1441" i="14" s="1"/>
  <c r="J1493" i="14" s="1"/>
  <c r="J1542" i="14" s="1"/>
  <c r="J1591" i="14" s="1"/>
  <c r="J1640" i="14" s="1"/>
  <c r="J1692" i="14" s="1"/>
  <c r="J1741" i="14" s="1"/>
  <c r="J1790" i="14" s="1"/>
  <c r="J1839" i="14" s="1"/>
  <c r="H881" i="14"/>
  <c r="H930" i="14" s="1"/>
  <c r="H979" i="14" s="1"/>
  <c r="H1028" i="14" s="1"/>
  <c r="H1080" i="14" s="1"/>
  <c r="H1129" i="14" s="1"/>
  <c r="H1178" i="14" s="1"/>
  <c r="H1227" i="14" s="1"/>
  <c r="H1294" i="14" s="1"/>
  <c r="H1343" i="14" s="1"/>
  <c r="H1392" i="14" s="1"/>
  <c r="H1441" i="14" s="1"/>
  <c r="H1493" i="14" s="1"/>
  <c r="H1542" i="14" s="1"/>
  <c r="H1591" i="14" s="1"/>
  <c r="H1640" i="14" s="1"/>
  <c r="H1692" i="14" s="1"/>
  <c r="H1741" i="14" s="1"/>
  <c r="H1790" i="14" s="1"/>
  <c r="H1839" i="14" s="1"/>
  <c r="K881" i="14"/>
  <c r="K930" i="14" s="1"/>
  <c r="K979" i="14" s="1"/>
  <c r="K1028" i="14" s="1"/>
  <c r="K1080" i="14" s="1"/>
  <c r="K1129" i="14" s="1"/>
  <c r="K1178" i="14" s="1"/>
  <c r="K1227" i="14" s="1"/>
  <c r="K1294" i="14" s="1"/>
  <c r="K1343" i="14" s="1"/>
  <c r="K1392" i="14" s="1"/>
  <c r="K1441" i="14" s="1"/>
  <c r="K1493" i="14" s="1"/>
  <c r="K1542" i="14" s="1"/>
  <c r="K1591" i="14" s="1"/>
  <c r="K1640" i="14" s="1"/>
  <c r="K1692" i="14" s="1"/>
  <c r="K1741" i="14" s="1"/>
  <c r="K1790" i="14" s="1"/>
  <c r="K1839" i="14" s="1"/>
  <c r="Q1590" i="14"/>
  <c r="F1639" i="14"/>
  <c r="F284" i="22"/>
  <c r="F160" i="37" s="1"/>
  <c r="F360" i="8"/>
  <c r="N216" i="22"/>
  <c r="N292" i="8"/>
  <c r="G1905" i="14"/>
  <c r="F1655" i="14"/>
  <c r="Q1606" i="14"/>
  <c r="J544" i="14"/>
  <c r="I338" i="8"/>
  <c r="I262" i="22"/>
  <c r="I263" i="22" s="1"/>
  <c r="I343" i="14"/>
  <c r="F137" i="22"/>
  <c r="M310" i="14"/>
  <c r="M343" i="14"/>
  <c r="J651" i="14"/>
  <c r="J291" i="8"/>
  <c r="J215" i="22"/>
  <c r="H429" i="14"/>
  <c r="I426" i="14"/>
  <c r="I425" i="14"/>
  <c r="N1610" i="14"/>
  <c r="N1659" i="14" s="1"/>
  <c r="N1711" i="14" s="1"/>
  <c r="N1760" i="14" s="1"/>
  <c r="N1809" i="14" s="1"/>
  <c r="N1858" i="14" s="1"/>
  <c r="N1902" i="14"/>
  <c r="N1905" i="14" s="1"/>
  <c r="N1906" i="14" s="1"/>
  <c r="H1610" i="14"/>
  <c r="H1659" i="14" s="1"/>
  <c r="H1711" i="14" s="1"/>
  <c r="H1760" i="14" s="1"/>
  <c r="H1809" i="14" s="1"/>
  <c r="H1858" i="14" s="1"/>
  <c r="H1902" i="14"/>
  <c r="H1905" i="14" s="1"/>
  <c r="E1610" i="14"/>
  <c r="E1659" i="14" s="1"/>
  <c r="E1711" i="14" s="1"/>
  <c r="E1760" i="14" s="1"/>
  <c r="E1809" i="14" s="1"/>
  <c r="E1858" i="14" s="1"/>
  <c r="E1902" i="14"/>
  <c r="E1905" i="14" s="1"/>
  <c r="N538" i="14"/>
  <c r="N161" i="14"/>
  <c r="N143" i="14"/>
  <c r="N44" i="37" s="1"/>
  <c r="M282" i="21"/>
  <c r="G877" i="14"/>
  <c r="G926" i="14" s="1"/>
  <c r="G975" i="14" s="1"/>
  <c r="G1024" i="14" s="1"/>
  <c r="G1076" i="14" s="1"/>
  <c r="G1125" i="14" s="1"/>
  <c r="G1174" i="14" s="1"/>
  <c r="G1223" i="14" s="1"/>
  <c r="G1290" i="14" s="1"/>
  <c r="G1339" i="14" s="1"/>
  <c r="G1388" i="14" s="1"/>
  <c r="G1437" i="14" s="1"/>
  <c r="G1489" i="14" s="1"/>
  <c r="G1538" i="14" s="1"/>
  <c r="G1587" i="14" s="1"/>
  <c r="G1636" i="14" s="1"/>
  <c r="G1688" i="14" s="1"/>
  <c r="G1737" i="14" s="1"/>
  <c r="G1786" i="14" s="1"/>
  <c r="G1835" i="14" s="1"/>
  <c r="J877" i="14"/>
  <c r="J926" i="14" s="1"/>
  <c r="J975" i="14" s="1"/>
  <c r="J1024" i="14" s="1"/>
  <c r="J1076" i="14" s="1"/>
  <c r="J1125" i="14" s="1"/>
  <c r="J1174" i="14" s="1"/>
  <c r="J1223" i="14" s="1"/>
  <c r="J1290" i="14" s="1"/>
  <c r="J1339" i="14" s="1"/>
  <c r="J1388" i="14" s="1"/>
  <c r="J1437" i="14" s="1"/>
  <c r="J1489" i="14" s="1"/>
  <c r="J1538" i="14" s="1"/>
  <c r="J1587" i="14" s="1"/>
  <c r="J1636" i="14" s="1"/>
  <c r="J1688" i="14" s="1"/>
  <c r="J1737" i="14" s="1"/>
  <c r="J1786" i="14" s="1"/>
  <c r="J1835" i="14" s="1"/>
  <c r="F877" i="14"/>
  <c r="F926" i="14" s="1"/>
  <c r="F975" i="14" s="1"/>
  <c r="F1024" i="14" s="1"/>
  <c r="F1076" i="14" s="1"/>
  <c r="F1125" i="14" s="1"/>
  <c r="F1174" i="14" s="1"/>
  <c r="F1223" i="14" s="1"/>
  <c r="F1290" i="14" s="1"/>
  <c r="F1339" i="14" s="1"/>
  <c r="F1388" i="14" s="1"/>
  <c r="F1437" i="14" s="1"/>
  <c r="F1489" i="14" s="1"/>
  <c r="F1538" i="14" s="1"/>
  <c r="F1587" i="14" s="1"/>
  <c r="K877" i="14"/>
  <c r="K926" i="14" s="1"/>
  <c r="K975" i="14" s="1"/>
  <c r="K1024" i="14" s="1"/>
  <c r="K1076" i="14" s="1"/>
  <c r="K1125" i="14" s="1"/>
  <c r="K1174" i="14" s="1"/>
  <c r="K1223" i="14" s="1"/>
  <c r="K1290" i="14" s="1"/>
  <c r="K1339" i="14" s="1"/>
  <c r="K1388" i="14" s="1"/>
  <c r="K1437" i="14" s="1"/>
  <c r="K1489" i="14" s="1"/>
  <c r="K1538" i="14" s="1"/>
  <c r="K1587" i="14" s="1"/>
  <c r="K1636" i="14" s="1"/>
  <c r="K1688" i="14" s="1"/>
  <c r="K1737" i="14" s="1"/>
  <c r="K1786" i="14" s="1"/>
  <c r="K1835" i="14" s="1"/>
  <c r="I877" i="14"/>
  <c r="I926" i="14" s="1"/>
  <c r="I975" i="14" s="1"/>
  <c r="I1024" i="14" s="1"/>
  <c r="I1076" i="14" s="1"/>
  <c r="I1125" i="14" s="1"/>
  <c r="I1174" i="14" s="1"/>
  <c r="I1223" i="14" s="1"/>
  <c r="I1290" i="14" s="1"/>
  <c r="I1339" i="14" s="1"/>
  <c r="I1388" i="14" s="1"/>
  <c r="I1437" i="14" s="1"/>
  <c r="I1489" i="14" s="1"/>
  <c r="I1538" i="14" s="1"/>
  <c r="I1587" i="14" s="1"/>
  <c r="I1636" i="14" s="1"/>
  <c r="I1688" i="14" s="1"/>
  <c r="I1737" i="14" s="1"/>
  <c r="I1786" i="14" s="1"/>
  <c r="I1835" i="14" s="1"/>
  <c r="H877" i="14"/>
  <c r="H926" i="14" s="1"/>
  <c r="H975" i="14" s="1"/>
  <c r="H1024" i="14" s="1"/>
  <c r="H1076" i="14" s="1"/>
  <c r="H1125" i="14" s="1"/>
  <c r="H1174" i="14" s="1"/>
  <c r="H1223" i="14" s="1"/>
  <c r="H1290" i="14" s="1"/>
  <c r="H1339" i="14" s="1"/>
  <c r="H1388" i="14" s="1"/>
  <c r="H1437" i="14" s="1"/>
  <c r="H1489" i="14" s="1"/>
  <c r="H1538" i="14" s="1"/>
  <c r="H1587" i="14" s="1"/>
  <c r="H1636" i="14" s="1"/>
  <c r="H1688" i="14" s="1"/>
  <c r="H1737" i="14" s="1"/>
  <c r="H1786" i="14" s="1"/>
  <c r="H1835" i="14" s="1"/>
  <c r="L877" i="14"/>
  <c r="L926" i="14" s="1"/>
  <c r="L975" i="14" s="1"/>
  <c r="L1024" i="14" s="1"/>
  <c r="L1076" i="14" s="1"/>
  <c r="L1125" i="14" s="1"/>
  <c r="L1174" i="14" s="1"/>
  <c r="L1223" i="14" s="1"/>
  <c r="L1290" i="14" s="1"/>
  <c r="L1339" i="14" s="1"/>
  <c r="L1388" i="14" s="1"/>
  <c r="L1437" i="14" s="1"/>
  <c r="L1489" i="14" s="1"/>
  <c r="L1538" i="14" s="1"/>
  <c r="L1587" i="14" s="1"/>
  <c r="L1636" i="14" s="1"/>
  <c r="L1688" i="14" s="1"/>
  <c r="L1737" i="14" s="1"/>
  <c r="L1786" i="14" s="1"/>
  <c r="L1835" i="14" s="1"/>
  <c r="E877" i="14"/>
  <c r="E926" i="14" s="1"/>
  <c r="E975" i="14" s="1"/>
  <c r="E1024" i="14" s="1"/>
  <c r="E1076" i="14" s="1"/>
  <c r="E1125" i="14" s="1"/>
  <c r="E1174" i="14" s="1"/>
  <c r="E1223" i="14" s="1"/>
  <c r="E1290" i="14" s="1"/>
  <c r="E1339" i="14" s="1"/>
  <c r="E1388" i="14" s="1"/>
  <c r="E1437" i="14" s="1"/>
  <c r="E1489" i="14" s="1"/>
  <c r="E1538" i="14" s="1"/>
  <c r="E1587" i="14" s="1"/>
  <c r="E1636" i="14" s="1"/>
  <c r="E1688" i="14" s="1"/>
  <c r="E1737" i="14" s="1"/>
  <c r="E1786" i="14" s="1"/>
  <c r="E1835" i="14" s="1"/>
  <c r="N877" i="14"/>
  <c r="N926" i="14" s="1"/>
  <c r="N975" i="14" s="1"/>
  <c r="N1024" i="14" s="1"/>
  <c r="N1076" i="14" s="1"/>
  <c r="N1125" i="14" s="1"/>
  <c r="N1174" i="14" s="1"/>
  <c r="N1223" i="14" s="1"/>
  <c r="N1290" i="14" s="1"/>
  <c r="N1339" i="14" s="1"/>
  <c r="N1388" i="14" s="1"/>
  <c r="N1437" i="14" s="1"/>
  <c r="N1489" i="14" s="1"/>
  <c r="N1538" i="14" s="1"/>
  <c r="N1587" i="14" s="1"/>
  <c r="N1636" i="14" s="1"/>
  <c r="N1688" i="14" s="1"/>
  <c r="N1737" i="14" s="1"/>
  <c r="N1786" i="14" s="1"/>
  <c r="N1835" i="14" s="1"/>
  <c r="M877" i="14"/>
  <c r="M926" i="14" s="1"/>
  <c r="M975" i="14" s="1"/>
  <c r="M1024" i="14" s="1"/>
  <c r="M1076" i="14" s="1"/>
  <c r="M1125" i="14" s="1"/>
  <c r="M1174" i="14" s="1"/>
  <c r="M1223" i="14" s="1"/>
  <c r="M1290" i="14" s="1"/>
  <c r="M1339" i="14" s="1"/>
  <c r="M1388" i="14" s="1"/>
  <c r="M1437" i="14" s="1"/>
  <c r="M1489" i="14" s="1"/>
  <c r="M1538" i="14" s="1"/>
  <c r="M1587" i="14" s="1"/>
  <c r="M1636" i="14" s="1"/>
  <c r="M1688" i="14" s="1"/>
  <c r="M1737" i="14" s="1"/>
  <c r="M1786" i="14" s="1"/>
  <c r="M1835" i="14" s="1"/>
  <c r="F541" i="14"/>
  <c r="H1907" i="14"/>
  <c r="H1763" i="14"/>
  <c r="H1812" i="14" s="1"/>
  <c r="H1861" i="14" s="1"/>
  <c r="J1763" i="14"/>
  <c r="J1812" i="14" s="1"/>
  <c r="J1861" i="14" s="1"/>
  <c r="J1907" i="14"/>
  <c r="I540" i="14"/>
  <c r="L429" i="14"/>
  <c r="E201" i="22"/>
  <c r="E277" i="8"/>
  <c r="F1905" i="14"/>
  <c r="L250" i="22"/>
  <c r="L326" i="8"/>
  <c r="F349" i="14"/>
  <c r="L270" i="8"/>
  <c r="L194" i="22"/>
  <c r="L195" i="22" s="1"/>
  <c r="N193" i="22"/>
  <c r="N269" i="8"/>
  <c r="C4" i="42"/>
  <c r="C4" i="28"/>
  <c r="C4" i="20"/>
  <c r="C4" i="31"/>
  <c r="C4" i="29"/>
  <c r="C4" i="41"/>
  <c r="H72" i="10"/>
  <c r="H12" i="10" s="1"/>
  <c r="O48" i="10"/>
  <c r="L72" i="10"/>
  <c r="L12" i="10" s="1"/>
  <c r="J66" i="10"/>
  <c r="E66" i="10"/>
  <c r="E72" i="10"/>
  <c r="E12" i="10" s="1"/>
  <c r="F72" i="10"/>
  <c r="F12" i="10" s="1"/>
  <c r="M72" i="10"/>
  <c r="M12" i="10" s="1"/>
  <c r="N66" i="10"/>
  <c r="H66" i="10"/>
  <c r="K72" i="10"/>
  <c r="K12" i="10" s="1"/>
  <c r="G66" i="10"/>
  <c r="F66" i="10"/>
  <c r="L66" i="10"/>
  <c r="I66" i="10"/>
  <c r="K66" i="10"/>
  <c r="N72" i="10"/>
  <c r="N12" i="10" s="1"/>
  <c r="G72" i="10"/>
  <c r="G12" i="10" s="1"/>
  <c r="I72" i="10"/>
  <c r="I12" i="10" s="1"/>
  <c r="M66" i="10"/>
  <c r="J72" i="10"/>
  <c r="J12" i="10" s="1"/>
  <c r="E117" i="37"/>
  <c r="I117" i="37"/>
  <c r="G259" i="37"/>
  <c r="F178" i="37"/>
  <c r="G178" i="37"/>
  <c r="F259" i="37"/>
  <c r="E178" i="37"/>
  <c r="I178" i="37"/>
  <c r="F117" i="37"/>
  <c r="L178" i="37"/>
  <c r="M178" i="37"/>
  <c r="N178" i="37"/>
  <c r="H178" i="37"/>
  <c r="J178" i="37"/>
  <c r="K178" i="37"/>
  <c r="M206" i="22"/>
  <c r="M283" i="8" s="1"/>
  <c r="M282" i="8"/>
  <c r="E204" i="22"/>
  <c r="E280" i="8"/>
  <c r="I204" i="22"/>
  <c r="I280" i="8"/>
  <c r="H385" i="14"/>
  <c r="H386" i="14" s="1"/>
  <c r="I199" i="37"/>
  <c r="F385" i="14"/>
  <c r="F386" i="14" s="1"/>
  <c r="E383" i="14"/>
  <c r="I383" i="14"/>
  <c r="L281" i="8"/>
  <c r="L205" i="22"/>
  <c r="N205" i="22"/>
  <c r="N281" i="8"/>
  <c r="K385" i="14"/>
  <c r="K386" i="14" s="1"/>
  <c r="J382" i="14"/>
  <c r="L386" i="14"/>
  <c r="N386" i="14"/>
  <c r="K280" i="8"/>
  <c r="K204" i="22"/>
  <c r="L199" i="37"/>
  <c r="K199" i="37"/>
  <c r="F199" i="37"/>
  <c r="G199" i="37"/>
  <c r="M199" i="37"/>
  <c r="E199" i="37"/>
  <c r="N199" i="37"/>
  <c r="N201" i="8"/>
  <c r="J199" i="37"/>
  <c r="H199" i="37"/>
  <c r="I305" i="8"/>
  <c r="I229" i="22"/>
  <c r="I141" i="22" s="1"/>
  <c r="I174" i="14"/>
  <c r="I163" i="14" s="1"/>
  <c r="I502" i="14"/>
  <c r="I157" i="14"/>
  <c r="I164" i="14" s="1"/>
  <c r="I140" i="14"/>
  <c r="J501" i="14"/>
  <c r="J498" i="14"/>
  <c r="L1222" i="14"/>
  <c r="N305" i="8"/>
  <c r="N229" i="22"/>
  <c r="N141" i="22" s="1"/>
  <c r="F40" i="37"/>
  <c r="N174" i="14"/>
  <c r="N163" i="14" s="1"/>
  <c r="N502" i="14"/>
  <c r="N157" i="14"/>
  <c r="N164" i="14" s="1"/>
  <c r="N140" i="14"/>
  <c r="J110" i="22"/>
  <c r="J138" i="22" s="1"/>
  <c r="J200" i="8"/>
  <c r="J137" i="22"/>
  <c r="F504" i="14"/>
  <c r="N111" i="22"/>
  <c r="N122" i="37" s="1"/>
  <c r="E507" i="14"/>
  <c r="H507" i="14"/>
  <c r="F41" i="11"/>
  <c r="E147" i="14"/>
  <c r="Z12" i="20" s="1"/>
  <c r="E177" i="14"/>
  <c r="E178" i="14" s="1"/>
  <c r="E189" i="37"/>
  <c r="H189" i="37"/>
  <c r="H177" i="14"/>
  <c r="H178" i="14" s="1"/>
  <c r="H147" i="14"/>
  <c r="M510" i="14"/>
  <c r="E230" i="22"/>
  <c r="E306" i="8"/>
  <c r="H306" i="8"/>
  <c r="H230" i="22"/>
  <c r="L1347" i="14"/>
  <c r="L231" i="22"/>
  <c r="L307" i="8"/>
  <c r="K306" i="8"/>
  <c r="K230" i="22"/>
  <c r="L508" i="14"/>
  <c r="H1338" i="14"/>
  <c r="L142" i="22"/>
  <c r="K1233" i="14"/>
  <c r="E166" i="14"/>
  <c r="Z13" i="20" s="1"/>
  <c r="D18" i="6" s="1"/>
  <c r="F18" i="6" s="1"/>
  <c r="F42" i="11"/>
  <c r="E181" i="14"/>
  <c r="E182" i="14" s="1"/>
  <c r="E190" i="37"/>
  <c r="O33" i="29"/>
  <c r="O34" i="29" s="1"/>
  <c r="O26" i="31"/>
  <c r="O27" i="31" s="1"/>
  <c r="O32" i="20"/>
  <c r="O33" i="20" s="1"/>
  <c r="O27" i="28"/>
  <c r="O28" i="28" s="1"/>
  <c r="O25" i="41"/>
  <c r="O26" i="41" s="1"/>
  <c r="C3" i="34"/>
  <c r="B3" i="34" s="1"/>
  <c r="K505" i="14"/>
  <c r="K189" i="37"/>
  <c r="K147" i="14"/>
  <c r="M231" i="22"/>
  <c r="M307" i="8"/>
  <c r="G578" i="14"/>
  <c r="G306" i="14"/>
  <c r="G307" i="14"/>
  <c r="M1350" i="14"/>
  <c r="N1551" i="14"/>
  <c r="G236" i="22"/>
  <c r="G312" i="8"/>
  <c r="G425" i="14"/>
  <c r="G426" i="14" s="1"/>
  <c r="G428" i="14" s="1"/>
  <c r="G653" i="14"/>
  <c r="G654" i="14" s="1"/>
  <c r="G137" i="22"/>
  <c r="G248" i="22"/>
  <c r="G324" i="8"/>
  <c r="G507" i="14"/>
  <c r="G508" i="14" s="1"/>
  <c r="G373" i="14"/>
  <c r="G379" i="14"/>
  <c r="G541" i="14"/>
  <c r="G342" i="14"/>
  <c r="G343" i="14" s="1"/>
  <c r="G306" i="8"/>
  <c r="G230" i="22"/>
  <c r="E1586" i="14"/>
  <c r="G227" i="22"/>
  <c r="G64" i="22"/>
  <c r="G138" i="22" s="1"/>
  <c r="G154" i="8"/>
  <c r="G260" i="22"/>
  <c r="G336" i="8"/>
  <c r="E428" i="14" l="1"/>
  <c r="L338" i="8"/>
  <c r="L262" i="22"/>
  <c r="L1813" i="14"/>
  <c r="L1862" i="14" s="1"/>
  <c r="L1908" i="14"/>
  <c r="L1911" i="14" s="1"/>
  <c r="L1912" i="14" s="1"/>
  <c r="F1813" i="14"/>
  <c r="F1862" i="14" s="1"/>
  <c r="F1908" i="14"/>
  <c r="E268" i="8"/>
  <c r="E192" i="22"/>
  <c r="M293" i="8"/>
  <c r="M217" i="22"/>
  <c r="I194" i="22"/>
  <c r="I270" i="8"/>
  <c r="N276" i="8"/>
  <c r="N200" i="22"/>
  <c r="K348" i="14"/>
  <c r="K349" i="14"/>
  <c r="J194" i="22"/>
  <c r="J270" i="8"/>
  <c r="J199" i="22"/>
  <c r="J275" i="8"/>
  <c r="K237" i="22"/>
  <c r="K313" i="8"/>
  <c r="E546" i="14"/>
  <c r="E547" i="14"/>
  <c r="L314" i="8"/>
  <c r="L238" i="22"/>
  <c r="F251" i="37"/>
  <c r="L431" i="14"/>
  <c r="L432" i="14"/>
  <c r="Q1655" i="14"/>
  <c r="F1707" i="14"/>
  <c r="F1756" i="14" s="1"/>
  <c r="F1805" i="14" s="1"/>
  <c r="F1854" i="14" s="1"/>
  <c r="Q1639" i="14"/>
  <c r="F1691" i="14"/>
  <c r="F1740" i="14" s="1"/>
  <c r="F1789" i="14" s="1"/>
  <c r="F1838" i="14" s="1"/>
  <c r="E292" i="8"/>
  <c r="E216" i="22"/>
  <c r="L657" i="14"/>
  <c r="G1813" i="14"/>
  <c r="G1862" i="14" s="1"/>
  <c r="G1908" i="14"/>
  <c r="G1911" i="14" s="1"/>
  <c r="H1908" i="14"/>
  <c r="H1813" i="14"/>
  <c r="H1862" i="14" s="1"/>
  <c r="F215" i="22"/>
  <c r="F291" i="8"/>
  <c r="I313" i="14"/>
  <c r="F1911" i="14"/>
  <c r="M283" i="21"/>
  <c r="N283" i="21" s="1"/>
  <c r="F878" i="14"/>
  <c r="F927" i="14" s="1"/>
  <c r="F976" i="14" s="1"/>
  <c r="F1025" i="14" s="1"/>
  <c r="F1077" i="14" s="1"/>
  <c r="F1126" i="14" s="1"/>
  <c r="F1175" i="14" s="1"/>
  <c r="F1224" i="14" s="1"/>
  <c r="F1291" i="14" s="1"/>
  <c r="F1340" i="14" s="1"/>
  <c r="F1389" i="14" s="1"/>
  <c r="F1438" i="14" s="1"/>
  <c r="F1490" i="14" s="1"/>
  <c r="F1539" i="14" s="1"/>
  <c r="F1588" i="14" s="1"/>
  <c r="J878" i="14"/>
  <c r="J927" i="14" s="1"/>
  <c r="J976" i="14" s="1"/>
  <c r="J1025" i="14" s="1"/>
  <c r="J1077" i="14" s="1"/>
  <c r="J1126" i="14" s="1"/>
  <c r="J1175" i="14" s="1"/>
  <c r="J1224" i="14" s="1"/>
  <c r="J1291" i="14" s="1"/>
  <c r="J1340" i="14" s="1"/>
  <c r="J1389" i="14" s="1"/>
  <c r="J1438" i="14" s="1"/>
  <c r="J1490" i="14" s="1"/>
  <c r="J1539" i="14" s="1"/>
  <c r="J1588" i="14" s="1"/>
  <c r="J1637" i="14" s="1"/>
  <c r="J1689" i="14" s="1"/>
  <c r="J1738" i="14" s="1"/>
  <c r="J1787" i="14" s="1"/>
  <c r="J1836" i="14" s="1"/>
  <c r="M878" i="14"/>
  <c r="M927" i="14" s="1"/>
  <c r="M976" i="14" s="1"/>
  <c r="M1025" i="14" s="1"/>
  <c r="M1077" i="14" s="1"/>
  <c r="M1126" i="14" s="1"/>
  <c r="M1175" i="14" s="1"/>
  <c r="M1224" i="14" s="1"/>
  <c r="M1291" i="14" s="1"/>
  <c r="M1340" i="14" s="1"/>
  <c r="M1389" i="14" s="1"/>
  <c r="M1438" i="14" s="1"/>
  <c r="M1490" i="14" s="1"/>
  <c r="M1539" i="14" s="1"/>
  <c r="M1588" i="14" s="1"/>
  <c r="M1637" i="14" s="1"/>
  <c r="M1689" i="14" s="1"/>
  <c r="M1738" i="14" s="1"/>
  <c r="M1787" i="14" s="1"/>
  <c r="M1836" i="14" s="1"/>
  <c r="H878" i="14"/>
  <c r="H927" i="14" s="1"/>
  <c r="H976" i="14" s="1"/>
  <c r="H1025" i="14" s="1"/>
  <c r="H1077" i="14" s="1"/>
  <c r="H1126" i="14" s="1"/>
  <c r="H1175" i="14" s="1"/>
  <c r="H1224" i="14" s="1"/>
  <c r="H1291" i="14" s="1"/>
  <c r="H1340" i="14" s="1"/>
  <c r="H1389" i="14" s="1"/>
  <c r="H1438" i="14" s="1"/>
  <c r="H1490" i="14" s="1"/>
  <c r="H1539" i="14" s="1"/>
  <c r="H1588" i="14" s="1"/>
  <c r="H1637" i="14" s="1"/>
  <c r="H1689" i="14" s="1"/>
  <c r="H1738" i="14" s="1"/>
  <c r="H1787" i="14" s="1"/>
  <c r="H1836" i="14" s="1"/>
  <c r="I878" i="14"/>
  <c r="I927" i="14" s="1"/>
  <c r="I976" i="14" s="1"/>
  <c r="I1025" i="14" s="1"/>
  <c r="I1077" i="14" s="1"/>
  <c r="I1126" i="14" s="1"/>
  <c r="I1175" i="14" s="1"/>
  <c r="I1224" i="14" s="1"/>
  <c r="I1291" i="14" s="1"/>
  <c r="I1340" i="14" s="1"/>
  <c r="I1389" i="14" s="1"/>
  <c r="I1438" i="14" s="1"/>
  <c r="I1490" i="14" s="1"/>
  <c r="I1539" i="14" s="1"/>
  <c r="I1588" i="14" s="1"/>
  <c r="I1637" i="14" s="1"/>
  <c r="I1689" i="14" s="1"/>
  <c r="I1738" i="14" s="1"/>
  <c r="I1787" i="14" s="1"/>
  <c r="I1836" i="14" s="1"/>
  <c r="K878" i="14"/>
  <c r="K927" i="14" s="1"/>
  <c r="K976" i="14" s="1"/>
  <c r="K1025" i="14" s="1"/>
  <c r="K1077" i="14" s="1"/>
  <c r="K1126" i="14" s="1"/>
  <c r="K1175" i="14" s="1"/>
  <c r="K1224" i="14" s="1"/>
  <c r="K1291" i="14" s="1"/>
  <c r="K1340" i="14" s="1"/>
  <c r="K1389" i="14" s="1"/>
  <c r="K1438" i="14" s="1"/>
  <c r="K1490" i="14" s="1"/>
  <c r="K1539" i="14" s="1"/>
  <c r="K1588" i="14" s="1"/>
  <c r="K1637" i="14" s="1"/>
  <c r="K1689" i="14" s="1"/>
  <c r="K1738" i="14" s="1"/>
  <c r="K1787" i="14" s="1"/>
  <c r="K1836" i="14" s="1"/>
  <c r="E878" i="14"/>
  <c r="E927" i="14" s="1"/>
  <c r="E976" i="14" s="1"/>
  <c r="E1025" i="14" s="1"/>
  <c r="E1077" i="14" s="1"/>
  <c r="E1126" i="14" s="1"/>
  <c r="E1175" i="14" s="1"/>
  <c r="E1224" i="14" s="1"/>
  <c r="E1291" i="14" s="1"/>
  <c r="E1340" i="14" s="1"/>
  <c r="E1389" i="14" s="1"/>
  <c r="E1438" i="14" s="1"/>
  <c r="E1490" i="14" s="1"/>
  <c r="E1539" i="14" s="1"/>
  <c r="E1588" i="14" s="1"/>
  <c r="E1637" i="14" s="1"/>
  <c r="E1689" i="14" s="1"/>
  <c r="E1738" i="14" s="1"/>
  <c r="E1787" i="14" s="1"/>
  <c r="E1836" i="14" s="1"/>
  <c r="N878" i="14"/>
  <c r="N927" i="14" s="1"/>
  <c r="N976" i="14" s="1"/>
  <c r="N1025" i="14" s="1"/>
  <c r="N1077" i="14" s="1"/>
  <c r="N1126" i="14" s="1"/>
  <c r="N1175" i="14" s="1"/>
  <c r="N1224" i="14" s="1"/>
  <c r="N1291" i="14" s="1"/>
  <c r="N1340" i="14" s="1"/>
  <c r="N1389" i="14" s="1"/>
  <c r="N1438" i="14" s="1"/>
  <c r="N1490" i="14" s="1"/>
  <c r="N1539" i="14" s="1"/>
  <c r="N1588" i="14" s="1"/>
  <c r="N1637" i="14" s="1"/>
  <c r="N1689" i="14" s="1"/>
  <c r="N1738" i="14" s="1"/>
  <c r="N1787" i="14" s="1"/>
  <c r="N1836" i="14" s="1"/>
  <c r="G878" i="14"/>
  <c r="G927" i="14" s="1"/>
  <c r="G976" i="14" s="1"/>
  <c r="G1025" i="14" s="1"/>
  <c r="G1077" i="14" s="1"/>
  <c r="G1126" i="14" s="1"/>
  <c r="G1175" i="14" s="1"/>
  <c r="G1224" i="14" s="1"/>
  <c r="G1291" i="14" s="1"/>
  <c r="G1340" i="14" s="1"/>
  <c r="G1389" i="14" s="1"/>
  <c r="G1438" i="14" s="1"/>
  <c r="G1490" i="14" s="1"/>
  <c r="G1539" i="14" s="1"/>
  <c r="G1588" i="14" s="1"/>
  <c r="G1637" i="14" s="1"/>
  <c r="G1689" i="14" s="1"/>
  <c r="G1738" i="14" s="1"/>
  <c r="G1787" i="14" s="1"/>
  <c r="G1836" i="14" s="1"/>
  <c r="L878" i="14"/>
  <c r="L927" i="14" s="1"/>
  <c r="L976" i="14" s="1"/>
  <c r="L1025" i="14" s="1"/>
  <c r="L1077" i="14" s="1"/>
  <c r="L1126" i="14" s="1"/>
  <c r="L1175" i="14" s="1"/>
  <c r="L1224" i="14" s="1"/>
  <c r="L1291" i="14" s="1"/>
  <c r="L1340" i="14" s="1"/>
  <c r="L1389" i="14" s="1"/>
  <c r="L1438" i="14" s="1"/>
  <c r="L1490" i="14" s="1"/>
  <c r="L1539" i="14" s="1"/>
  <c r="L1588" i="14" s="1"/>
  <c r="L1637" i="14" s="1"/>
  <c r="L1689" i="14" s="1"/>
  <c r="L1738" i="14" s="1"/>
  <c r="L1787" i="14" s="1"/>
  <c r="L1836" i="14" s="1"/>
  <c r="F1659" i="14"/>
  <c r="Q1610" i="14"/>
  <c r="L339" i="8"/>
  <c r="L263" i="22"/>
  <c r="M326" i="8"/>
  <c r="M250" i="22"/>
  <c r="F1710" i="14"/>
  <c r="F1759" i="14" s="1"/>
  <c r="F1808" i="14" s="1"/>
  <c r="F1857" i="14" s="1"/>
  <c r="Q1658" i="14"/>
  <c r="K294" i="8"/>
  <c r="K218" i="22"/>
  <c r="K579" i="14"/>
  <c r="E325" i="8"/>
  <c r="E249" i="22"/>
  <c r="L582" i="14"/>
  <c r="Q1587" i="14"/>
  <c r="F1636" i="14"/>
  <c r="I428" i="14"/>
  <c r="M312" i="14"/>
  <c r="I345" i="14"/>
  <c r="I346" i="14" s="1"/>
  <c r="K312" i="21"/>
  <c r="L280" i="21"/>
  <c r="K278" i="21"/>
  <c r="N271" i="8"/>
  <c r="N195" i="22"/>
  <c r="I324" i="8"/>
  <c r="I248" i="22"/>
  <c r="N540" i="14"/>
  <c r="N541" i="14"/>
  <c r="J653" i="14"/>
  <c r="J654" i="14"/>
  <c r="F77" i="22"/>
  <c r="F122" i="37" s="1"/>
  <c r="Q1591" i="14"/>
  <c r="F1640" i="14"/>
  <c r="L271" i="8"/>
  <c r="N194" i="22"/>
  <c r="N270" i="8"/>
  <c r="K1908" i="14"/>
  <c r="K1813" i="14"/>
  <c r="K1862" i="14" s="1"/>
  <c r="J1908" i="14"/>
  <c r="J1813" i="14"/>
  <c r="J1862" i="14" s="1"/>
  <c r="E1908" i="14"/>
  <c r="E1911" i="14" s="1"/>
  <c r="E1813" i="14"/>
  <c r="E1862" i="14" s="1"/>
  <c r="L315" i="8"/>
  <c r="L239" i="22"/>
  <c r="N431" i="14"/>
  <c r="N432" i="14" s="1"/>
  <c r="F155" i="14"/>
  <c r="F164" i="14" s="1"/>
  <c r="F423" i="14"/>
  <c r="F172" i="14"/>
  <c r="F163" i="14" s="1"/>
  <c r="F138" i="14"/>
  <c r="F146" i="14" s="1"/>
  <c r="M287" i="21"/>
  <c r="N287" i="21" s="1"/>
  <c r="F882" i="14"/>
  <c r="F931" i="14" s="1"/>
  <c r="F980" i="14" s="1"/>
  <c r="F1029" i="14" s="1"/>
  <c r="F1081" i="14" s="1"/>
  <c r="F1130" i="14" s="1"/>
  <c r="F1179" i="14" s="1"/>
  <c r="F1228" i="14" s="1"/>
  <c r="F1295" i="14" s="1"/>
  <c r="F1344" i="14" s="1"/>
  <c r="F1393" i="14" s="1"/>
  <c r="F1442" i="14" s="1"/>
  <c r="F1494" i="14" s="1"/>
  <c r="F1543" i="14" s="1"/>
  <c r="F1592" i="14" s="1"/>
  <c r="J882" i="14"/>
  <c r="J931" i="14" s="1"/>
  <c r="J980" i="14" s="1"/>
  <c r="J1029" i="14" s="1"/>
  <c r="J1081" i="14" s="1"/>
  <c r="J1130" i="14" s="1"/>
  <c r="J1179" i="14" s="1"/>
  <c r="J1228" i="14" s="1"/>
  <c r="J1295" i="14" s="1"/>
  <c r="J1344" i="14" s="1"/>
  <c r="J1393" i="14" s="1"/>
  <c r="J1442" i="14" s="1"/>
  <c r="J1494" i="14" s="1"/>
  <c r="J1543" i="14" s="1"/>
  <c r="J1592" i="14" s="1"/>
  <c r="J1641" i="14" s="1"/>
  <c r="J1693" i="14" s="1"/>
  <c r="J1742" i="14" s="1"/>
  <c r="J1791" i="14" s="1"/>
  <c r="J1840" i="14" s="1"/>
  <c r="H882" i="14"/>
  <c r="H931" i="14" s="1"/>
  <c r="H980" i="14" s="1"/>
  <c r="H1029" i="14" s="1"/>
  <c r="H1081" i="14" s="1"/>
  <c r="H1130" i="14" s="1"/>
  <c r="H1179" i="14" s="1"/>
  <c r="H1228" i="14" s="1"/>
  <c r="H1295" i="14" s="1"/>
  <c r="H1344" i="14" s="1"/>
  <c r="H1393" i="14" s="1"/>
  <c r="H1442" i="14" s="1"/>
  <c r="H1494" i="14" s="1"/>
  <c r="H1543" i="14" s="1"/>
  <c r="H1592" i="14" s="1"/>
  <c r="H1641" i="14" s="1"/>
  <c r="H1693" i="14" s="1"/>
  <c r="H1742" i="14" s="1"/>
  <c r="H1791" i="14" s="1"/>
  <c r="H1840" i="14" s="1"/>
  <c r="K882" i="14"/>
  <c r="K931" i="14" s="1"/>
  <c r="K980" i="14" s="1"/>
  <c r="K1029" i="14" s="1"/>
  <c r="K1081" i="14" s="1"/>
  <c r="K1130" i="14" s="1"/>
  <c r="K1179" i="14" s="1"/>
  <c r="K1228" i="14" s="1"/>
  <c r="K1295" i="14" s="1"/>
  <c r="K1344" i="14" s="1"/>
  <c r="K1393" i="14" s="1"/>
  <c r="K1442" i="14" s="1"/>
  <c r="K1494" i="14" s="1"/>
  <c r="K1543" i="14" s="1"/>
  <c r="K1592" i="14" s="1"/>
  <c r="K1641" i="14" s="1"/>
  <c r="K1693" i="14" s="1"/>
  <c r="K1742" i="14" s="1"/>
  <c r="K1791" i="14" s="1"/>
  <c r="K1840" i="14" s="1"/>
  <c r="E882" i="14"/>
  <c r="E931" i="14" s="1"/>
  <c r="E980" i="14" s="1"/>
  <c r="E1029" i="14" s="1"/>
  <c r="E1081" i="14" s="1"/>
  <c r="E1130" i="14" s="1"/>
  <c r="E1179" i="14" s="1"/>
  <c r="E1228" i="14" s="1"/>
  <c r="E1295" i="14" s="1"/>
  <c r="E1344" i="14" s="1"/>
  <c r="E1393" i="14" s="1"/>
  <c r="E1442" i="14" s="1"/>
  <c r="E1494" i="14" s="1"/>
  <c r="E1543" i="14" s="1"/>
  <c r="E1592" i="14" s="1"/>
  <c r="E1641" i="14" s="1"/>
  <c r="E1693" i="14" s="1"/>
  <c r="E1742" i="14" s="1"/>
  <c r="E1791" i="14" s="1"/>
  <c r="E1840" i="14" s="1"/>
  <c r="I882" i="14"/>
  <c r="I931" i="14" s="1"/>
  <c r="I980" i="14" s="1"/>
  <c r="I1029" i="14" s="1"/>
  <c r="I1081" i="14" s="1"/>
  <c r="I1130" i="14" s="1"/>
  <c r="I1179" i="14" s="1"/>
  <c r="I1228" i="14" s="1"/>
  <c r="I1295" i="14" s="1"/>
  <c r="I1344" i="14" s="1"/>
  <c r="I1393" i="14" s="1"/>
  <c r="I1442" i="14" s="1"/>
  <c r="I1494" i="14" s="1"/>
  <c r="I1543" i="14" s="1"/>
  <c r="I1592" i="14" s="1"/>
  <c r="I1641" i="14" s="1"/>
  <c r="I1693" i="14" s="1"/>
  <c r="I1742" i="14" s="1"/>
  <c r="I1791" i="14" s="1"/>
  <c r="I1840" i="14" s="1"/>
  <c r="L882" i="14"/>
  <c r="L931" i="14" s="1"/>
  <c r="L980" i="14" s="1"/>
  <c r="L1029" i="14" s="1"/>
  <c r="L1081" i="14" s="1"/>
  <c r="L1130" i="14" s="1"/>
  <c r="L1179" i="14" s="1"/>
  <c r="L1228" i="14" s="1"/>
  <c r="L1295" i="14" s="1"/>
  <c r="L1344" i="14" s="1"/>
  <c r="L1393" i="14" s="1"/>
  <c r="L1442" i="14" s="1"/>
  <c r="L1494" i="14" s="1"/>
  <c r="L1543" i="14" s="1"/>
  <c r="L1592" i="14" s="1"/>
  <c r="L1641" i="14" s="1"/>
  <c r="L1693" i="14" s="1"/>
  <c r="L1742" i="14" s="1"/>
  <c r="L1791" i="14" s="1"/>
  <c r="L1840" i="14" s="1"/>
  <c r="G882" i="14"/>
  <c r="G931" i="14" s="1"/>
  <c r="G980" i="14" s="1"/>
  <c r="G1029" i="14" s="1"/>
  <c r="G1081" i="14" s="1"/>
  <c r="G1130" i="14" s="1"/>
  <c r="G1179" i="14" s="1"/>
  <c r="G1228" i="14" s="1"/>
  <c r="G1295" i="14" s="1"/>
  <c r="G1344" i="14" s="1"/>
  <c r="G1393" i="14" s="1"/>
  <c r="G1442" i="14" s="1"/>
  <c r="G1494" i="14" s="1"/>
  <c r="G1543" i="14" s="1"/>
  <c r="G1592" i="14" s="1"/>
  <c r="G1641" i="14" s="1"/>
  <c r="G1693" i="14" s="1"/>
  <c r="G1742" i="14" s="1"/>
  <c r="G1791" i="14" s="1"/>
  <c r="G1840" i="14" s="1"/>
  <c r="N882" i="14"/>
  <c r="N931" i="14" s="1"/>
  <c r="N980" i="14" s="1"/>
  <c r="N1029" i="14" s="1"/>
  <c r="N1081" i="14" s="1"/>
  <c r="N1130" i="14" s="1"/>
  <c r="N1179" i="14" s="1"/>
  <c r="N1228" i="14" s="1"/>
  <c r="N1295" i="14" s="1"/>
  <c r="N1344" i="14" s="1"/>
  <c r="N1393" i="14" s="1"/>
  <c r="N1442" i="14" s="1"/>
  <c r="M882" i="14"/>
  <c r="M931" i="14" s="1"/>
  <c r="M980" i="14" s="1"/>
  <c r="M1029" i="14" s="1"/>
  <c r="M1081" i="14" s="1"/>
  <c r="M1130" i="14" s="1"/>
  <c r="M1179" i="14" s="1"/>
  <c r="M1228" i="14" s="1"/>
  <c r="M1295" i="14" s="1"/>
  <c r="M1344" i="14" s="1"/>
  <c r="M1393" i="14" s="1"/>
  <c r="M1442" i="14" s="1"/>
  <c r="M1494" i="14" s="1"/>
  <c r="M1543" i="14" s="1"/>
  <c r="M1592" i="14" s="1"/>
  <c r="M1641" i="14" s="1"/>
  <c r="M1693" i="14" s="1"/>
  <c r="M1742" i="14" s="1"/>
  <c r="M1791" i="14" s="1"/>
  <c r="M1840" i="14" s="1"/>
  <c r="L245" i="22"/>
  <c r="L321" i="8"/>
  <c r="J425" i="14"/>
  <c r="I339" i="8"/>
  <c r="F201" i="22"/>
  <c r="F277" i="8"/>
  <c r="J1911" i="14"/>
  <c r="J1912" i="14" s="1"/>
  <c r="F543" i="14"/>
  <c r="M142" i="22"/>
  <c r="L327" i="8"/>
  <c r="L251" i="22"/>
  <c r="I541" i="14"/>
  <c r="H1911" i="14"/>
  <c r="I216" i="22"/>
  <c r="I292" i="8"/>
  <c r="H431" i="14"/>
  <c r="H432" i="14"/>
  <c r="M345" i="14"/>
  <c r="F167" i="8"/>
  <c r="J546" i="14"/>
  <c r="J547" i="14" s="1"/>
  <c r="I271" i="8"/>
  <c r="I195" i="22"/>
  <c r="T23" i="29"/>
  <c r="T16" i="31"/>
  <c r="K313" i="21"/>
  <c r="N1908" i="14"/>
  <c r="N1911" i="14" s="1"/>
  <c r="N1912" i="14" s="1"/>
  <c r="N1813" i="14"/>
  <c r="N1862" i="14" s="1"/>
  <c r="I1813" i="14"/>
  <c r="I1862" i="14" s="1"/>
  <c r="I1908" i="14"/>
  <c r="I1911" i="14" s="1"/>
  <c r="I1912" i="14" s="1"/>
  <c r="M1908" i="14"/>
  <c r="M1911" i="14" s="1"/>
  <c r="M1912" i="14" s="1"/>
  <c r="M1813" i="14"/>
  <c r="M1862" i="14" s="1"/>
  <c r="E307" i="14"/>
  <c r="M429" i="14"/>
  <c r="N217" i="22"/>
  <c r="N293" i="8"/>
  <c r="J195" i="22"/>
  <c r="K1911" i="14"/>
  <c r="K1912" i="14" s="1"/>
  <c r="N349" i="14"/>
  <c r="M277" i="21"/>
  <c r="L288" i="21"/>
  <c r="L284" i="21"/>
  <c r="N239" i="22"/>
  <c r="K275" i="8"/>
  <c r="K199" i="22"/>
  <c r="J313" i="14"/>
  <c r="J346" i="14"/>
  <c r="H194" i="22"/>
  <c r="H270" i="8"/>
  <c r="J271" i="8"/>
  <c r="L277" i="8"/>
  <c r="G14" i="10"/>
  <c r="G170" i="37"/>
  <c r="G184" i="37"/>
  <c r="E184" i="37"/>
  <c r="E170" i="37"/>
  <c r="E14" i="10"/>
  <c r="J14" i="10"/>
  <c r="J184" i="37"/>
  <c r="J170" i="37"/>
  <c r="N184" i="37"/>
  <c r="N14" i="10"/>
  <c r="N170" i="37"/>
  <c r="H14" i="10"/>
  <c r="H170" i="37"/>
  <c r="H184" i="37"/>
  <c r="M184" i="37"/>
  <c r="M170" i="37"/>
  <c r="M14" i="10"/>
  <c r="I184" i="37"/>
  <c r="I14" i="10"/>
  <c r="I170" i="37"/>
  <c r="K184" i="37"/>
  <c r="K14" i="10"/>
  <c r="K170" i="37"/>
  <c r="F184" i="37"/>
  <c r="F170" i="37"/>
  <c r="F14" i="10"/>
  <c r="L170" i="37"/>
  <c r="L184" i="37"/>
  <c r="L14" i="10"/>
  <c r="L143" i="22"/>
  <c r="K388" i="14"/>
  <c r="F388" i="14"/>
  <c r="F389" i="14" s="1"/>
  <c r="J204" i="22"/>
  <c r="J280" i="8"/>
  <c r="I385" i="14"/>
  <c r="I386" i="14" s="1"/>
  <c r="F205" i="22"/>
  <c r="F281" i="8"/>
  <c r="H388" i="14"/>
  <c r="N388" i="14"/>
  <c r="L388" i="14"/>
  <c r="K205" i="22"/>
  <c r="K281" i="8"/>
  <c r="E385" i="14"/>
  <c r="E386" i="14" s="1"/>
  <c r="H205" i="22"/>
  <c r="H281" i="8"/>
  <c r="J383" i="14"/>
  <c r="M207" i="22"/>
  <c r="J111" i="22"/>
  <c r="J122" i="37" s="1"/>
  <c r="I504" i="14"/>
  <c r="I505" i="14" s="1"/>
  <c r="I40" i="37"/>
  <c r="I146" i="14"/>
  <c r="I181" i="14"/>
  <c r="I182" i="14" s="1"/>
  <c r="I166" i="14"/>
  <c r="I190" i="37"/>
  <c r="F230" i="22"/>
  <c r="F306" i="8"/>
  <c r="N146" i="14"/>
  <c r="N40" i="37"/>
  <c r="N190" i="37"/>
  <c r="N166" i="14"/>
  <c r="J157" i="14"/>
  <c r="J164" i="14" s="1"/>
  <c r="J140" i="14"/>
  <c r="J502" i="14"/>
  <c r="J174" i="14"/>
  <c r="J163" i="14" s="1"/>
  <c r="J139" i="22"/>
  <c r="N504" i="14"/>
  <c r="F177" i="14"/>
  <c r="F178" i="14" s="1"/>
  <c r="F147" i="14"/>
  <c r="F189" i="37"/>
  <c r="J305" i="8"/>
  <c r="J229" i="22"/>
  <c r="F505" i="14"/>
  <c r="J201" i="8"/>
  <c r="L1289" i="14"/>
  <c r="K507" i="14"/>
  <c r="K508" i="14" s="1"/>
  <c r="K1300" i="14"/>
  <c r="L510" i="14"/>
  <c r="L511" i="14" s="1"/>
  <c r="H142" i="22"/>
  <c r="M308" i="8"/>
  <c r="M232" i="22"/>
  <c r="E307" i="8"/>
  <c r="E231" i="22"/>
  <c r="H1387" i="14"/>
  <c r="L1396" i="14"/>
  <c r="Z11" i="20"/>
  <c r="D17" i="6"/>
  <c r="G42" i="11"/>
  <c r="J42" i="11" s="1"/>
  <c r="K42" i="11" s="1"/>
  <c r="E9" i="34"/>
  <c r="G41" i="11"/>
  <c r="J41" i="11" s="1"/>
  <c r="K41" i="11" s="1"/>
  <c r="D9" i="34"/>
  <c r="H307" i="8"/>
  <c r="H231" i="22"/>
  <c r="H143" i="22" s="1"/>
  <c r="K142" i="22"/>
  <c r="N1494" i="14"/>
  <c r="E142" i="22"/>
  <c r="M511" i="14"/>
  <c r="H508" i="14"/>
  <c r="E508" i="14"/>
  <c r="G429" i="14"/>
  <c r="G431" i="14" s="1"/>
  <c r="G293" i="8"/>
  <c r="G217" i="22"/>
  <c r="G268" i="8"/>
  <c r="G192" i="22"/>
  <c r="G216" i="22"/>
  <c r="G292" i="8"/>
  <c r="M1399" i="14"/>
  <c r="G237" i="22"/>
  <c r="G313" i="8"/>
  <c r="N1600" i="14"/>
  <c r="G309" i="14"/>
  <c r="G579" i="14"/>
  <c r="G510" i="14"/>
  <c r="G511" i="14" s="1"/>
  <c r="G139" i="22"/>
  <c r="G656" i="14"/>
  <c r="G657" i="14"/>
  <c r="G543" i="14"/>
  <c r="G544" i="14" s="1"/>
  <c r="G155" i="8"/>
  <c r="G261" i="22"/>
  <c r="G337" i="8"/>
  <c r="E1635" i="14"/>
  <c r="Q1586" i="14"/>
  <c r="G274" i="8"/>
  <c r="G198" i="22"/>
  <c r="G279" i="8"/>
  <c r="G203" i="22"/>
  <c r="G345" i="14"/>
  <c r="G346" i="14" s="1"/>
  <c r="G136" i="14"/>
  <c r="G146" i="14" s="1"/>
  <c r="G375" i="14"/>
  <c r="G380" i="14" s="1"/>
  <c r="G170" i="14"/>
  <c r="G163" i="14" s="1"/>
  <c r="G153" i="14"/>
  <c r="G164" i="14" s="1"/>
  <c r="G231" i="22"/>
  <c r="G307" i="8"/>
  <c r="G65" i="22"/>
  <c r="I348" i="14" l="1"/>
  <c r="M284" i="21"/>
  <c r="N284" i="21" s="1"/>
  <c r="O284" i="21" s="1"/>
  <c r="K879" i="14"/>
  <c r="K928" i="14" s="1"/>
  <c r="K977" i="14" s="1"/>
  <c r="K1026" i="14" s="1"/>
  <c r="K1078" i="14" s="1"/>
  <c r="K1127" i="14" s="1"/>
  <c r="K1176" i="14" s="1"/>
  <c r="K1225" i="14" s="1"/>
  <c r="K1292" i="14" s="1"/>
  <c r="K1341" i="14" s="1"/>
  <c r="K1390" i="14" s="1"/>
  <c r="K1439" i="14" s="1"/>
  <c r="K1491" i="14" s="1"/>
  <c r="K1540" i="14" s="1"/>
  <c r="K1589" i="14" s="1"/>
  <c r="K1638" i="14" s="1"/>
  <c r="K1690" i="14" s="1"/>
  <c r="K1739" i="14" s="1"/>
  <c r="K1788" i="14" s="1"/>
  <c r="K1837" i="14" s="1"/>
  <c r="E879" i="14"/>
  <c r="E928" i="14" s="1"/>
  <c r="E977" i="14" s="1"/>
  <c r="E1026" i="14" s="1"/>
  <c r="E1078" i="14" s="1"/>
  <c r="E1127" i="14" s="1"/>
  <c r="E1176" i="14" s="1"/>
  <c r="E1225" i="14" s="1"/>
  <c r="E1292" i="14" s="1"/>
  <c r="F879" i="14"/>
  <c r="F928" i="14" s="1"/>
  <c r="F977" i="14" s="1"/>
  <c r="F1026" i="14" s="1"/>
  <c r="F1078" i="14" s="1"/>
  <c r="F1127" i="14" s="1"/>
  <c r="F1176" i="14" s="1"/>
  <c r="F1225" i="14" s="1"/>
  <c r="F1292" i="14" s="1"/>
  <c r="F1341" i="14" s="1"/>
  <c r="F1390" i="14" s="1"/>
  <c r="F1439" i="14" s="1"/>
  <c r="F1491" i="14" s="1"/>
  <c r="F1540" i="14" s="1"/>
  <c r="F1589" i="14" s="1"/>
  <c r="F1638" i="14" s="1"/>
  <c r="F1690" i="14" s="1"/>
  <c r="F1739" i="14" s="1"/>
  <c r="F1788" i="14" s="1"/>
  <c r="F1837" i="14" s="1"/>
  <c r="I879" i="14"/>
  <c r="I928" i="14" s="1"/>
  <c r="I977" i="14" s="1"/>
  <c r="I1026" i="14" s="1"/>
  <c r="I1078" i="14" s="1"/>
  <c r="I1127" i="14" s="1"/>
  <c r="I1176" i="14" s="1"/>
  <c r="I1225" i="14" s="1"/>
  <c r="I1292" i="14" s="1"/>
  <c r="I1341" i="14" s="1"/>
  <c r="I1390" i="14" s="1"/>
  <c r="I1439" i="14" s="1"/>
  <c r="I1491" i="14" s="1"/>
  <c r="H879" i="14"/>
  <c r="H928" i="14" s="1"/>
  <c r="H977" i="14" s="1"/>
  <c r="H1026" i="14" s="1"/>
  <c r="H1078" i="14" s="1"/>
  <c r="H1127" i="14" s="1"/>
  <c r="H1176" i="14" s="1"/>
  <c r="H1225" i="14" s="1"/>
  <c r="H1292" i="14" s="1"/>
  <c r="H1341" i="14" s="1"/>
  <c r="H1390" i="14" s="1"/>
  <c r="H1439" i="14" s="1"/>
  <c r="H1491" i="14" s="1"/>
  <c r="H1540" i="14" s="1"/>
  <c r="H1589" i="14" s="1"/>
  <c r="H1638" i="14" s="1"/>
  <c r="H1690" i="14" s="1"/>
  <c r="H1739" i="14" s="1"/>
  <c r="H1788" i="14" s="1"/>
  <c r="H1837" i="14" s="1"/>
  <c r="L879" i="14"/>
  <c r="L928" i="14" s="1"/>
  <c r="L977" i="14" s="1"/>
  <c r="L1026" i="14" s="1"/>
  <c r="L1078" i="14" s="1"/>
  <c r="L1127" i="14" s="1"/>
  <c r="L1176" i="14" s="1"/>
  <c r="L1225" i="14" s="1"/>
  <c r="L1292" i="14" s="1"/>
  <c r="L1341" i="14" s="1"/>
  <c r="L1390" i="14" s="1"/>
  <c r="L1439" i="14" s="1"/>
  <c r="L1491" i="14" s="1"/>
  <c r="L1540" i="14" s="1"/>
  <c r="L1589" i="14" s="1"/>
  <c r="L1638" i="14" s="1"/>
  <c r="L1690" i="14" s="1"/>
  <c r="L1739" i="14" s="1"/>
  <c r="L1788" i="14" s="1"/>
  <c r="L1837" i="14" s="1"/>
  <c r="M879" i="14"/>
  <c r="M928" i="14" s="1"/>
  <c r="M977" i="14" s="1"/>
  <c r="M1026" i="14" s="1"/>
  <c r="M1078" i="14" s="1"/>
  <c r="M1127" i="14" s="1"/>
  <c r="M1176" i="14" s="1"/>
  <c r="M1225" i="14" s="1"/>
  <c r="M1292" i="14" s="1"/>
  <c r="M1341" i="14" s="1"/>
  <c r="M1390" i="14" s="1"/>
  <c r="M1439" i="14" s="1"/>
  <c r="M1491" i="14" s="1"/>
  <c r="M1540" i="14" s="1"/>
  <c r="M1589" i="14" s="1"/>
  <c r="M1638" i="14" s="1"/>
  <c r="M1690" i="14" s="1"/>
  <c r="M1739" i="14" s="1"/>
  <c r="M1788" i="14" s="1"/>
  <c r="M1837" i="14" s="1"/>
  <c r="J879" i="14"/>
  <c r="J928" i="14" s="1"/>
  <c r="J977" i="14" s="1"/>
  <c r="J1026" i="14" s="1"/>
  <c r="J1078" i="14" s="1"/>
  <c r="J1127" i="14" s="1"/>
  <c r="J1176" i="14" s="1"/>
  <c r="J1225" i="14" s="1"/>
  <c r="J1292" i="14" s="1"/>
  <c r="J1341" i="14" s="1"/>
  <c r="J1390" i="14" s="1"/>
  <c r="J1439" i="14" s="1"/>
  <c r="G879" i="14"/>
  <c r="G928" i="14" s="1"/>
  <c r="G977" i="14" s="1"/>
  <c r="G1026" i="14" s="1"/>
  <c r="G1078" i="14" s="1"/>
  <c r="G1127" i="14" s="1"/>
  <c r="G1176" i="14" s="1"/>
  <c r="G1225" i="14" s="1"/>
  <c r="G1292" i="14" s="1"/>
  <c r="G1341" i="14" s="1"/>
  <c r="G1390" i="14" s="1"/>
  <c r="G1439" i="14" s="1"/>
  <c r="G1491" i="14" s="1"/>
  <c r="G1540" i="14" s="1"/>
  <c r="G1589" i="14" s="1"/>
  <c r="G1638" i="14" s="1"/>
  <c r="G1690" i="14" s="1"/>
  <c r="G1739" i="14" s="1"/>
  <c r="G1788" i="14" s="1"/>
  <c r="G1837" i="14" s="1"/>
  <c r="N879" i="14"/>
  <c r="N928" i="14" s="1"/>
  <c r="N977" i="14" s="1"/>
  <c r="N1026" i="14" s="1"/>
  <c r="N1078" i="14" s="1"/>
  <c r="N1127" i="14" s="1"/>
  <c r="N1176" i="14" s="1"/>
  <c r="N1225" i="14" s="1"/>
  <c r="N1292" i="14" s="1"/>
  <c r="N1341" i="14" s="1"/>
  <c r="N1390" i="14" s="1"/>
  <c r="N1439" i="14" s="1"/>
  <c r="N1491" i="14" s="1"/>
  <c r="N1540" i="14" s="1"/>
  <c r="N1589" i="14" s="1"/>
  <c r="N1638" i="14" s="1"/>
  <c r="N1690" i="14" s="1"/>
  <c r="N1739" i="14" s="1"/>
  <c r="N1788" i="14" s="1"/>
  <c r="N1837" i="14" s="1"/>
  <c r="M199" i="22"/>
  <c r="M275" i="8"/>
  <c r="I544" i="14"/>
  <c r="I543" i="14"/>
  <c r="F249" i="22"/>
  <c r="F325" i="8"/>
  <c r="F166" i="14"/>
  <c r="F181" i="14"/>
  <c r="F182" i="14" s="1"/>
  <c r="F190" i="37"/>
  <c r="J656" i="14"/>
  <c r="N295" i="8"/>
  <c r="M270" i="8"/>
  <c r="M194" i="22"/>
  <c r="I293" i="8"/>
  <c r="I217" i="22"/>
  <c r="K295" i="8"/>
  <c r="K219" i="22"/>
  <c r="M327" i="8"/>
  <c r="M251" i="22"/>
  <c r="E327" i="8"/>
  <c r="E293" i="8"/>
  <c r="E217" i="22"/>
  <c r="M288" i="21"/>
  <c r="N288" i="21" s="1"/>
  <c r="O288" i="21" s="1"/>
  <c r="E883" i="14"/>
  <c r="E932" i="14" s="1"/>
  <c r="E981" i="14" s="1"/>
  <c r="E1030" i="14" s="1"/>
  <c r="E1082" i="14" s="1"/>
  <c r="E1131" i="14" s="1"/>
  <c r="E1180" i="14" s="1"/>
  <c r="E1229" i="14" s="1"/>
  <c r="E1296" i="14" s="1"/>
  <c r="E1345" i="14" s="1"/>
  <c r="E1394" i="14" s="1"/>
  <c r="E1443" i="14" s="1"/>
  <c r="E1495" i="14" s="1"/>
  <c r="E1544" i="14" s="1"/>
  <c r="E1593" i="14" s="1"/>
  <c r="E1642" i="14" s="1"/>
  <c r="E1694" i="14" s="1"/>
  <c r="E1743" i="14" s="1"/>
  <c r="E1792" i="14" s="1"/>
  <c r="E1841" i="14" s="1"/>
  <c r="K883" i="14"/>
  <c r="K932" i="14" s="1"/>
  <c r="K981" i="14" s="1"/>
  <c r="K1030" i="14" s="1"/>
  <c r="K1082" i="14" s="1"/>
  <c r="K1131" i="14" s="1"/>
  <c r="K1180" i="14" s="1"/>
  <c r="K1229" i="14" s="1"/>
  <c r="K1296" i="14" s="1"/>
  <c r="K1345" i="14" s="1"/>
  <c r="K1394" i="14" s="1"/>
  <c r="K1443" i="14" s="1"/>
  <c r="K1495" i="14" s="1"/>
  <c r="K1544" i="14" s="1"/>
  <c r="K1593" i="14" s="1"/>
  <c r="K1642" i="14" s="1"/>
  <c r="K1694" i="14" s="1"/>
  <c r="K1743" i="14" s="1"/>
  <c r="K1792" i="14" s="1"/>
  <c r="K1841" i="14" s="1"/>
  <c r="H883" i="14"/>
  <c r="H932" i="14" s="1"/>
  <c r="H981" i="14" s="1"/>
  <c r="H1030" i="14" s="1"/>
  <c r="H1082" i="14" s="1"/>
  <c r="H1131" i="14" s="1"/>
  <c r="H1180" i="14" s="1"/>
  <c r="H1229" i="14" s="1"/>
  <c r="H1296" i="14" s="1"/>
  <c r="H1345" i="14" s="1"/>
  <c r="H1394" i="14" s="1"/>
  <c r="H1443" i="14" s="1"/>
  <c r="H1495" i="14" s="1"/>
  <c r="H1544" i="14" s="1"/>
  <c r="H1593" i="14" s="1"/>
  <c r="H1642" i="14" s="1"/>
  <c r="H1694" i="14" s="1"/>
  <c r="H1743" i="14" s="1"/>
  <c r="H1792" i="14" s="1"/>
  <c r="H1841" i="14" s="1"/>
  <c r="M883" i="14"/>
  <c r="M932" i="14" s="1"/>
  <c r="M981" i="14" s="1"/>
  <c r="M1030" i="14" s="1"/>
  <c r="M1082" i="14" s="1"/>
  <c r="M1131" i="14" s="1"/>
  <c r="M1180" i="14" s="1"/>
  <c r="M1229" i="14" s="1"/>
  <c r="M1296" i="14" s="1"/>
  <c r="M1345" i="14" s="1"/>
  <c r="M1394" i="14" s="1"/>
  <c r="M1443" i="14" s="1"/>
  <c r="M1495" i="14" s="1"/>
  <c r="M1544" i="14" s="1"/>
  <c r="M1593" i="14" s="1"/>
  <c r="M1642" i="14" s="1"/>
  <c r="M1694" i="14" s="1"/>
  <c r="M1743" i="14" s="1"/>
  <c r="M1792" i="14" s="1"/>
  <c r="M1841" i="14" s="1"/>
  <c r="I883" i="14"/>
  <c r="I932" i="14" s="1"/>
  <c r="I981" i="14" s="1"/>
  <c r="I1030" i="14" s="1"/>
  <c r="I1082" i="14" s="1"/>
  <c r="I1131" i="14" s="1"/>
  <c r="I1180" i="14" s="1"/>
  <c r="I1229" i="14" s="1"/>
  <c r="I1296" i="14" s="1"/>
  <c r="I1345" i="14" s="1"/>
  <c r="I1394" i="14" s="1"/>
  <c r="I1443" i="14" s="1"/>
  <c r="I1495" i="14" s="1"/>
  <c r="I1544" i="14" s="1"/>
  <c r="I1593" i="14" s="1"/>
  <c r="I1642" i="14" s="1"/>
  <c r="I1694" i="14" s="1"/>
  <c r="I1743" i="14" s="1"/>
  <c r="I1792" i="14" s="1"/>
  <c r="I1841" i="14" s="1"/>
  <c r="L883" i="14"/>
  <c r="L932" i="14" s="1"/>
  <c r="L981" i="14" s="1"/>
  <c r="L1030" i="14" s="1"/>
  <c r="L1082" i="14" s="1"/>
  <c r="L1131" i="14" s="1"/>
  <c r="L1180" i="14" s="1"/>
  <c r="L1229" i="14" s="1"/>
  <c r="L1296" i="14" s="1"/>
  <c r="L1345" i="14" s="1"/>
  <c r="L1394" i="14" s="1"/>
  <c r="L1443" i="14" s="1"/>
  <c r="L1495" i="14" s="1"/>
  <c r="L1544" i="14" s="1"/>
  <c r="L1593" i="14" s="1"/>
  <c r="L1642" i="14" s="1"/>
  <c r="L1694" i="14" s="1"/>
  <c r="L1743" i="14" s="1"/>
  <c r="L1792" i="14" s="1"/>
  <c r="L1841" i="14" s="1"/>
  <c r="F883" i="14"/>
  <c r="F932" i="14" s="1"/>
  <c r="F981" i="14" s="1"/>
  <c r="F1030" i="14" s="1"/>
  <c r="F1082" i="14" s="1"/>
  <c r="F1131" i="14" s="1"/>
  <c r="F1180" i="14" s="1"/>
  <c r="F1229" i="14" s="1"/>
  <c r="F1296" i="14" s="1"/>
  <c r="F1345" i="14" s="1"/>
  <c r="F1394" i="14" s="1"/>
  <c r="F1443" i="14" s="1"/>
  <c r="F1495" i="14" s="1"/>
  <c r="F1544" i="14" s="1"/>
  <c r="F1593" i="14" s="1"/>
  <c r="N883" i="14"/>
  <c r="N932" i="14" s="1"/>
  <c r="N981" i="14" s="1"/>
  <c r="N1030" i="14" s="1"/>
  <c r="N1082" i="14" s="1"/>
  <c r="N1131" i="14" s="1"/>
  <c r="N1180" i="14" s="1"/>
  <c r="N1229" i="14" s="1"/>
  <c r="N1296" i="14" s="1"/>
  <c r="N1345" i="14" s="1"/>
  <c r="N1394" i="14" s="1"/>
  <c r="N1443" i="14" s="1"/>
  <c r="N1495" i="14" s="1"/>
  <c r="N1544" i="14" s="1"/>
  <c r="N1593" i="14" s="1"/>
  <c r="N1642" i="14" s="1"/>
  <c r="N1694" i="14" s="1"/>
  <c r="N1743" i="14" s="1"/>
  <c r="N1792" i="14" s="1"/>
  <c r="N1841" i="14" s="1"/>
  <c r="J883" i="14"/>
  <c r="J932" i="14" s="1"/>
  <c r="J981" i="14" s="1"/>
  <c r="J1030" i="14" s="1"/>
  <c r="J1082" i="14" s="1"/>
  <c r="J1131" i="14" s="1"/>
  <c r="J1180" i="14" s="1"/>
  <c r="J1229" i="14" s="1"/>
  <c r="J1296" i="14" s="1"/>
  <c r="J1345" i="14" s="1"/>
  <c r="J1394" i="14" s="1"/>
  <c r="J1443" i="14" s="1"/>
  <c r="J1495" i="14" s="1"/>
  <c r="J1544" i="14" s="1"/>
  <c r="J1593" i="14" s="1"/>
  <c r="J1642" i="14" s="1"/>
  <c r="J1694" i="14" s="1"/>
  <c r="J1743" i="14" s="1"/>
  <c r="J1792" i="14" s="1"/>
  <c r="J1841" i="14" s="1"/>
  <c r="G883" i="14"/>
  <c r="G932" i="14" s="1"/>
  <c r="G981" i="14" s="1"/>
  <c r="G1030" i="14" s="1"/>
  <c r="G1082" i="14" s="1"/>
  <c r="G1131" i="14" s="1"/>
  <c r="G1180" i="14" s="1"/>
  <c r="G1229" i="14" s="1"/>
  <c r="G1296" i="14" s="1"/>
  <c r="G1345" i="14" s="1"/>
  <c r="G1394" i="14" s="1"/>
  <c r="G1443" i="14" s="1"/>
  <c r="G1495" i="14" s="1"/>
  <c r="G1544" i="14" s="1"/>
  <c r="G1593" i="14" s="1"/>
  <c r="G1642" i="14" s="1"/>
  <c r="G1694" i="14" s="1"/>
  <c r="G1743" i="14" s="1"/>
  <c r="G1792" i="14" s="1"/>
  <c r="G1841" i="14" s="1"/>
  <c r="M346" i="14"/>
  <c r="F544" i="14"/>
  <c r="Q1640" i="14"/>
  <c r="F1692" i="14"/>
  <c r="F1741" i="14" s="1"/>
  <c r="F1790" i="14" s="1"/>
  <c r="F1839" i="14" s="1"/>
  <c r="J261" i="22"/>
  <c r="J337" i="8"/>
  <c r="L312" i="21"/>
  <c r="M280" i="21"/>
  <c r="L278" i="21"/>
  <c r="E875" i="14"/>
  <c r="K875" i="14"/>
  <c r="I875" i="14"/>
  <c r="M875" i="14"/>
  <c r="F875" i="14"/>
  <c r="L875" i="14"/>
  <c r="H875" i="14"/>
  <c r="J875" i="14"/>
  <c r="G875" i="14"/>
  <c r="N875" i="14"/>
  <c r="Q1636" i="14"/>
  <c r="F1688" i="14"/>
  <c r="F1737" i="14" s="1"/>
  <c r="F1786" i="14" s="1"/>
  <c r="F1835" i="14" s="1"/>
  <c r="Q1659" i="14"/>
  <c r="F1711" i="14"/>
  <c r="F1760" i="14" s="1"/>
  <c r="F1809" i="14" s="1"/>
  <c r="F1858" i="14" s="1"/>
  <c r="L218" i="22"/>
  <c r="L294" i="8"/>
  <c r="H195" i="22"/>
  <c r="H271" i="8"/>
  <c r="N277" i="21"/>
  <c r="M289" i="21"/>
  <c r="N289" i="21" s="1"/>
  <c r="O289" i="21" s="1"/>
  <c r="P289" i="21" s="1"/>
  <c r="M281" i="21"/>
  <c r="N281" i="21" s="1"/>
  <c r="O281" i="21" s="1"/>
  <c r="P281" i="21" s="1"/>
  <c r="M285" i="21"/>
  <c r="N285" i="21" s="1"/>
  <c r="O285" i="21" s="1"/>
  <c r="P285" i="21" s="1"/>
  <c r="M431" i="14"/>
  <c r="M432" i="14" s="1"/>
  <c r="Q5" i="7"/>
  <c r="C4" i="43"/>
  <c r="J250" i="22"/>
  <c r="J326" i="8"/>
  <c r="J216" i="22"/>
  <c r="J292" i="8"/>
  <c r="N218" i="22"/>
  <c r="N219" i="22" s="1"/>
  <c r="N294" i="8"/>
  <c r="N543" i="14"/>
  <c r="N544" i="14"/>
  <c r="I275" i="8"/>
  <c r="I199" i="22"/>
  <c r="K581" i="14"/>
  <c r="K582" i="14"/>
  <c r="F141" i="22"/>
  <c r="E326" i="8"/>
  <c r="E250" i="22"/>
  <c r="E251" i="22" s="1"/>
  <c r="K276" i="8"/>
  <c r="K200" i="22"/>
  <c r="M309" i="8"/>
  <c r="J349" i="14"/>
  <c r="J348" i="14"/>
  <c r="E309" i="14"/>
  <c r="E310" i="14"/>
  <c r="H218" i="22"/>
  <c r="H294" i="8"/>
  <c r="J426" i="14"/>
  <c r="F1641" i="14"/>
  <c r="Q1592" i="14"/>
  <c r="F426" i="14"/>
  <c r="F425" i="14"/>
  <c r="N324" i="8"/>
  <c r="N248" i="22"/>
  <c r="M313" i="14"/>
  <c r="I429" i="14"/>
  <c r="F1637" i="14"/>
  <c r="Q1588" i="14"/>
  <c r="N277" i="8"/>
  <c r="N201" i="22"/>
  <c r="E429" i="14"/>
  <c r="I116" i="37"/>
  <c r="I177" i="37"/>
  <c r="I258" i="37"/>
  <c r="F258" i="37"/>
  <c r="F177" i="37"/>
  <c r="F116" i="37"/>
  <c r="K258" i="37"/>
  <c r="K177" i="37"/>
  <c r="K116" i="37"/>
  <c r="N177" i="37"/>
  <c r="N258" i="37"/>
  <c r="N116" i="37"/>
  <c r="J116" i="37"/>
  <c r="J177" i="37"/>
  <c r="J258" i="37"/>
  <c r="L258" i="37"/>
  <c r="L116" i="37"/>
  <c r="L177" i="37"/>
  <c r="M258" i="37"/>
  <c r="M116" i="37"/>
  <c r="M177" i="37"/>
  <c r="E116" i="37"/>
  <c r="E177" i="37"/>
  <c r="E258" i="37"/>
  <c r="H116" i="37"/>
  <c r="H258" i="37"/>
  <c r="H177" i="37"/>
  <c r="G258" i="37"/>
  <c r="G177" i="37"/>
  <c r="G116" i="37"/>
  <c r="L206" i="22"/>
  <c r="L282" i="8"/>
  <c r="I388" i="14"/>
  <c r="E388" i="14"/>
  <c r="E389" i="14" s="1"/>
  <c r="N206" i="22"/>
  <c r="N282" i="8"/>
  <c r="H206" i="22"/>
  <c r="H283" i="8" s="1"/>
  <c r="H282" i="8"/>
  <c r="I281" i="8"/>
  <c r="I205" i="22"/>
  <c r="F206" i="22"/>
  <c r="F283" i="8" s="1"/>
  <c r="F282" i="8"/>
  <c r="J385" i="14"/>
  <c r="E205" i="22"/>
  <c r="E281" i="8"/>
  <c r="N389" i="14"/>
  <c r="H389" i="14"/>
  <c r="K282" i="8"/>
  <c r="K206" i="22"/>
  <c r="K207" i="22" s="1"/>
  <c r="L389" i="14"/>
  <c r="K389" i="14"/>
  <c r="I507" i="14"/>
  <c r="I508" i="14"/>
  <c r="I510" i="14" s="1"/>
  <c r="I147" i="14"/>
  <c r="I189" i="37"/>
  <c r="I177" i="14"/>
  <c r="I178" i="14" s="1"/>
  <c r="I306" i="8"/>
  <c r="I230" i="22"/>
  <c r="I142" i="22" s="1"/>
  <c r="J141" i="22"/>
  <c r="J181" i="14"/>
  <c r="J182" i="14" s="1"/>
  <c r="J190" i="37"/>
  <c r="J166" i="14"/>
  <c r="L1338" i="14"/>
  <c r="N306" i="8"/>
  <c r="N230" i="22"/>
  <c r="N147" i="14"/>
  <c r="N189" i="37"/>
  <c r="N505" i="14"/>
  <c r="J504" i="14"/>
  <c r="J505" i="14" s="1"/>
  <c r="F507" i="14"/>
  <c r="J40" i="37"/>
  <c r="J146" i="14"/>
  <c r="K510" i="14"/>
  <c r="K511" i="14" s="1"/>
  <c r="N1543" i="14"/>
  <c r="C9" i="34"/>
  <c r="B9" i="34" s="1"/>
  <c r="L232" i="22"/>
  <c r="L308" i="8"/>
  <c r="K1349" i="14"/>
  <c r="E510" i="14"/>
  <c r="E1341" i="14"/>
  <c r="H510" i="14"/>
  <c r="H511" i="14" s="1"/>
  <c r="E9" i="11"/>
  <c r="F17" i="6"/>
  <c r="D12" i="6" s="1"/>
  <c r="D32" i="6"/>
  <c r="L1445" i="14"/>
  <c r="M233" i="22"/>
  <c r="H1436" i="14"/>
  <c r="K231" i="22"/>
  <c r="K307" i="8"/>
  <c r="G581" i="14"/>
  <c r="M1448" i="14"/>
  <c r="G269" i="8"/>
  <c r="G193" i="22"/>
  <c r="N1649" i="14"/>
  <c r="G432" i="14"/>
  <c r="G218" i="22"/>
  <c r="G295" i="8" s="1"/>
  <c r="G294" i="8"/>
  <c r="G310" i="14"/>
  <c r="G312" i="14" s="1"/>
  <c r="G219" i="22"/>
  <c r="G546" i="14"/>
  <c r="G547" i="14" s="1"/>
  <c r="G122" i="37"/>
  <c r="G199" i="22"/>
  <c r="G275" i="8"/>
  <c r="G141" i="22"/>
  <c r="E1687" i="14"/>
  <c r="Q1635" i="14"/>
  <c r="J1491" i="14"/>
  <c r="G382" i="14"/>
  <c r="G383" i="14" s="1"/>
  <c r="G189" i="37"/>
  <c r="G177" i="14"/>
  <c r="G178" i="14" s="1"/>
  <c r="G147" i="14"/>
  <c r="G338" i="8"/>
  <c r="G262" i="22"/>
  <c r="G339" i="8" s="1"/>
  <c r="G166" i="14"/>
  <c r="G181" i="14"/>
  <c r="G182" i="14" s="1"/>
  <c r="G190" i="37"/>
  <c r="G348" i="14"/>
  <c r="G349" i="14" s="1"/>
  <c r="I1540" i="14"/>
  <c r="G249" i="22"/>
  <c r="G325" i="8"/>
  <c r="G232" i="22"/>
  <c r="G309" i="8" s="1"/>
  <c r="G308" i="8"/>
  <c r="F1693" i="14" l="1"/>
  <c r="F1742" i="14" s="1"/>
  <c r="F1791" i="14" s="1"/>
  <c r="F1840" i="14" s="1"/>
  <c r="Q1641" i="14"/>
  <c r="E312" i="14"/>
  <c r="N546" i="14"/>
  <c r="N547" i="14" s="1"/>
  <c r="J262" i="22"/>
  <c r="J338" i="8"/>
  <c r="I546" i="14"/>
  <c r="I547" i="14"/>
  <c r="H207" i="22"/>
  <c r="I431" i="14"/>
  <c r="I432" i="14" s="1"/>
  <c r="F216" i="22"/>
  <c r="F292" i="8"/>
  <c r="J429" i="14"/>
  <c r="J428" i="14"/>
  <c r="E269" i="8"/>
  <c r="E193" i="22"/>
  <c r="K277" i="8"/>
  <c r="K201" i="22"/>
  <c r="K314" i="8"/>
  <c r="K238" i="22"/>
  <c r="N249" i="22"/>
  <c r="N325" i="8"/>
  <c r="M5" i="7"/>
  <c r="L5" i="7"/>
  <c r="K5" i="7"/>
  <c r="N5" i="7"/>
  <c r="J5" i="7"/>
  <c r="Q6" i="7"/>
  <c r="G5" i="7"/>
  <c r="I5" i="7"/>
  <c r="E5" i="7"/>
  <c r="Q7" i="7"/>
  <c r="F5" i="7"/>
  <c r="H5" i="7"/>
  <c r="L295" i="8"/>
  <c r="L219" i="22"/>
  <c r="H924" i="14"/>
  <c r="H907" i="14"/>
  <c r="I924" i="14"/>
  <c r="I907" i="14"/>
  <c r="M312" i="21"/>
  <c r="N280" i="21"/>
  <c r="M278" i="21"/>
  <c r="E431" i="14"/>
  <c r="E432" i="14" s="1"/>
  <c r="Q1637" i="14"/>
  <c r="F1689" i="14"/>
  <c r="F1738" i="14" s="1"/>
  <c r="F1787" i="14" s="1"/>
  <c r="F1836" i="14" s="1"/>
  <c r="J924" i="14"/>
  <c r="J907" i="14"/>
  <c r="M907" i="14"/>
  <c r="M924" i="14"/>
  <c r="J339" i="8"/>
  <c r="J263" i="22"/>
  <c r="F428" i="14"/>
  <c r="J276" i="8"/>
  <c r="J200" i="22"/>
  <c r="I201" i="22"/>
  <c r="N907" i="14"/>
  <c r="N924" i="14"/>
  <c r="L924" i="14"/>
  <c r="L907" i="14"/>
  <c r="K924" i="14"/>
  <c r="K907" i="14"/>
  <c r="M349" i="14"/>
  <c r="M348" i="14"/>
  <c r="F1642" i="14"/>
  <c r="Q1593" i="14"/>
  <c r="M271" i="8"/>
  <c r="M195" i="22"/>
  <c r="M143" i="22"/>
  <c r="I200" i="22"/>
  <c r="I277" i="8" s="1"/>
  <c r="I276" i="8"/>
  <c r="H295" i="8"/>
  <c r="H219" i="22"/>
  <c r="J251" i="22"/>
  <c r="J327" i="8"/>
  <c r="M218" i="22"/>
  <c r="M294" i="8"/>
  <c r="N290" i="21"/>
  <c r="O290" i="21" s="1"/>
  <c r="P290" i="21" s="1"/>
  <c r="Q290" i="21" s="1"/>
  <c r="O277" i="21"/>
  <c r="N286" i="21"/>
  <c r="O286" i="21" s="1"/>
  <c r="P286" i="21" s="1"/>
  <c r="Q286" i="21" s="1"/>
  <c r="N282" i="21"/>
  <c r="O282" i="21" s="1"/>
  <c r="P282" i="21" s="1"/>
  <c r="Q282" i="21" s="1"/>
  <c r="G907" i="14"/>
  <c r="G924" i="14"/>
  <c r="F924" i="14"/>
  <c r="F907" i="14"/>
  <c r="E924" i="14"/>
  <c r="E907" i="14"/>
  <c r="F546" i="14"/>
  <c r="F547" i="14" s="1"/>
  <c r="J657" i="14"/>
  <c r="I249" i="22"/>
  <c r="I325" i="8"/>
  <c r="I349" i="14"/>
  <c r="N283" i="8"/>
  <c r="N207" i="22"/>
  <c r="F207" i="22"/>
  <c r="J205" i="22"/>
  <c r="J281" i="8"/>
  <c r="E206" i="22"/>
  <c r="E207" i="22" s="1"/>
  <c r="E282" i="8"/>
  <c r="I206" i="22"/>
  <c r="I283" i="8" s="1"/>
  <c r="I282" i="8"/>
  <c r="J386" i="14"/>
  <c r="E143" i="22"/>
  <c r="K283" i="8"/>
  <c r="I389" i="14"/>
  <c r="L283" i="8"/>
  <c r="L207" i="22"/>
  <c r="I307" i="8"/>
  <c r="I231" i="22"/>
  <c r="I143" i="22" s="1"/>
  <c r="N507" i="14"/>
  <c r="N508" i="14" s="1"/>
  <c r="N510" i="14" s="1"/>
  <c r="L1387" i="14"/>
  <c r="J177" i="14"/>
  <c r="J178" i="14" s="1"/>
  <c r="J147" i="14"/>
  <c r="J189" i="37"/>
  <c r="F231" i="22"/>
  <c r="F307" i="8"/>
  <c r="J507" i="14"/>
  <c r="N142" i="22"/>
  <c r="F508" i="14"/>
  <c r="J230" i="22"/>
  <c r="J306" i="8"/>
  <c r="E232" i="22"/>
  <c r="E308" i="8"/>
  <c r="N1592" i="14"/>
  <c r="H1488" i="14"/>
  <c r="H232" i="22"/>
  <c r="H308" i="8"/>
  <c r="K1398" i="14"/>
  <c r="K143" i="22"/>
  <c r="I308" i="8"/>
  <c r="I232" i="22"/>
  <c r="C5" i="42"/>
  <c r="C5" i="41"/>
  <c r="C5" i="29"/>
  <c r="C5" i="31"/>
  <c r="C5" i="28"/>
  <c r="C5" i="20"/>
  <c r="E1390" i="14"/>
  <c r="I511" i="14"/>
  <c r="L1497" i="14"/>
  <c r="E511" i="14"/>
  <c r="L144" i="22"/>
  <c r="L145" i="22" s="1"/>
  <c r="L233" i="22"/>
  <c r="L309" i="8"/>
  <c r="K232" i="22"/>
  <c r="K144" i="22" s="1"/>
  <c r="K308" i="8"/>
  <c r="N1701" i="14"/>
  <c r="G314" i="8"/>
  <c r="G238" i="22"/>
  <c r="G313" i="14"/>
  <c r="G270" i="8"/>
  <c r="G194" i="22"/>
  <c r="M1500" i="14"/>
  <c r="G582" i="14"/>
  <c r="G280" i="8"/>
  <c r="G204" i="22"/>
  <c r="G263" i="22"/>
  <c r="J1540" i="14"/>
  <c r="G233" i="22"/>
  <c r="G276" i="8"/>
  <c r="G200" i="22"/>
  <c r="I1589" i="14"/>
  <c r="E1736" i="14"/>
  <c r="G385" i="14"/>
  <c r="G386" i="14" s="1"/>
  <c r="G326" i="8"/>
  <c r="G250" i="22"/>
  <c r="G327" i="8" s="1"/>
  <c r="E973" i="14" l="1"/>
  <c r="E956" i="14"/>
  <c r="G98" i="8"/>
  <c r="G251" i="14"/>
  <c r="G253" i="14" s="1"/>
  <c r="G8" i="22"/>
  <c r="G234" i="14"/>
  <c r="G236" i="14" s="1"/>
  <c r="G217" i="14"/>
  <c r="G219" i="14" s="1"/>
  <c r="K217" i="14"/>
  <c r="K219" i="14" s="1"/>
  <c r="K251" i="14"/>
  <c r="K253" i="14" s="1"/>
  <c r="K8" i="22"/>
  <c r="K234" i="14"/>
  <c r="K236" i="14" s="1"/>
  <c r="K98" i="8"/>
  <c r="M217" i="14"/>
  <c r="M219" i="14" s="1"/>
  <c r="M8" i="22"/>
  <c r="M98" i="8"/>
  <c r="M251" i="14"/>
  <c r="M253" i="14" s="1"/>
  <c r="M234" i="14"/>
  <c r="M236" i="14" s="1"/>
  <c r="G11" i="7"/>
  <c r="G10" i="7"/>
  <c r="G9" i="7"/>
  <c r="F142" i="22"/>
  <c r="E270" i="8"/>
  <c r="E194" i="22"/>
  <c r="F217" i="14"/>
  <c r="F219" i="14" s="1"/>
  <c r="F234" i="14"/>
  <c r="F236" i="14" s="1"/>
  <c r="F8" i="22"/>
  <c r="F251" i="14"/>
  <c r="F253" i="14" s="1"/>
  <c r="F98" i="8"/>
  <c r="M200" i="22"/>
  <c r="M276" i="8"/>
  <c r="K973" i="14"/>
  <c r="K956" i="14"/>
  <c r="N251" i="14"/>
  <c r="N253" i="14" s="1"/>
  <c r="N98" i="8"/>
  <c r="N217" i="14"/>
  <c r="N219" i="14" s="1"/>
  <c r="N234" i="14"/>
  <c r="N236" i="14" s="1"/>
  <c r="N8" i="22"/>
  <c r="J277" i="8"/>
  <c r="J201" i="22"/>
  <c r="J8" i="22"/>
  <c r="J251" i="14"/>
  <c r="J253" i="14" s="1"/>
  <c r="J98" i="8"/>
  <c r="J234" i="14"/>
  <c r="J236" i="14" s="1"/>
  <c r="J217" i="14"/>
  <c r="J219" i="14" s="1"/>
  <c r="I956" i="14"/>
  <c r="I973" i="14"/>
  <c r="J7" i="7"/>
  <c r="L7" i="7"/>
  <c r="K7" i="7"/>
  <c r="H7" i="7"/>
  <c r="E7" i="7"/>
  <c r="M7" i="7"/>
  <c r="I7" i="7"/>
  <c r="F7" i="7"/>
  <c r="N7" i="7"/>
  <c r="G7" i="7"/>
  <c r="M6" i="7"/>
  <c r="L6" i="7"/>
  <c r="K6" i="7"/>
  <c r="I6" i="7"/>
  <c r="J6" i="7"/>
  <c r="E6" i="7"/>
  <c r="E46" i="20" s="1"/>
  <c r="F6" i="7"/>
  <c r="H6" i="7"/>
  <c r="N6" i="7"/>
  <c r="G6" i="7"/>
  <c r="L11" i="7"/>
  <c r="L9" i="7"/>
  <c r="L10" i="7"/>
  <c r="J217" i="22"/>
  <c r="J293" i="8"/>
  <c r="I326" i="8"/>
  <c r="I250" i="22"/>
  <c r="F1694" i="14"/>
  <c r="F1743" i="14" s="1"/>
  <c r="F1792" i="14" s="1"/>
  <c r="F1841" i="14" s="1"/>
  <c r="Q1642" i="14"/>
  <c r="N973" i="14"/>
  <c r="N956" i="14"/>
  <c r="F293" i="8"/>
  <c r="F217" i="22"/>
  <c r="I8" i="22"/>
  <c r="I234" i="14"/>
  <c r="I236" i="14" s="1"/>
  <c r="I251" i="14"/>
  <c r="I253" i="14" s="1"/>
  <c r="I98" i="8"/>
  <c r="I217" i="14"/>
  <c r="I219" i="14" s="1"/>
  <c r="F10" i="7"/>
  <c r="F11" i="7"/>
  <c r="F9" i="7"/>
  <c r="K11" i="7"/>
  <c r="K9" i="7"/>
  <c r="K10" i="7"/>
  <c r="F326" i="8"/>
  <c r="F250" i="22"/>
  <c r="F956" i="14"/>
  <c r="F973" i="14"/>
  <c r="M219" i="22"/>
  <c r="M295" i="8"/>
  <c r="L8" i="22"/>
  <c r="L98" i="8"/>
  <c r="L251" i="14"/>
  <c r="L253" i="14" s="1"/>
  <c r="L217" i="14"/>
  <c r="L219" i="14" s="1"/>
  <c r="L234" i="14"/>
  <c r="L236" i="14" s="1"/>
  <c r="J956" i="14"/>
  <c r="J973" i="14"/>
  <c r="E218" i="22"/>
  <c r="E294" i="8"/>
  <c r="N278" i="21"/>
  <c r="N312" i="21"/>
  <c r="O280" i="21"/>
  <c r="H217" i="14"/>
  <c r="H219" i="14" s="1"/>
  <c r="H98" i="8"/>
  <c r="H251" i="14"/>
  <c r="H253" i="14" s="1"/>
  <c r="H234" i="14"/>
  <c r="H236" i="14" s="1"/>
  <c r="H8" i="22"/>
  <c r="E24" i="29"/>
  <c r="E47" i="20"/>
  <c r="E16" i="41"/>
  <c r="E23" i="20"/>
  <c r="L27" i="11"/>
  <c r="F24" i="11"/>
  <c r="E17" i="31"/>
  <c r="E18" i="28"/>
  <c r="E9" i="7"/>
  <c r="E11" i="7"/>
  <c r="E51" i="20" s="1"/>
  <c r="E10" i="7"/>
  <c r="E50" i="20" s="1"/>
  <c r="J9" i="7"/>
  <c r="J12" i="7" s="1"/>
  <c r="J10" i="7"/>
  <c r="J11" i="7"/>
  <c r="M11" i="7"/>
  <c r="M10" i="7"/>
  <c r="M9" i="7"/>
  <c r="J431" i="14"/>
  <c r="J432" i="14" s="1"/>
  <c r="I218" i="22"/>
  <c r="I294" i="8"/>
  <c r="N326" i="8"/>
  <c r="N250" i="22"/>
  <c r="I251" i="22"/>
  <c r="I327" i="8"/>
  <c r="E98" i="8"/>
  <c r="E8" i="22"/>
  <c r="E217" i="14"/>
  <c r="E219" i="14" s="1"/>
  <c r="E251" i="14"/>
  <c r="E253" i="14" s="1"/>
  <c r="E234" i="14"/>
  <c r="E236" i="14" s="1"/>
  <c r="G956" i="14"/>
  <c r="G973" i="14"/>
  <c r="P277" i="21"/>
  <c r="O291" i="21"/>
  <c r="P291" i="21" s="1"/>
  <c r="Q291" i="21" s="1"/>
  <c r="R291" i="21" s="1"/>
  <c r="O283" i="21"/>
  <c r="P283" i="21" s="1"/>
  <c r="Q283" i="21" s="1"/>
  <c r="R283" i="21" s="1"/>
  <c r="O287" i="21"/>
  <c r="P287" i="21" s="1"/>
  <c r="Q287" i="21" s="1"/>
  <c r="R287" i="21" s="1"/>
  <c r="L973" i="14"/>
  <c r="L956" i="14"/>
  <c r="F429" i="14"/>
  <c r="M973" i="14"/>
  <c r="M956" i="14"/>
  <c r="H956" i="14"/>
  <c r="H973" i="14"/>
  <c r="H10" i="7"/>
  <c r="H11" i="7"/>
  <c r="H9" i="7"/>
  <c r="I10" i="7"/>
  <c r="I9" i="7"/>
  <c r="I12" i="7" s="1"/>
  <c r="I11" i="7"/>
  <c r="N9" i="7"/>
  <c r="N10" i="7"/>
  <c r="N11" i="7"/>
  <c r="K239" i="22"/>
  <c r="K315" i="8"/>
  <c r="E271" i="8"/>
  <c r="E195" i="22"/>
  <c r="E313" i="14"/>
  <c r="L134" i="37"/>
  <c r="E283" i="8"/>
  <c r="I207" i="22"/>
  <c r="J388" i="14"/>
  <c r="J389" i="14" s="1"/>
  <c r="J231" i="22"/>
  <c r="J143" i="22" s="1"/>
  <c r="J307" i="8"/>
  <c r="N511" i="14"/>
  <c r="N308" i="8"/>
  <c r="N232" i="22"/>
  <c r="N144" i="22" s="1"/>
  <c r="J142" i="22"/>
  <c r="N307" i="8"/>
  <c r="N231" i="22"/>
  <c r="F510" i="14"/>
  <c r="F511" i="14" s="1"/>
  <c r="J508" i="14"/>
  <c r="F143" i="22"/>
  <c r="L1436" i="14"/>
  <c r="K309" i="8"/>
  <c r="E1439" i="14"/>
  <c r="K145" i="22"/>
  <c r="H144" i="22"/>
  <c r="H145" i="22" s="1"/>
  <c r="H233" i="22"/>
  <c r="H134" i="37" s="1"/>
  <c r="H309" i="8"/>
  <c r="H1537" i="14"/>
  <c r="N1641" i="14"/>
  <c r="E144" i="22"/>
  <c r="E145" i="22" s="1"/>
  <c r="E309" i="8"/>
  <c r="E233" i="22"/>
  <c r="L1546" i="14"/>
  <c r="I144" i="22"/>
  <c r="I145" i="22" s="1"/>
  <c r="I309" i="8"/>
  <c r="I233" i="22"/>
  <c r="K233" i="22"/>
  <c r="K134" i="37" s="1"/>
  <c r="K1447" i="14"/>
  <c r="G239" i="22"/>
  <c r="G315" i="8"/>
  <c r="M1549" i="14"/>
  <c r="G271" i="8"/>
  <c r="G195" i="22"/>
  <c r="N1750" i="14"/>
  <c r="G251" i="22"/>
  <c r="G281" i="8"/>
  <c r="G205" i="22"/>
  <c r="G143" i="22" s="1"/>
  <c r="G142" i="22"/>
  <c r="E1785" i="14"/>
  <c r="G277" i="8"/>
  <c r="G201" i="22"/>
  <c r="G388" i="14"/>
  <c r="G389" i="14" s="1"/>
  <c r="I1638" i="14"/>
  <c r="J1589" i="14"/>
  <c r="N12" i="7" l="1"/>
  <c r="H12" i="7"/>
  <c r="H255" i="14"/>
  <c r="H257" i="14" s="1"/>
  <c r="H221" i="14"/>
  <c r="H223" i="14" s="1"/>
  <c r="H99" i="8"/>
  <c r="H9" i="22"/>
  <c r="H238" i="14"/>
  <c r="H240" i="14" s="1"/>
  <c r="L255" i="14"/>
  <c r="L257" i="14" s="1"/>
  <c r="L238" i="14"/>
  <c r="L240" i="14" s="1"/>
  <c r="L99" i="8"/>
  <c r="L9" i="22"/>
  <c r="L221" i="14"/>
  <c r="L223" i="14" s="1"/>
  <c r="E122" i="8"/>
  <c r="E754" i="14"/>
  <c r="E756" i="14" s="1"/>
  <c r="E32" i="22"/>
  <c r="H771" i="14"/>
  <c r="H773" i="14" s="1"/>
  <c r="H38" i="22"/>
  <c r="H128" i="8"/>
  <c r="J1005" i="14"/>
  <c r="J1022" i="14"/>
  <c r="L38" i="22"/>
  <c r="L771" i="14"/>
  <c r="L773" i="14" s="1"/>
  <c r="L128" i="8"/>
  <c r="F327" i="8"/>
  <c r="F251" i="22"/>
  <c r="I26" i="22"/>
  <c r="I737" i="14"/>
  <c r="I739" i="14" s="1"/>
  <c r="I116" i="8"/>
  <c r="I15" i="22"/>
  <c r="I105" i="8"/>
  <c r="N1022" i="14"/>
  <c r="N1005" i="14"/>
  <c r="I14" i="7"/>
  <c r="I15" i="7" s="1"/>
  <c r="I238" i="14"/>
  <c r="I240" i="14" s="1"/>
  <c r="I255" i="14"/>
  <c r="I257" i="14" s="1"/>
  <c r="I221" i="14"/>
  <c r="I223" i="14" s="1"/>
  <c r="I9" i="22"/>
  <c r="I99" i="8"/>
  <c r="J38" i="22"/>
  <c r="J771" i="14"/>
  <c r="J773" i="14" s="1"/>
  <c r="J128" i="8"/>
  <c r="N105" i="8"/>
  <c r="N15" i="22"/>
  <c r="N128" i="8"/>
  <c r="N771" i="14"/>
  <c r="N773" i="14" s="1"/>
  <c r="N38" i="22"/>
  <c r="M144" i="22"/>
  <c r="M145" i="22" s="1"/>
  <c r="M277" i="8"/>
  <c r="M201" i="22"/>
  <c r="M134" i="37" s="1"/>
  <c r="F15" i="22"/>
  <c r="F105" i="8"/>
  <c r="G12" i="7"/>
  <c r="M128" i="8"/>
  <c r="M771" i="14"/>
  <c r="M773" i="14" s="1"/>
  <c r="M38" i="22"/>
  <c r="K116" i="8"/>
  <c r="K737" i="14"/>
  <c r="K739" i="14" s="1"/>
  <c r="K26" i="22"/>
  <c r="G771" i="14"/>
  <c r="G773" i="14" s="1"/>
  <c r="G128" i="8"/>
  <c r="G38" i="22"/>
  <c r="M99" i="8"/>
  <c r="M221" i="14"/>
  <c r="M223" i="14" s="1"/>
  <c r="M238" i="14"/>
  <c r="M240" i="14" s="1"/>
  <c r="M255" i="14"/>
  <c r="M257" i="14" s="1"/>
  <c r="M9" i="22"/>
  <c r="L1022" i="14"/>
  <c r="L1005" i="14"/>
  <c r="Q277" i="21"/>
  <c r="P292" i="21"/>
  <c r="Q292" i="21" s="1"/>
  <c r="R292" i="21" s="1"/>
  <c r="S292" i="21" s="1"/>
  <c r="P284" i="21"/>
  <c r="Q284" i="21" s="1"/>
  <c r="R284" i="21" s="1"/>
  <c r="S284" i="21" s="1"/>
  <c r="P288" i="21"/>
  <c r="Q288" i="21" s="1"/>
  <c r="R288" i="21" s="1"/>
  <c r="S288" i="21" s="1"/>
  <c r="E128" i="8"/>
  <c r="E38" i="22"/>
  <c r="E771" i="14"/>
  <c r="E773" i="14" s="1"/>
  <c r="M12" i="7"/>
  <c r="E49" i="20"/>
  <c r="E12" i="7"/>
  <c r="J9" i="22"/>
  <c r="J99" i="8"/>
  <c r="J255" i="14"/>
  <c r="J257" i="14" s="1"/>
  <c r="J238" i="14"/>
  <c r="J240" i="14" s="1"/>
  <c r="J221" i="14"/>
  <c r="J223" i="14" s="1"/>
  <c r="F12" i="7"/>
  <c r="L12" i="7"/>
  <c r="L14" i="7" s="1"/>
  <c r="L15" i="7" s="1"/>
  <c r="G14" i="7"/>
  <c r="G15" i="7" s="1"/>
  <c r="M14" i="7"/>
  <c r="M15" i="7" s="1"/>
  <c r="J116" i="8"/>
  <c r="J737" i="14"/>
  <c r="J739" i="14" s="1"/>
  <c r="J26" i="22"/>
  <c r="J15" i="22"/>
  <c r="J105" i="8"/>
  <c r="N32" i="22"/>
  <c r="N122" i="8"/>
  <c r="N754" i="14"/>
  <c r="N756" i="14" s="1"/>
  <c r="K221" i="14"/>
  <c r="K223" i="14" s="1"/>
  <c r="K255" i="14"/>
  <c r="K257" i="14" s="1"/>
  <c r="K99" i="8"/>
  <c r="K9" i="22"/>
  <c r="K238" i="14"/>
  <c r="K240" i="14" s="1"/>
  <c r="F32" i="22"/>
  <c r="F754" i="14"/>
  <c r="F756" i="14" s="1"/>
  <c r="F122" i="8"/>
  <c r="K122" i="8"/>
  <c r="K32" i="22"/>
  <c r="K754" i="14"/>
  <c r="K756" i="14" s="1"/>
  <c r="G116" i="8"/>
  <c r="G737" i="14"/>
  <c r="G739" i="14" s="1"/>
  <c r="G26" i="22"/>
  <c r="R24" i="41"/>
  <c r="R25" i="31"/>
  <c r="R32" i="29"/>
  <c r="R26" i="28"/>
  <c r="R31" i="20"/>
  <c r="M1005" i="14"/>
  <c r="M1022" i="14"/>
  <c r="G1022" i="14"/>
  <c r="G1005" i="14"/>
  <c r="E26" i="22"/>
  <c r="E116" i="8"/>
  <c r="E737" i="14"/>
  <c r="E739" i="14" s="1"/>
  <c r="I219" i="22"/>
  <c r="I295" i="8"/>
  <c r="E26" i="29"/>
  <c r="E27" i="29" s="1"/>
  <c r="E18" i="41"/>
  <c r="E19" i="41" s="1"/>
  <c r="E19" i="31"/>
  <c r="E20" i="31" s="1"/>
  <c r="E20" i="28"/>
  <c r="E21" i="28" s="1"/>
  <c r="H105" i="8"/>
  <c r="H15" i="22"/>
  <c r="H116" i="8"/>
  <c r="H737" i="14"/>
  <c r="H739" i="14" s="1"/>
  <c r="H26" i="22"/>
  <c r="L754" i="14"/>
  <c r="L756" i="14" s="1"/>
  <c r="L32" i="22"/>
  <c r="L122" i="8"/>
  <c r="L15" i="22"/>
  <c r="L105" i="8"/>
  <c r="F1005" i="14"/>
  <c r="F1022" i="14"/>
  <c r="I128" i="8"/>
  <c r="I771" i="14"/>
  <c r="I773" i="14" s="1"/>
  <c r="I38" i="22"/>
  <c r="N14" i="7"/>
  <c r="N15" i="7" s="1"/>
  <c r="E14" i="7"/>
  <c r="J14" i="7"/>
  <c r="J15" i="7" s="1"/>
  <c r="J122" i="8"/>
  <c r="J754" i="14"/>
  <c r="J756" i="14" s="1"/>
  <c r="J32" i="22"/>
  <c r="N737" i="14"/>
  <c r="N739" i="14" s="1"/>
  <c r="N116" i="8"/>
  <c r="N26" i="22"/>
  <c r="K1022" i="14"/>
  <c r="K1005" i="14"/>
  <c r="F737" i="14"/>
  <c r="F739" i="14" s="1"/>
  <c r="F26" i="22"/>
  <c r="F116" i="8"/>
  <c r="M15" i="22"/>
  <c r="M105" i="8"/>
  <c r="K15" i="22"/>
  <c r="K105" i="8"/>
  <c r="G32" i="22"/>
  <c r="G122" i="8"/>
  <c r="G754" i="14"/>
  <c r="G756" i="14" s="1"/>
  <c r="E255" i="14"/>
  <c r="E257" i="14" s="1"/>
  <c r="E238" i="14"/>
  <c r="E240" i="14" s="1"/>
  <c r="E99" i="8"/>
  <c r="E221" i="14"/>
  <c r="E223" i="14" s="1"/>
  <c r="E9" i="22"/>
  <c r="H1005" i="14"/>
  <c r="H1022" i="14"/>
  <c r="F431" i="14"/>
  <c r="F432" i="14"/>
  <c r="G238" i="14"/>
  <c r="G240" i="14" s="1"/>
  <c r="G9" i="22"/>
  <c r="G255" i="14"/>
  <c r="G257" i="14" s="1"/>
  <c r="G99" i="8"/>
  <c r="G221" i="14"/>
  <c r="G223" i="14" s="1"/>
  <c r="G18" i="28"/>
  <c r="E15" i="22"/>
  <c r="G16" i="41"/>
  <c r="G24" i="29"/>
  <c r="G23" i="20"/>
  <c r="G17" i="31"/>
  <c r="E105" i="8"/>
  <c r="G47" i="20"/>
  <c r="N251" i="22"/>
  <c r="N327" i="8"/>
  <c r="J294" i="8"/>
  <c r="J218" i="22"/>
  <c r="J295" i="8" s="1"/>
  <c r="H32" i="22"/>
  <c r="H122" i="8"/>
  <c r="H754" i="14"/>
  <c r="H756" i="14" s="1"/>
  <c r="O278" i="21"/>
  <c r="P280" i="21"/>
  <c r="O312" i="21"/>
  <c r="O313" i="21" s="1"/>
  <c r="E219" i="22"/>
  <c r="E295" i="8"/>
  <c r="L26" i="22"/>
  <c r="L116" i="8"/>
  <c r="L737" i="14"/>
  <c r="L739" i="14" s="1"/>
  <c r="F221" i="14"/>
  <c r="F223" i="14" s="1"/>
  <c r="F238" i="14"/>
  <c r="F240" i="14" s="1"/>
  <c r="F9" i="22"/>
  <c r="F255" i="14"/>
  <c r="F257" i="14" s="1"/>
  <c r="F99" i="8"/>
  <c r="K12" i="7"/>
  <c r="K14" i="7" s="1"/>
  <c r="K15" i="7" s="1"/>
  <c r="I32" i="22"/>
  <c r="I122" i="8"/>
  <c r="I754" i="14"/>
  <c r="I756" i="14" s="1"/>
  <c r="N9" i="22"/>
  <c r="N238" i="14"/>
  <c r="N240" i="14" s="1"/>
  <c r="N221" i="14"/>
  <c r="N223" i="14" s="1"/>
  <c r="N99" i="8"/>
  <c r="N255" i="14"/>
  <c r="N257" i="14" s="1"/>
  <c r="J219" i="22"/>
  <c r="F14" i="7"/>
  <c r="F15" i="7" s="1"/>
  <c r="H14" i="7"/>
  <c r="H15" i="7" s="1"/>
  <c r="I1005" i="14"/>
  <c r="I1022" i="14"/>
  <c r="F128" i="8"/>
  <c r="F38" i="22"/>
  <c r="F771" i="14"/>
  <c r="F773" i="14" s="1"/>
  <c r="M122" i="8"/>
  <c r="M754" i="14"/>
  <c r="M756" i="14" s="1"/>
  <c r="M32" i="22"/>
  <c r="M737" i="14"/>
  <c r="M739" i="14" s="1"/>
  <c r="M26" i="22"/>
  <c r="M116" i="8"/>
  <c r="K128" i="8"/>
  <c r="K38" i="22"/>
  <c r="K771" i="14"/>
  <c r="K773" i="14" s="1"/>
  <c r="G15" i="22"/>
  <c r="G105" i="8"/>
  <c r="E1022" i="14"/>
  <c r="E1005" i="14"/>
  <c r="J206" i="22"/>
  <c r="J282" i="8"/>
  <c r="N143" i="22"/>
  <c r="N145" i="22" s="1"/>
  <c r="N233" i="22"/>
  <c r="N134" i="37" s="1"/>
  <c r="N309" i="8"/>
  <c r="F308" i="8"/>
  <c r="F232" i="22"/>
  <c r="L1488" i="14"/>
  <c r="J510" i="14"/>
  <c r="R32" i="20"/>
  <c r="R26" i="31"/>
  <c r="R27" i="31" s="1"/>
  <c r="R33" i="29"/>
  <c r="R34" i="29" s="1"/>
  <c r="R25" i="41"/>
  <c r="R26" i="41" s="1"/>
  <c r="R27" i="28"/>
  <c r="R28" i="28" s="1"/>
  <c r="H1586" i="14"/>
  <c r="K1499" i="14"/>
  <c r="E1491" i="14"/>
  <c r="L1595" i="14"/>
  <c r="E134" i="37"/>
  <c r="R53" i="20"/>
  <c r="N1693" i="14"/>
  <c r="I134" i="37"/>
  <c r="N1799" i="14"/>
  <c r="M1598" i="14"/>
  <c r="E1834" i="14"/>
  <c r="J1638" i="14"/>
  <c r="I1690" i="14"/>
  <c r="G206" i="22"/>
  <c r="G282" i="8"/>
  <c r="O314" i="21" l="1"/>
  <c r="D4" i="43"/>
  <c r="D5" i="43" s="1"/>
  <c r="M788" i="14"/>
  <c r="M790" i="14" s="1"/>
  <c r="M168" i="22"/>
  <c r="M244" i="8"/>
  <c r="I225" i="14"/>
  <c r="I227" i="14" s="1"/>
  <c r="I259" i="14"/>
  <c r="I261" i="14" s="1"/>
  <c r="I100" i="8"/>
  <c r="I10" i="22"/>
  <c r="I242" i="14"/>
  <c r="I244" i="14" s="1"/>
  <c r="G741" i="14"/>
  <c r="G743" i="14" s="1"/>
  <c r="G27" i="22"/>
  <c r="G117" i="8"/>
  <c r="G123" i="8"/>
  <c r="G33" i="22"/>
  <c r="G758" i="14"/>
  <c r="G760" i="14" s="1"/>
  <c r="H1074" i="14"/>
  <c r="H1054" i="14"/>
  <c r="F244" i="8"/>
  <c r="F788" i="14"/>
  <c r="F790" i="14" s="1"/>
  <c r="F168" i="22"/>
  <c r="F10" i="22"/>
  <c r="F242" i="14"/>
  <c r="F244" i="14" s="1"/>
  <c r="F225" i="14"/>
  <c r="F227" i="14" s="1"/>
  <c r="F259" i="14"/>
  <c r="F261" i="14" s="1"/>
  <c r="F100" i="8"/>
  <c r="H168" i="22"/>
  <c r="H244" i="8"/>
  <c r="H788" i="14"/>
  <c r="H790" i="14" s="1"/>
  <c r="E168" i="22"/>
  <c r="E244" i="8"/>
  <c r="E788" i="14"/>
  <c r="E790" i="14" s="1"/>
  <c r="G1074" i="14"/>
  <c r="G1054" i="14"/>
  <c r="K805" i="14"/>
  <c r="K807" i="14" s="1"/>
  <c r="K250" i="8"/>
  <c r="K174" i="22"/>
  <c r="K106" i="8"/>
  <c r="K16" i="22"/>
  <c r="N805" i="14"/>
  <c r="N807" i="14" s="1"/>
  <c r="N250" i="8"/>
  <c r="N174" i="22"/>
  <c r="J129" i="8"/>
  <c r="J39" i="22"/>
  <c r="J775" i="14"/>
  <c r="J777" i="14" s="1"/>
  <c r="R277" i="21"/>
  <c r="Q293" i="21"/>
  <c r="R293" i="21" s="1"/>
  <c r="S293" i="21" s="1"/>
  <c r="T293" i="21" s="1"/>
  <c r="Q281" i="21"/>
  <c r="R281" i="21" s="1"/>
  <c r="S281" i="21" s="1"/>
  <c r="T281" i="21" s="1"/>
  <c r="Q289" i="21"/>
  <c r="R289" i="21" s="1"/>
  <c r="S289" i="21" s="1"/>
  <c r="T289" i="21" s="1"/>
  <c r="Q285" i="21"/>
  <c r="R285" i="21" s="1"/>
  <c r="S285" i="21" s="1"/>
  <c r="T285" i="21" s="1"/>
  <c r="M129" i="8"/>
  <c r="M39" i="22"/>
  <c r="M775" i="14"/>
  <c r="M777" i="14" s="1"/>
  <c r="K168" i="22"/>
  <c r="K788" i="14"/>
  <c r="K790" i="14" s="1"/>
  <c r="K244" i="8"/>
  <c r="I129" i="8"/>
  <c r="I775" i="14"/>
  <c r="I777" i="14" s="1"/>
  <c r="I39" i="22"/>
  <c r="N10" i="22"/>
  <c r="N100" i="8"/>
  <c r="N242" i="14"/>
  <c r="N244" i="14" s="1"/>
  <c r="N259" i="14"/>
  <c r="N261" i="14" s="1"/>
  <c r="N225" i="14"/>
  <c r="N227" i="14" s="1"/>
  <c r="E250" i="8"/>
  <c r="E805" i="14"/>
  <c r="E807" i="14" s="1"/>
  <c r="E174" i="22"/>
  <c r="L16" i="22"/>
  <c r="L106" i="8"/>
  <c r="H758" i="14"/>
  <c r="H760" i="14" s="1"/>
  <c r="H33" i="22"/>
  <c r="H123" i="8"/>
  <c r="H39" i="22"/>
  <c r="H129" i="8"/>
  <c r="H775" i="14"/>
  <c r="H777" i="14" s="1"/>
  <c r="N758" i="14"/>
  <c r="N760" i="14" s="1"/>
  <c r="N123" i="8"/>
  <c r="N33" i="22"/>
  <c r="R33" i="20"/>
  <c r="E225" i="14"/>
  <c r="E227" i="14" s="1"/>
  <c r="E10" i="22"/>
  <c r="E259" i="14"/>
  <c r="E261" i="14" s="1"/>
  <c r="E242" i="14"/>
  <c r="E244" i="14" s="1"/>
  <c r="E100" i="8"/>
  <c r="N129" i="8"/>
  <c r="N775" i="14"/>
  <c r="N777" i="14" s="1"/>
  <c r="N39" i="22"/>
  <c r="N106" i="8"/>
  <c r="N16" i="22"/>
  <c r="F33" i="22"/>
  <c r="F758" i="14"/>
  <c r="F760" i="14" s="1"/>
  <c r="F123" i="8"/>
  <c r="Q280" i="21"/>
  <c r="P312" i="21"/>
  <c r="P278" i="21"/>
  <c r="H100" i="8"/>
  <c r="H259" i="14"/>
  <c r="H261" i="14" s="1"/>
  <c r="H10" i="22"/>
  <c r="H242" i="14"/>
  <c r="H244" i="14" s="1"/>
  <c r="H225" i="14"/>
  <c r="H227" i="14" s="1"/>
  <c r="E123" i="8"/>
  <c r="E758" i="14"/>
  <c r="E760" i="14" s="1"/>
  <c r="E33" i="22"/>
  <c r="I50" i="20" s="1"/>
  <c r="K259" i="14"/>
  <c r="K261" i="14" s="1"/>
  <c r="K242" i="14"/>
  <c r="K244" i="14" s="1"/>
  <c r="K10" i="22"/>
  <c r="K100" i="8"/>
  <c r="K225" i="14"/>
  <c r="K227" i="14" s="1"/>
  <c r="N244" i="8"/>
  <c r="N788" i="14"/>
  <c r="N790" i="14" s="1"/>
  <c r="N168" i="22"/>
  <c r="I822" i="14"/>
  <c r="I824" i="14" s="1"/>
  <c r="I256" i="8"/>
  <c r="I180" i="22"/>
  <c r="F174" i="22"/>
  <c r="F805" i="14"/>
  <c r="F807" i="14" s="1"/>
  <c r="F250" i="8"/>
  <c r="L225" i="14"/>
  <c r="L227" i="14" s="1"/>
  <c r="L10" i="22"/>
  <c r="L259" i="14"/>
  <c r="L261" i="14" s="1"/>
  <c r="L100" i="8"/>
  <c r="L242" i="14"/>
  <c r="L244" i="14" s="1"/>
  <c r="M33" i="22"/>
  <c r="M123" i="8"/>
  <c r="M758" i="14"/>
  <c r="M760" i="14" s="1"/>
  <c r="N180" i="22"/>
  <c r="N256" i="8"/>
  <c r="N822" i="14"/>
  <c r="N824" i="14" s="1"/>
  <c r="I123" i="8"/>
  <c r="I758" i="14"/>
  <c r="I760" i="14" s="1"/>
  <c r="I33" i="22"/>
  <c r="N1054" i="14"/>
  <c r="N1074" i="14"/>
  <c r="J1074" i="14"/>
  <c r="J1054" i="14"/>
  <c r="H106" i="8"/>
  <c r="H16" i="22"/>
  <c r="F180" i="22"/>
  <c r="F822" i="14"/>
  <c r="F824" i="14" s="1"/>
  <c r="F256" i="8"/>
  <c r="F106" i="8"/>
  <c r="F16" i="22"/>
  <c r="E1074" i="14"/>
  <c r="E1054" i="14"/>
  <c r="M250" i="8"/>
  <c r="M174" i="22"/>
  <c r="M805" i="14"/>
  <c r="M807" i="14" s="1"/>
  <c r="I805" i="14"/>
  <c r="I807" i="14" s="1"/>
  <c r="I174" i="22"/>
  <c r="I250" i="8"/>
  <c r="F117" i="8"/>
  <c r="F27" i="22"/>
  <c r="F741" i="14"/>
  <c r="F743" i="14" s="1"/>
  <c r="G46" i="20"/>
  <c r="G20" i="28" s="1"/>
  <c r="G39" i="22"/>
  <c r="G129" i="8"/>
  <c r="G775" i="14"/>
  <c r="G777" i="14" s="1"/>
  <c r="I17" i="31"/>
  <c r="I16" i="41"/>
  <c r="E16" i="22"/>
  <c r="I46" i="20" s="1"/>
  <c r="E106" i="8"/>
  <c r="I18" i="28"/>
  <c r="I24" i="29"/>
  <c r="I23" i="20"/>
  <c r="E39" i="22"/>
  <c r="I51" i="20" s="1"/>
  <c r="E129" i="8"/>
  <c r="E775" i="14"/>
  <c r="E777" i="14" s="1"/>
  <c r="K1074" i="14"/>
  <c r="K1054" i="14"/>
  <c r="E28" i="20"/>
  <c r="E29" i="29"/>
  <c r="E21" i="41"/>
  <c r="E15" i="7"/>
  <c r="E22" i="31"/>
  <c r="E23" i="28"/>
  <c r="L174" i="22"/>
  <c r="L250" i="8"/>
  <c r="L805" i="14"/>
  <c r="L807" i="14" s="1"/>
  <c r="G49" i="20"/>
  <c r="M1054" i="14"/>
  <c r="M1074" i="14"/>
  <c r="G788" i="14"/>
  <c r="G790" i="14" s="1"/>
  <c r="G244" i="8"/>
  <c r="G168" i="22"/>
  <c r="K775" i="14"/>
  <c r="K777" i="14" s="1"/>
  <c r="K129" i="8"/>
  <c r="K39" i="22"/>
  <c r="J27" i="22"/>
  <c r="J741" i="14"/>
  <c r="J743" i="14" s="1"/>
  <c r="J117" i="8"/>
  <c r="J106" i="8"/>
  <c r="J16" i="22"/>
  <c r="E256" i="8"/>
  <c r="E180" i="22"/>
  <c r="E822" i="14"/>
  <c r="E824" i="14" s="1"/>
  <c r="L1074" i="14"/>
  <c r="L1054" i="14"/>
  <c r="M117" i="8"/>
  <c r="M741" i="14"/>
  <c r="M743" i="14" s="1"/>
  <c r="M27" i="22"/>
  <c r="G180" i="22"/>
  <c r="G822" i="14"/>
  <c r="G824" i="14" s="1"/>
  <c r="G256" i="8"/>
  <c r="I16" i="22"/>
  <c r="I106" i="8"/>
  <c r="I788" i="14"/>
  <c r="I790" i="14" s="1"/>
  <c r="I244" i="8"/>
  <c r="I168" i="22"/>
  <c r="J10" i="22"/>
  <c r="J100" i="8"/>
  <c r="J259" i="14"/>
  <c r="J261" i="14" s="1"/>
  <c r="J225" i="14"/>
  <c r="J227" i="14" s="1"/>
  <c r="J242" i="14"/>
  <c r="J244" i="14" s="1"/>
  <c r="H180" i="22"/>
  <c r="H822" i="14"/>
  <c r="H824" i="14" s="1"/>
  <c r="H256" i="8"/>
  <c r="L123" i="8"/>
  <c r="L33" i="22"/>
  <c r="L758" i="14"/>
  <c r="L760" i="14" s="1"/>
  <c r="K180" i="22"/>
  <c r="K256" i="8"/>
  <c r="K822" i="14"/>
  <c r="K824" i="14" s="1"/>
  <c r="I1074" i="14"/>
  <c r="I1054" i="14"/>
  <c r="N27" i="22"/>
  <c r="N741" i="14"/>
  <c r="N743" i="14" s="1"/>
  <c r="N117" i="8"/>
  <c r="F129" i="8"/>
  <c r="F39" i="22"/>
  <c r="F775" i="14"/>
  <c r="F777" i="14" s="1"/>
  <c r="L788" i="14"/>
  <c r="L790" i="14" s="1"/>
  <c r="L244" i="8"/>
  <c r="L168" i="22"/>
  <c r="H805" i="14"/>
  <c r="H807" i="14" s="1"/>
  <c r="H250" i="8"/>
  <c r="H174" i="22"/>
  <c r="G26" i="29"/>
  <c r="G19" i="31"/>
  <c r="G25" i="20"/>
  <c r="E25" i="20"/>
  <c r="E26" i="20" s="1"/>
  <c r="G18" i="41"/>
  <c r="G106" i="8"/>
  <c r="G16" i="22"/>
  <c r="F294" i="8"/>
  <c r="F218" i="22"/>
  <c r="E741" i="14"/>
  <c r="E743" i="14" s="1"/>
  <c r="E117" i="8"/>
  <c r="E27" i="22"/>
  <c r="I49" i="20" s="1"/>
  <c r="G174" i="22"/>
  <c r="G250" i="8"/>
  <c r="G805" i="14"/>
  <c r="G807" i="14" s="1"/>
  <c r="J174" i="22"/>
  <c r="J805" i="14"/>
  <c r="J807" i="14" s="1"/>
  <c r="J250" i="8"/>
  <c r="F1074" i="14"/>
  <c r="F1054" i="14"/>
  <c r="G225" i="14"/>
  <c r="G227" i="14" s="1"/>
  <c r="G100" i="8"/>
  <c r="G242" i="14"/>
  <c r="G244" i="14" s="1"/>
  <c r="G259" i="14"/>
  <c r="G261" i="14" s="1"/>
  <c r="G10" i="22"/>
  <c r="M259" i="14"/>
  <c r="M261" i="14" s="1"/>
  <c r="M225" i="14"/>
  <c r="M227" i="14" s="1"/>
  <c r="M100" i="8"/>
  <c r="M242" i="14"/>
  <c r="M244" i="14" s="1"/>
  <c r="M10" i="22"/>
  <c r="K123" i="8"/>
  <c r="K33" i="22"/>
  <c r="K758" i="14"/>
  <c r="K760" i="14" s="1"/>
  <c r="K117" i="8"/>
  <c r="K741" i="14"/>
  <c r="K743" i="14" s="1"/>
  <c r="K27" i="22"/>
  <c r="J244" i="8"/>
  <c r="J168" i="22"/>
  <c r="J788" i="14"/>
  <c r="J790" i="14" s="1"/>
  <c r="J758" i="14"/>
  <c r="J760" i="14" s="1"/>
  <c r="J33" i="22"/>
  <c r="J123" i="8"/>
  <c r="G51" i="20"/>
  <c r="M16" i="22"/>
  <c r="M106" i="8"/>
  <c r="M256" i="8"/>
  <c r="M180" i="22"/>
  <c r="M822" i="14"/>
  <c r="M824" i="14" s="1"/>
  <c r="J822" i="14"/>
  <c r="J824" i="14" s="1"/>
  <c r="J180" i="22"/>
  <c r="J256" i="8"/>
  <c r="I27" i="22"/>
  <c r="I741" i="14"/>
  <c r="I743" i="14" s="1"/>
  <c r="I117" i="8"/>
  <c r="L180" i="22"/>
  <c r="L256" i="8"/>
  <c r="L822" i="14"/>
  <c r="L824" i="14" s="1"/>
  <c r="G50" i="20"/>
  <c r="L741" i="14"/>
  <c r="L743" i="14" s="1"/>
  <c r="L27" i="22"/>
  <c r="L117" i="8"/>
  <c r="L39" i="22"/>
  <c r="L129" i="8"/>
  <c r="L775" i="14"/>
  <c r="L777" i="14" s="1"/>
  <c r="H741" i="14"/>
  <c r="H743" i="14" s="1"/>
  <c r="H117" i="8"/>
  <c r="H27" i="22"/>
  <c r="J207" i="22"/>
  <c r="J283" i="8"/>
  <c r="J308" i="8"/>
  <c r="J232" i="22"/>
  <c r="F144" i="22"/>
  <c r="F145" i="22" s="1"/>
  <c r="F233" i="22"/>
  <c r="F309" i="8"/>
  <c r="J511" i="14"/>
  <c r="L1537" i="14"/>
  <c r="E1540" i="14"/>
  <c r="H1635" i="14"/>
  <c r="N1742" i="14"/>
  <c r="L1644" i="14"/>
  <c r="K1548" i="14"/>
  <c r="M1647" i="14"/>
  <c r="N1848" i="14"/>
  <c r="I1739" i="14"/>
  <c r="J1690" i="14"/>
  <c r="G283" i="8"/>
  <c r="G144" i="22"/>
  <c r="G145" i="22" s="1"/>
  <c r="G207" i="22"/>
  <c r="M394" i="8" l="1"/>
  <c r="M318" i="22"/>
  <c r="G388" i="8"/>
  <c r="G312" i="22"/>
  <c r="L229" i="14"/>
  <c r="L231" i="14" s="1"/>
  <c r="L11" i="22"/>
  <c r="L263" i="14"/>
  <c r="L265" i="14" s="1"/>
  <c r="L246" i="14"/>
  <c r="L248" i="14" s="1"/>
  <c r="L101" i="8"/>
  <c r="G306" i="22"/>
  <c r="G382" i="8"/>
  <c r="F245" i="8"/>
  <c r="F792" i="14"/>
  <c r="F794" i="14" s="1"/>
  <c r="F169" i="22"/>
  <c r="N1123" i="14"/>
  <c r="N1106" i="14"/>
  <c r="M175" i="22"/>
  <c r="M251" i="8"/>
  <c r="M809" i="14"/>
  <c r="M811" i="14" s="1"/>
  <c r="I394" i="8"/>
  <c r="I318" i="22"/>
  <c r="K118" i="8"/>
  <c r="K28" i="22"/>
  <c r="K745" i="14"/>
  <c r="K747" i="14" s="1"/>
  <c r="K130" i="8"/>
  <c r="K40" i="22"/>
  <c r="K779" i="14"/>
  <c r="K781" i="14" s="1"/>
  <c r="H28" i="22"/>
  <c r="H118" i="8"/>
  <c r="H745" i="14"/>
  <c r="H747" i="14" s="1"/>
  <c r="Q312" i="21"/>
  <c r="R280" i="21"/>
  <c r="Q278" i="21"/>
  <c r="F175" i="22"/>
  <c r="F809" i="14"/>
  <c r="F811" i="14" s="1"/>
  <c r="F251" i="8"/>
  <c r="E779" i="14"/>
  <c r="E781" i="14" s="1"/>
  <c r="E40" i="22"/>
  <c r="E130" i="8"/>
  <c r="H175" i="22"/>
  <c r="H251" i="8"/>
  <c r="H809" i="14"/>
  <c r="H811" i="14" s="1"/>
  <c r="E312" i="22"/>
  <c r="E388" i="8"/>
  <c r="N745" i="14"/>
  <c r="N747" i="14" s="1"/>
  <c r="N28" i="22"/>
  <c r="N118" i="8"/>
  <c r="N17" i="22"/>
  <c r="N107" i="8"/>
  <c r="M181" i="22"/>
  <c r="M826" i="14"/>
  <c r="M828" i="14" s="1"/>
  <c r="M257" i="8"/>
  <c r="J826" i="14"/>
  <c r="J828" i="14" s="1"/>
  <c r="J257" i="8"/>
  <c r="J181" i="22"/>
  <c r="G1123" i="14"/>
  <c r="G1106" i="14"/>
  <c r="F17" i="22"/>
  <c r="F107" i="8"/>
  <c r="G169" i="22"/>
  <c r="G245" i="8"/>
  <c r="G792" i="14"/>
  <c r="G794" i="14" s="1"/>
  <c r="F246" i="14"/>
  <c r="F248" i="14" s="1"/>
  <c r="F263" i="14"/>
  <c r="F265" i="14" s="1"/>
  <c r="F11" i="22"/>
  <c r="F229" i="14"/>
  <c r="F231" i="14" s="1"/>
  <c r="F101" i="8"/>
  <c r="I263" i="14"/>
  <c r="I265" i="14" s="1"/>
  <c r="I246" i="14"/>
  <c r="I248" i="14" s="1"/>
  <c r="I101" i="8"/>
  <c r="I11" i="22"/>
  <c r="I229" i="14"/>
  <c r="I231" i="14" s="1"/>
  <c r="I306" i="22"/>
  <c r="I382" i="8"/>
  <c r="K826" i="14"/>
  <c r="K828" i="14" s="1"/>
  <c r="K257" i="8"/>
  <c r="K181" i="22"/>
  <c r="K11" i="22"/>
  <c r="K101" i="8"/>
  <c r="K229" i="14"/>
  <c r="K231" i="14" s="1"/>
  <c r="K246" i="14"/>
  <c r="K248" i="14" s="1"/>
  <c r="K263" i="14"/>
  <c r="K265" i="14" s="1"/>
  <c r="J251" i="8"/>
  <c r="J809" i="14"/>
  <c r="J811" i="14" s="1"/>
  <c r="J175" i="22"/>
  <c r="K809" i="14"/>
  <c r="K811" i="14" s="1"/>
  <c r="K175" i="22"/>
  <c r="K251" i="8"/>
  <c r="G17" i="22"/>
  <c r="G107" i="8"/>
  <c r="G28" i="22"/>
  <c r="G118" i="8"/>
  <c r="G745" i="14"/>
  <c r="G747" i="14" s="1"/>
  <c r="F1123" i="14"/>
  <c r="F1106" i="14"/>
  <c r="E792" i="14"/>
  <c r="E794" i="14" s="1"/>
  <c r="E169" i="22"/>
  <c r="E245" i="8"/>
  <c r="G20" i="31"/>
  <c r="G22" i="31"/>
  <c r="L306" i="22"/>
  <c r="L382" i="8"/>
  <c r="I1106" i="14"/>
  <c r="I1123" i="14"/>
  <c r="J762" i="14"/>
  <c r="J764" i="14" s="1"/>
  <c r="J34" i="22"/>
  <c r="J124" i="8"/>
  <c r="J107" i="8"/>
  <c r="J17" i="22"/>
  <c r="L1123" i="14"/>
  <c r="L1106" i="14"/>
  <c r="J792" i="14"/>
  <c r="J794" i="14" s="1"/>
  <c r="J169" i="22"/>
  <c r="J245" i="8"/>
  <c r="M1106" i="14"/>
  <c r="M1123" i="14"/>
  <c r="G20" i="41"/>
  <c r="G27" i="20"/>
  <c r="E20" i="41"/>
  <c r="E27" i="20"/>
  <c r="E28" i="29"/>
  <c r="G21" i="31"/>
  <c r="G22" i="28"/>
  <c r="E21" i="31"/>
  <c r="E22" i="28"/>
  <c r="G28" i="29"/>
  <c r="E30" i="28"/>
  <c r="E31" i="28" s="1"/>
  <c r="E24" i="28"/>
  <c r="E30" i="29"/>
  <c r="E36" i="29"/>
  <c r="E37" i="29" s="1"/>
  <c r="K1123" i="14"/>
  <c r="K1106" i="14"/>
  <c r="I388" i="8"/>
  <c r="I312" i="22"/>
  <c r="N246" i="14"/>
  <c r="N248" i="14" s="1"/>
  <c r="N263" i="14"/>
  <c r="N265" i="14" s="1"/>
  <c r="N101" i="8"/>
  <c r="N229" i="14"/>
  <c r="N231" i="14" s="1"/>
  <c r="N11" i="22"/>
  <c r="N318" i="22"/>
  <c r="N394" i="8"/>
  <c r="L779" i="14"/>
  <c r="L781" i="14" s="1"/>
  <c r="L40" i="22"/>
  <c r="L130" i="8"/>
  <c r="H124" i="8"/>
  <c r="H762" i="14"/>
  <c r="H764" i="14" s="1"/>
  <c r="H34" i="22"/>
  <c r="N181" i="22"/>
  <c r="N257" i="8"/>
  <c r="N826" i="14"/>
  <c r="N828" i="14" s="1"/>
  <c r="K16" i="41"/>
  <c r="K24" i="29"/>
  <c r="K17" i="31"/>
  <c r="K18" i="28"/>
  <c r="E17" i="22"/>
  <c r="E107" i="8"/>
  <c r="K23" i="20"/>
  <c r="N779" i="14"/>
  <c r="N781" i="14" s="1"/>
  <c r="N40" i="22"/>
  <c r="N130" i="8"/>
  <c r="K306" i="22"/>
  <c r="K382" i="8"/>
  <c r="N388" i="8"/>
  <c r="N312" i="22"/>
  <c r="E382" i="8"/>
  <c r="E306" i="22"/>
  <c r="H306" i="22"/>
  <c r="H382" i="8"/>
  <c r="F40" i="22"/>
  <c r="F779" i="14"/>
  <c r="F781" i="14" s="1"/>
  <c r="F130" i="8"/>
  <c r="H101" i="8"/>
  <c r="H229" i="14"/>
  <c r="H231" i="14" s="1"/>
  <c r="H246" i="14"/>
  <c r="H248" i="14" s="1"/>
  <c r="H11" i="22"/>
  <c r="H263" i="14"/>
  <c r="H265" i="14" s="1"/>
  <c r="I779" i="14"/>
  <c r="I781" i="14" s="1"/>
  <c r="I130" i="8"/>
  <c r="I40" i="22"/>
  <c r="M306" i="22"/>
  <c r="M382" i="8"/>
  <c r="L826" i="14"/>
  <c r="L828" i="14" s="1"/>
  <c r="L257" i="8"/>
  <c r="L181" i="22"/>
  <c r="M17" i="22"/>
  <c r="M107" i="8"/>
  <c r="G26" i="20"/>
  <c r="G28" i="20"/>
  <c r="K318" i="22"/>
  <c r="K394" i="8"/>
  <c r="L169" i="22"/>
  <c r="L245" i="8"/>
  <c r="L792" i="14"/>
  <c r="L794" i="14" s="1"/>
  <c r="M34" i="22"/>
  <c r="M124" i="8"/>
  <c r="M762" i="14"/>
  <c r="M764" i="14" s="1"/>
  <c r="I169" i="22"/>
  <c r="I792" i="14"/>
  <c r="I794" i="14" s="1"/>
  <c r="I245" i="8"/>
  <c r="J394" i="8"/>
  <c r="J318" i="22"/>
  <c r="J382" i="8"/>
  <c r="J306" i="22"/>
  <c r="G779" i="14"/>
  <c r="G781" i="14" s="1"/>
  <c r="G40" i="22"/>
  <c r="G130" i="8"/>
  <c r="F219" i="22"/>
  <c r="F134" i="37" s="1"/>
  <c r="F295" i="8"/>
  <c r="G21" i="41"/>
  <c r="G19" i="41"/>
  <c r="G27" i="29"/>
  <c r="G29" i="29"/>
  <c r="H312" i="22"/>
  <c r="H388" i="8"/>
  <c r="F257" i="8"/>
  <c r="F826" i="14"/>
  <c r="F828" i="14" s="1"/>
  <c r="F181" i="22"/>
  <c r="N169" i="22"/>
  <c r="N245" i="8"/>
  <c r="N792" i="14"/>
  <c r="N794" i="14" s="1"/>
  <c r="J118" i="8"/>
  <c r="J28" i="22"/>
  <c r="J745" i="14"/>
  <c r="J747" i="14" s="1"/>
  <c r="M169" i="22"/>
  <c r="M792" i="14"/>
  <c r="M794" i="14" s="1"/>
  <c r="M245" i="8"/>
  <c r="M246" i="14"/>
  <c r="M248" i="14" s="1"/>
  <c r="M263" i="14"/>
  <c r="M265" i="14" s="1"/>
  <c r="M101" i="8"/>
  <c r="M229" i="14"/>
  <c r="M231" i="14" s="1"/>
  <c r="M11" i="22"/>
  <c r="M12" i="22" s="1"/>
  <c r="L388" i="8"/>
  <c r="L312" i="22"/>
  <c r="E23" i="31"/>
  <c r="E29" i="31"/>
  <c r="E30" i="31" s="1"/>
  <c r="E29" i="20"/>
  <c r="E35" i="20"/>
  <c r="E36" i="20" s="1"/>
  <c r="I47" i="20"/>
  <c r="G826" i="14"/>
  <c r="G828" i="14" s="1"/>
  <c r="G257" i="8"/>
  <c r="G181" i="22"/>
  <c r="M388" i="8"/>
  <c r="M312" i="22"/>
  <c r="E101" i="8"/>
  <c r="E263" i="14"/>
  <c r="E265" i="14" s="1"/>
  <c r="E229" i="14"/>
  <c r="E231" i="14" s="1"/>
  <c r="E246" i="14"/>
  <c r="E248" i="14" s="1"/>
  <c r="E11" i="22"/>
  <c r="J263" i="14"/>
  <c r="J265" i="14" s="1"/>
  <c r="J101" i="8"/>
  <c r="J246" i="14"/>
  <c r="J248" i="14" s="1"/>
  <c r="J229" i="14"/>
  <c r="J231" i="14" s="1"/>
  <c r="J11" i="22"/>
  <c r="L17" i="22"/>
  <c r="L107" i="8"/>
  <c r="N382" i="8"/>
  <c r="N306" i="22"/>
  <c r="K107" i="8"/>
  <c r="K17" i="22"/>
  <c r="E251" i="8"/>
  <c r="E809" i="14"/>
  <c r="E811" i="14" s="1"/>
  <c r="E175" i="22"/>
  <c r="H107" i="8"/>
  <c r="H17" i="22"/>
  <c r="H102" i="8"/>
  <c r="H12" i="22"/>
  <c r="E118" i="8"/>
  <c r="E28" i="22"/>
  <c r="E745" i="14"/>
  <c r="E747" i="14" s="1"/>
  <c r="N809" i="14"/>
  <c r="N811" i="14" s="1"/>
  <c r="N251" i="8"/>
  <c r="N175" i="22"/>
  <c r="N34" i="22"/>
  <c r="N124" i="8"/>
  <c r="N762" i="14"/>
  <c r="N764" i="14" s="1"/>
  <c r="I826" i="14"/>
  <c r="I828" i="14" s="1"/>
  <c r="I257" i="8"/>
  <c r="I181" i="22"/>
  <c r="K312" i="22"/>
  <c r="K388" i="8"/>
  <c r="F118" i="8"/>
  <c r="F28" i="22"/>
  <c r="F745" i="14"/>
  <c r="F747" i="14" s="1"/>
  <c r="H1123" i="14"/>
  <c r="H1106" i="14"/>
  <c r="I34" i="22"/>
  <c r="I762" i="14"/>
  <c r="I764" i="14" s="1"/>
  <c r="I124" i="8"/>
  <c r="I28" i="22"/>
  <c r="I118" i="8"/>
  <c r="I745" i="14"/>
  <c r="I747" i="14" s="1"/>
  <c r="M779" i="14"/>
  <c r="M781" i="14" s="1"/>
  <c r="M130" i="8"/>
  <c r="M40" i="22"/>
  <c r="E28" i="41"/>
  <c r="E29" i="41" s="1"/>
  <c r="E22" i="41"/>
  <c r="L318" i="22"/>
  <c r="L394" i="8"/>
  <c r="H245" i="8"/>
  <c r="H792" i="14"/>
  <c r="H794" i="14" s="1"/>
  <c r="H169" i="22"/>
  <c r="N102" i="8"/>
  <c r="K792" i="14"/>
  <c r="K794" i="14" s="1"/>
  <c r="K245" i="8"/>
  <c r="K169" i="22"/>
  <c r="M745" i="14"/>
  <c r="M747" i="14" s="1"/>
  <c r="M118" i="8"/>
  <c r="M28" i="22"/>
  <c r="G34" i="22"/>
  <c r="G762" i="14"/>
  <c r="G764" i="14" s="1"/>
  <c r="G124" i="8"/>
  <c r="J388" i="8"/>
  <c r="J312" i="22"/>
  <c r="I28" i="29"/>
  <c r="I22" i="28"/>
  <c r="I27" i="20"/>
  <c r="I28" i="20" s="1"/>
  <c r="I21" i="31"/>
  <c r="I20" i="41"/>
  <c r="L175" i="22"/>
  <c r="L251" i="8"/>
  <c r="L809" i="14"/>
  <c r="L811" i="14" s="1"/>
  <c r="H394" i="8"/>
  <c r="H318" i="22"/>
  <c r="J130" i="8"/>
  <c r="J779" i="14"/>
  <c r="J781" i="14" s="1"/>
  <c r="J40" i="22"/>
  <c r="G318" i="22"/>
  <c r="G394" i="8"/>
  <c r="E318" i="22"/>
  <c r="E394" i="8"/>
  <c r="E181" i="22"/>
  <c r="E257" i="8"/>
  <c r="E826" i="14"/>
  <c r="E828" i="14" s="1"/>
  <c r="I18" i="41"/>
  <c r="I25" i="20"/>
  <c r="I26" i="20" s="1"/>
  <c r="I19" i="31"/>
  <c r="I20" i="31" s="1"/>
  <c r="I26" i="29"/>
  <c r="I27" i="29" s="1"/>
  <c r="I20" i="28"/>
  <c r="I21" i="28" s="1"/>
  <c r="G21" i="28"/>
  <c r="G23" i="28"/>
  <c r="E1123" i="14"/>
  <c r="E1106" i="14"/>
  <c r="F318" i="22"/>
  <c r="F394" i="8"/>
  <c r="J1123" i="14"/>
  <c r="J1106" i="14"/>
  <c r="I251" i="8"/>
  <c r="I175" i="22"/>
  <c r="I809" i="14"/>
  <c r="I811" i="14" s="1"/>
  <c r="L762" i="14"/>
  <c r="L764" i="14" s="1"/>
  <c r="L124" i="8"/>
  <c r="L34" i="22"/>
  <c r="L28" i="22"/>
  <c r="L745" i="14"/>
  <c r="L747" i="14" s="1"/>
  <c r="L118" i="8"/>
  <c r="F388" i="8"/>
  <c r="F312" i="22"/>
  <c r="K124" i="8"/>
  <c r="K762" i="14"/>
  <c r="K764" i="14" s="1"/>
  <c r="K34" i="22"/>
  <c r="H779" i="14"/>
  <c r="H781" i="14" s="1"/>
  <c r="H130" i="8"/>
  <c r="H40" i="22"/>
  <c r="E762" i="14"/>
  <c r="E764" i="14" s="1"/>
  <c r="E34" i="22"/>
  <c r="E124" i="8"/>
  <c r="H257" i="8"/>
  <c r="H181" i="22"/>
  <c r="H826" i="14"/>
  <c r="H828" i="14" s="1"/>
  <c r="S277" i="21"/>
  <c r="R294" i="21"/>
  <c r="S294" i="21" s="1"/>
  <c r="T294" i="21" s="1"/>
  <c r="U294" i="21" s="1"/>
  <c r="R290" i="21"/>
  <c r="S290" i="21" s="1"/>
  <c r="T290" i="21" s="1"/>
  <c r="U290" i="21" s="1"/>
  <c r="R282" i="21"/>
  <c r="S282" i="21" s="1"/>
  <c r="T282" i="21" s="1"/>
  <c r="U282" i="21" s="1"/>
  <c r="R286" i="21"/>
  <c r="S286" i="21" s="1"/>
  <c r="T286" i="21" s="1"/>
  <c r="U286" i="21" s="1"/>
  <c r="G11" i="22"/>
  <c r="G263" i="14"/>
  <c r="G265" i="14" s="1"/>
  <c r="G246" i="14"/>
  <c r="G248" i="14" s="1"/>
  <c r="G229" i="14"/>
  <c r="G231" i="14" s="1"/>
  <c r="G101" i="8"/>
  <c r="F762" i="14"/>
  <c r="F764" i="14" s="1"/>
  <c r="F34" i="22"/>
  <c r="F124" i="8"/>
  <c r="F306" i="22"/>
  <c r="F382" i="8"/>
  <c r="G175" i="22"/>
  <c r="G809" i="14"/>
  <c r="G811" i="14" s="1"/>
  <c r="G251" i="8"/>
  <c r="I107" i="8"/>
  <c r="I17" i="22"/>
  <c r="L1586" i="14"/>
  <c r="J144" i="22"/>
  <c r="J145" i="22" s="1"/>
  <c r="J309" i="8"/>
  <c r="J233" i="22"/>
  <c r="J134" i="37" s="1"/>
  <c r="K1597" i="14"/>
  <c r="L1696" i="14"/>
  <c r="E1589" i="14"/>
  <c r="N1791" i="14"/>
  <c r="H1687" i="14"/>
  <c r="M1699" i="14"/>
  <c r="G134" i="37"/>
  <c r="I1788" i="14"/>
  <c r="J1739" i="14"/>
  <c r="N126" i="8" l="1"/>
  <c r="J109" i="8"/>
  <c r="G389" i="8"/>
  <c r="G313" i="22"/>
  <c r="E1172" i="14"/>
  <c r="E1155" i="14"/>
  <c r="I319" i="22"/>
  <c r="I395" i="8"/>
  <c r="L109" i="8"/>
  <c r="L319" i="22"/>
  <c r="L395" i="8"/>
  <c r="F830" i="14"/>
  <c r="F832" i="14" s="1"/>
  <c r="F182" i="22"/>
  <c r="F258" i="8"/>
  <c r="N131" i="8"/>
  <c r="N783" i="14"/>
  <c r="N785" i="14" s="1"/>
  <c r="N41" i="22"/>
  <c r="N132" i="8" s="1"/>
  <c r="J383" i="8"/>
  <c r="J307" i="22"/>
  <c r="E307" i="22"/>
  <c r="E383" i="8"/>
  <c r="L12" i="22"/>
  <c r="L18" i="22"/>
  <c r="L19" i="22" s="1"/>
  <c r="L108" i="8"/>
  <c r="L102" i="8"/>
  <c r="K252" i="8"/>
  <c r="K176" i="22"/>
  <c r="K813" i="14"/>
  <c r="K815" i="14" s="1"/>
  <c r="E395" i="8"/>
  <c r="E319" i="22"/>
  <c r="I23" i="28"/>
  <c r="K307" i="22"/>
  <c r="K383" i="8"/>
  <c r="I170" i="22"/>
  <c r="I246" i="8"/>
  <c r="I796" i="14"/>
  <c r="I798" i="14" s="1"/>
  <c r="I176" i="22"/>
  <c r="I252" i="8"/>
  <c r="I813" i="14"/>
  <c r="I815" i="14" s="1"/>
  <c r="N252" i="8"/>
  <c r="N813" i="14"/>
  <c r="N815" i="14" s="1"/>
  <c r="N176" i="22"/>
  <c r="J102" i="8"/>
  <c r="J108" i="8"/>
  <c r="J18" i="22"/>
  <c r="J19" i="22" s="1"/>
  <c r="J12" i="22"/>
  <c r="J783" i="14"/>
  <c r="J785" i="14" s="1"/>
  <c r="J131" i="8"/>
  <c r="J41" i="22"/>
  <c r="J42" i="22" s="1"/>
  <c r="E41" i="22"/>
  <c r="M51" i="20" s="1"/>
  <c r="E783" i="14"/>
  <c r="E785" i="14" s="1"/>
  <c r="E131" i="8"/>
  <c r="M119" i="8"/>
  <c r="M749" i="14"/>
  <c r="M751" i="14" s="1"/>
  <c r="M29" i="22"/>
  <c r="M30" i="22" s="1"/>
  <c r="M252" i="8"/>
  <c r="M176" i="22"/>
  <c r="M813" i="14"/>
  <c r="M815" i="14" s="1"/>
  <c r="I258" i="8"/>
  <c r="I830" i="14"/>
  <c r="I832" i="14" s="1"/>
  <c r="I182" i="22"/>
  <c r="H29" i="22"/>
  <c r="H30" i="22" s="1"/>
  <c r="H749" i="14"/>
  <c r="H751" i="14" s="1"/>
  <c r="H119" i="8"/>
  <c r="N258" i="8"/>
  <c r="N830" i="14"/>
  <c r="N832" i="14" s="1"/>
  <c r="N182" i="22"/>
  <c r="K47" i="20"/>
  <c r="K46" i="20"/>
  <c r="K26" i="29" s="1"/>
  <c r="K27" i="29" s="1"/>
  <c r="N12" i="22"/>
  <c r="N108" i="8"/>
  <c r="N18" i="22"/>
  <c r="N109" i="8" s="1"/>
  <c r="N35" i="22"/>
  <c r="N36" i="22" s="1"/>
  <c r="N766" i="14"/>
  <c r="N768" i="14" s="1"/>
  <c r="N125" i="8"/>
  <c r="K1172" i="14"/>
  <c r="K1155" i="14"/>
  <c r="M226" i="8"/>
  <c r="M150" i="22"/>
  <c r="L150" i="22"/>
  <c r="L226" i="8"/>
  <c r="I226" i="8"/>
  <c r="I150" i="22"/>
  <c r="F736" i="14"/>
  <c r="F150" i="22"/>
  <c r="F226" i="8"/>
  <c r="K119" i="8"/>
  <c r="K29" i="22"/>
  <c r="K749" i="14"/>
  <c r="K751" i="14" s="1"/>
  <c r="I119" i="8"/>
  <c r="I749" i="14"/>
  <c r="I751" i="14" s="1"/>
  <c r="I29" i="22"/>
  <c r="I120" i="8" s="1"/>
  <c r="I41" i="22"/>
  <c r="I42" i="22" s="1"/>
  <c r="I131" i="8"/>
  <c r="I783" i="14"/>
  <c r="I785" i="14" s="1"/>
  <c r="F131" i="8"/>
  <c r="F783" i="14"/>
  <c r="F785" i="14" s="1"/>
  <c r="F41" i="22"/>
  <c r="G226" i="8"/>
  <c r="G150" i="22"/>
  <c r="S280" i="21"/>
  <c r="R312" i="21"/>
  <c r="R278" i="21"/>
  <c r="K796" i="14"/>
  <c r="K798" i="14" s="1"/>
  <c r="K170" i="22"/>
  <c r="K246" i="8"/>
  <c r="F383" i="8"/>
  <c r="F307" i="22"/>
  <c r="L749" i="14"/>
  <c r="L751" i="14" s="1"/>
  <c r="L119" i="8"/>
  <c r="L29" i="22"/>
  <c r="L120" i="8" s="1"/>
  <c r="I389" i="8"/>
  <c r="I313" i="22"/>
  <c r="I29" i="20"/>
  <c r="I35" i="20"/>
  <c r="I36" i="20" s="1"/>
  <c r="M830" i="14"/>
  <c r="M832" i="14" s="1"/>
  <c r="M258" i="8"/>
  <c r="M182" i="22"/>
  <c r="K49" i="20"/>
  <c r="E120" i="8"/>
  <c r="E29" i="22"/>
  <c r="E749" i="14"/>
  <c r="E751" i="14" s="1"/>
  <c r="E119" i="8"/>
  <c r="M766" i="14"/>
  <c r="M768" i="14" s="1"/>
  <c r="M125" i="8"/>
  <c r="M35" i="22"/>
  <c r="M126" i="8" s="1"/>
  <c r="L383" i="8"/>
  <c r="L307" i="22"/>
  <c r="H35" i="22"/>
  <c r="H126" i="8" s="1"/>
  <c r="H125" i="8"/>
  <c r="H766" i="14"/>
  <c r="H768" i="14" s="1"/>
  <c r="M1172" i="14"/>
  <c r="M1155" i="14"/>
  <c r="I1172" i="14"/>
  <c r="I1155" i="14"/>
  <c r="K313" i="22"/>
  <c r="K389" i="8"/>
  <c r="F12" i="22"/>
  <c r="F18" i="22"/>
  <c r="F19" i="22" s="1"/>
  <c r="F111" i="8" s="1"/>
  <c r="F108" i="8"/>
  <c r="F102" i="8"/>
  <c r="N170" i="22"/>
  <c r="N796" i="14"/>
  <c r="N798" i="14" s="1"/>
  <c r="N246" i="8"/>
  <c r="E258" i="8"/>
  <c r="E182" i="22"/>
  <c r="E830" i="14"/>
  <c r="E832" i="14" s="1"/>
  <c r="G108" i="8"/>
  <c r="G18" i="22"/>
  <c r="F813" i="14"/>
  <c r="F815" i="14" s="1"/>
  <c r="F176" i="22"/>
  <c r="F252" i="8"/>
  <c r="G749" i="14"/>
  <c r="G751" i="14" s="1"/>
  <c r="G119" i="8"/>
  <c r="G29" i="22"/>
  <c r="G30" i="22" s="1"/>
  <c r="H395" i="8"/>
  <c r="H319" i="22"/>
  <c r="K50" i="20"/>
  <c r="L170" i="22"/>
  <c r="L246" i="8"/>
  <c r="L796" i="14"/>
  <c r="L798" i="14" s="1"/>
  <c r="L813" i="14"/>
  <c r="L815" i="14" s="1"/>
  <c r="L252" i="8"/>
  <c r="L176" i="22"/>
  <c r="G24" i="28"/>
  <c r="G30" i="28"/>
  <c r="G31" i="28" s="1"/>
  <c r="J182" i="22"/>
  <c r="J830" i="14"/>
  <c r="J832" i="14" s="1"/>
  <c r="J258" i="8"/>
  <c r="L313" i="22"/>
  <c r="L389" i="8"/>
  <c r="I29" i="29"/>
  <c r="G252" i="8"/>
  <c r="G813" i="14"/>
  <c r="G815" i="14" s="1"/>
  <c r="G176" i="22"/>
  <c r="M796" i="14"/>
  <c r="M798" i="14" s="1"/>
  <c r="M170" i="22"/>
  <c r="M246" i="8"/>
  <c r="F170" i="22"/>
  <c r="F246" i="8"/>
  <c r="F796" i="14"/>
  <c r="F798" i="14" s="1"/>
  <c r="N389" i="8"/>
  <c r="N313" i="22"/>
  <c r="J119" i="8"/>
  <c r="J29" i="22"/>
  <c r="J749" i="14"/>
  <c r="J751" i="14" s="1"/>
  <c r="M16" i="41"/>
  <c r="M18" i="28"/>
  <c r="E108" i="8"/>
  <c r="M24" i="29"/>
  <c r="M17" i="31"/>
  <c r="E18" i="22"/>
  <c r="E109" i="8" s="1"/>
  <c r="M23" i="20"/>
  <c r="M47" i="20"/>
  <c r="E12" i="22"/>
  <c r="J246" i="8"/>
  <c r="J796" i="14"/>
  <c r="J798" i="14" s="1"/>
  <c r="J170" i="22"/>
  <c r="M120" i="8"/>
  <c r="G22" i="41"/>
  <c r="G28" i="41"/>
  <c r="G29" i="41" s="1"/>
  <c r="I307" i="22"/>
  <c r="I383" i="8"/>
  <c r="H131" i="8"/>
  <c r="H783" i="14"/>
  <c r="H785" i="14" s="1"/>
  <c r="H41" i="22"/>
  <c r="H42" i="22" s="1"/>
  <c r="E102" i="8"/>
  <c r="N319" i="22"/>
  <c r="N395" i="8"/>
  <c r="L182" i="22"/>
  <c r="L258" i="8"/>
  <c r="L830" i="14"/>
  <c r="L832" i="14" s="1"/>
  <c r="N29" i="22"/>
  <c r="N30" i="22" s="1"/>
  <c r="N749" i="14"/>
  <c r="N751" i="14" s="1"/>
  <c r="N119" i="8"/>
  <c r="L1155" i="14"/>
  <c r="L1172" i="14"/>
  <c r="F1172" i="14"/>
  <c r="F1155" i="14"/>
  <c r="G102" i="8"/>
  <c r="J389" i="8"/>
  <c r="J313" i="22"/>
  <c r="K395" i="8"/>
  <c r="K319" i="22"/>
  <c r="I12" i="22"/>
  <c r="I18" i="22"/>
  <c r="I19" i="22" s="1"/>
  <c r="I108" i="8"/>
  <c r="I102" i="8"/>
  <c r="F766" i="14"/>
  <c r="F768" i="14" s="1"/>
  <c r="F125" i="8"/>
  <c r="F35" i="22"/>
  <c r="F126" i="8" s="1"/>
  <c r="G1155" i="14"/>
  <c r="G1172" i="14"/>
  <c r="M319" i="22"/>
  <c r="M395" i="8"/>
  <c r="F389" i="8"/>
  <c r="F313" i="22"/>
  <c r="K830" i="14"/>
  <c r="K832" i="14" s="1"/>
  <c r="K258" i="8"/>
  <c r="K182" i="22"/>
  <c r="K120" i="8"/>
  <c r="K30" i="22"/>
  <c r="N226" i="8"/>
  <c r="N150" i="22"/>
  <c r="L125" i="8"/>
  <c r="L766" i="14"/>
  <c r="L768" i="14" s="1"/>
  <c r="L35" i="22"/>
  <c r="L36" i="22" s="1"/>
  <c r="G41" i="22"/>
  <c r="G132" i="8" s="1"/>
  <c r="G783" i="14"/>
  <c r="G785" i="14" s="1"/>
  <c r="G131" i="8"/>
  <c r="J1172" i="14"/>
  <c r="J1155" i="14"/>
  <c r="I19" i="41"/>
  <c r="I21" i="41"/>
  <c r="H1172" i="14"/>
  <c r="H1155" i="14"/>
  <c r="G395" i="8"/>
  <c r="G319" i="22"/>
  <c r="M18" i="22"/>
  <c r="M109" i="8" s="1"/>
  <c r="M108" i="8"/>
  <c r="G258" i="8"/>
  <c r="G182" i="22"/>
  <c r="G830" i="14"/>
  <c r="G832" i="14" s="1"/>
  <c r="K226" i="8"/>
  <c r="K150" i="22"/>
  <c r="G23" i="31"/>
  <c r="G29" i="31"/>
  <c r="G30" i="31" s="1"/>
  <c r="K125" i="8"/>
  <c r="K766" i="14"/>
  <c r="K768" i="14" s="1"/>
  <c r="K35" i="22"/>
  <c r="K126" i="8" s="1"/>
  <c r="I125" i="8"/>
  <c r="I35" i="22"/>
  <c r="I126" i="8" s="1"/>
  <c r="I766" i="14"/>
  <c r="I768" i="14" s="1"/>
  <c r="G307" i="22"/>
  <c r="G383" i="8"/>
  <c r="F36" i="22"/>
  <c r="G766" i="14"/>
  <c r="G768" i="14" s="1"/>
  <c r="G125" i="8"/>
  <c r="G35" i="22"/>
  <c r="G36" i="22" s="1"/>
  <c r="T277" i="21"/>
  <c r="S295" i="21"/>
  <c r="T295" i="21" s="1"/>
  <c r="U295" i="21" s="1"/>
  <c r="V295" i="21" s="1"/>
  <c r="S291" i="21"/>
  <c r="T291" i="21" s="1"/>
  <c r="U291" i="21" s="1"/>
  <c r="V291" i="21" s="1"/>
  <c r="S287" i="21"/>
  <c r="T287" i="21" s="1"/>
  <c r="U287" i="21" s="1"/>
  <c r="V287" i="21" s="1"/>
  <c r="S283" i="21"/>
  <c r="T283" i="21" s="1"/>
  <c r="U283" i="21" s="1"/>
  <c r="V283" i="21" s="1"/>
  <c r="E176" i="22"/>
  <c r="E252" i="8"/>
  <c r="E813" i="14"/>
  <c r="E815" i="14" s="1"/>
  <c r="H830" i="14"/>
  <c r="H832" i="14" s="1"/>
  <c r="H182" i="22"/>
  <c r="H258" i="8"/>
  <c r="J150" i="22"/>
  <c r="J226" i="8"/>
  <c r="E226" i="8"/>
  <c r="E150" i="22"/>
  <c r="I22" i="31"/>
  <c r="H383" i="8"/>
  <c r="H307" i="22"/>
  <c r="I30" i="22"/>
  <c r="H226" i="8"/>
  <c r="H150" i="22"/>
  <c r="E246" i="8"/>
  <c r="E170" i="22"/>
  <c r="E796" i="14"/>
  <c r="E798" i="14" s="1"/>
  <c r="E389" i="8"/>
  <c r="E313" i="22"/>
  <c r="J125" i="8"/>
  <c r="J766" i="14"/>
  <c r="J768" i="14" s="1"/>
  <c r="J35" i="22"/>
  <c r="J36" i="22" s="1"/>
  <c r="E35" i="22"/>
  <c r="M50" i="20" s="1"/>
  <c r="E125" i="8"/>
  <c r="E766" i="14"/>
  <c r="E768" i="14" s="1"/>
  <c r="M41" i="22"/>
  <c r="M132" i="8" s="1"/>
  <c r="M783" i="14"/>
  <c r="M785" i="14" s="1"/>
  <c r="M131" i="8"/>
  <c r="M307" i="22"/>
  <c r="M383" i="8"/>
  <c r="J30" i="22"/>
  <c r="J120" i="8"/>
  <c r="N307" i="22"/>
  <c r="N383" i="8"/>
  <c r="F319" i="22"/>
  <c r="F395" i="8"/>
  <c r="G36" i="29"/>
  <c r="G37" i="29" s="1"/>
  <c r="G30" i="29"/>
  <c r="M36" i="22"/>
  <c r="G35" i="20"/>
  <c r="G36" i="20" s="1"/>
  <c r="G29" i="20"/>
  <c r="M102" i="8"/>
  <c r="H18" i="22"/>
  <c r="H19" i="22" s="1"/>
  <c r="H21" i="22" s="1"/>
  <c r="H108" i="8"/>
  <c r="K18" i="41"/>
  <c r="K25" i="20"/>
  <c r="K19" i="31"/>
  <c r="K20" i="28"/>
  <c r="H176" i="22"/>
  <c r="H813" i="14"/>
  <c r="H815" i="14" s="1"/>
  <c r="H252" i="8"/>
  <c r="J176" i="22"/>
  <c r="J252" i="8"/>
  <c r="J813" i="14"/>
  <c r="J815" i="14" s="1"/>
  <c r="G246" i="8"/>
  <c r="G796" i="14"/>
  <c r="G798" i="14" s="1"/>
  <c r="G170" i="22"/>
  <c r="G12" i="22"/>
  <c r="K41" i="22"/>
  <c r="K131" i="8"/>
  <c r="K783" i="14"/>
  <c r="K785" i="14" s="1"/>
  <c r="K18" i="22"/>
  <c r="K109" i="8" s="1"/>
  <c r="K108" i="8"/>
  <c r="K102" i="8"/>
  <c r="K12" i="22"/>
  <c r="F749" i="14"/>
  <c r="F751" i="14" s="1"/>
  <c r="F29" i="22"/>
  <c r="F120" i="8" s="1"/>
  <c r="F119" i="8"/>
  <c r="J319" i="22"/>
  <c r="J395" i="8"/>
  <c r="N120" i="8"/>
  <c r="H313" i="22"/>
  <c r="H389" i="8"/>
  <c r="K51" i="20"/>
  <c r="E42" i="22"/>
  <c r="O51" i="20" s="1"/>
  <c r="E132" i="8"/>
  <c r="H170" i="22"/>
  <c r="H246" i="8"/>
  <c r="H796" i="14"/>
  <c r="H798" i="14" s="1"/>
  <c r="K132" i="8"/>
  <c r="M313" i="22"/>
  <c r="M389" i="8"/>
  <c r="N1155" i="14"/>
  <c r="N1172" i="14"/>
  <c r="L131" i="8"/>
  <c r="L41" i="22"/>
  <c r="L132" i="8" s="1"/>
  <c r="L783" i="14"/>
  <c r="L785" i="14" s="1"/>
  <c r="K42" i="22"/>
  <c r="L1635" i="14"/>
  <c r="H1736" i="14"/>
  <c r="N1840" i="14"/>
  <c r="E1638" i="14"/>
  <c r="Q1589" i="14"/>
  <c r="L1745" i="14"/>
  <c r="K1646" i="14"/>
  <c r="M1748" i="14"/>
  <c r="J1788" i="14"/>
  <c r="I1837" i="14"/>
  <c r="F178" i="22" l="1"/>
  <c r="N254" i="8"/>
  <c r="H240" i="8"/>
  <c r="H112" i="8"/>
  <c r="H22" i="22"/>
  <c r="H164" i="22"/>
  <c r="H302" i="22"/>
  <c r="H378" i="8"/>
  <c r="H172" i="22"/>
  <c r="K834" i="14"/>
  <c r="K836" i="14" s="1"/>
  <c r="K259" i="8"/>
  <c r="K183" i="22"/>
  <c r="K260" i="8" s="1"/>
  <c r="J1204" i="14"/>
  <c r="J1221" i="14"/>
  <c r="I111" i="8"/>
  <c r="I21" i="22"/>
  <c r="N800" i="14"/>
  <c r="N802" i="14" s="1"/>
  <c r="N247" i="8"/>
  <c r="N171" i="22"/>
  <c r="N248" i="8" s="1"/>
  <c r="F384" i="8"/>
  <c r="F308" i="22"/>
  <c r="N308" i="22"/>
  <c r="N384" i="8"/>
  <c r="N834" i="14"/>
  <c r="N836" i="14" s="1"/>
  <c r="N183" i="22"/>
  <c r="N260" i="8" s="1"/>
  <c r="N259" i="8"/>
  <c r="E1221" i="14"/>
  <c r="E1204" i="14"/>
  <c r="J126" i="8"/>
  <c r="H314" i="22"/>
  <c r="H390" i="8"/>
  <c r="N233" i="8"/>
  <c r="N157" i="22"/>
  <c r="G1221" i="14"/>
  <c r="G1204" i="14"/>
  <c r="L1221" i="14"/>
  <c r="L1204" i="14"/>
  <c r="H259" i="8"/>
  <c r="H183" i="22"/>
  <c r="H260" i="8" s="1"/>
  <c r="H834" i="14"/>
  <c r="H836" i="14" s="1"/>
  <c r="H111" i="8"/>
  <c r="G390" i="8"/>
  <c r="G314" i="22"/>
  <c r="M253" i="8"/>
  <c r="M817" i="14"/>
  <c r="M819" i="14" s="1"/>
  <c r="M177" i="22"/>
  <c r="M254" i="8" s="1"/>
  <c r="I171" i="22"/>
  <c r="I248" i="8" s="1"/>
  <c r="I800" i="14"/>
  <c r="I802" i="14" s="1"/>
  <c r="I247" i="8"/>
  <c r="L233" i="8"/>
  <c r="L157" i="22"/>
  <c r="L30" i="22"/>
  <c r="F320" i="22"/>
  <c r="F396" i="8"/>
  <c r="N1221" i="14"/>
  <c r="N1204" i="14"/>
  <c r="G308" i="22"/>
  <c r="G384" i="8"/>
  <c r="K19" i="41"/>
  <c r="J121" i="37"/>
  <c r="M259" i="8"/>
  <c r="M183" i="22"/>
  <c r="M834" i="14"/>
  <c r="M836" i="14" s="1"/>
  <c r="E817" i="14"/>
  <c r="E819" i="14" s="1"/>
  <c r="E253" i="8"/>
  <c r="E177" i="22"/>
  <c r="E254" i="8" s="1"/>
  <c r="J177" i="22"/>
  <c r="J178" i="22" s="1"/>
  <c r="J253" i="8"/>
  <c r="J817" i="14"/>
  <c r="J819" i="14" s="1"/>
  <c r="F30" i="22"/>
  <c r="E178" i="22"/>
  <c r="R50" i="20" s="1"/>
  <c r="I177" i="22"/>
  <c r="I178" i="22" s="1"/>
  <c r="I253" i="8"/>
  <c r="I817" i="14"/>
  <c r="I819" i="14" s="1"/>
  <c r="K177" i="22"/>
  <c r="K178" i="22" s="1"/>
  <c r="K817" i="14"/>
  <c r="K819" i="14" s="1"/>
  <c r="K253" i="8"/>
  <c r="K233" i="8"/>
  <c r="K157" i="22"/>
  <c r="G320" i="22"/>
  <c r="G396" i="8"/>
  <c r="H151" i="22"/>
  <c r="H227" i="8"/>
  <c r="I22" i="41"/>
  <c r="I28" i="41"/>
  <c r="I29" i="41" s="1"/>
  <c r="G151" i="22"/>
  <c r="G227" i="8"/>
  <c r="L151" i="22"/>
  <c r="L227" i="8"/>
  <c r="H36" i="22"/>
  <c r="H121" i="37" s="1"/>
  <c r="M19" i="31"/>
  <c r="M18" i="41"/>
  <c r="F390" i="8"/>
  <c r="F314" i="22"/>
  <c r="F21" i="22"/>
  <c r="I151" i="22"/>
  <c r="I227" i="8"/>
  <c r="H817" i="14"/>
  <c r="H819" i="14" s="1"/>
  <c r="H177" i="22"/>
  <c r="H178" i="22" s="1"/>
  <c r="H253" i="8"/>
  <c r="K27" i="20"/>
  <c r="K28" i="20" s="1"/>
  <c r="K28" i="29"/>
  <c r="K29" i="29" s="1"/>
  <c r="K22" i="28"/>
  <c r="K20" i="41"/>
  <c r="K21" i="41" s="1"/>
  <c r="K21" i="31"/>
  <c r="K22" i="31" s="1"/>
  <c r="F42" i="22"/>
  <c r="F132" i="8"/>
  <c r="G120" i="8"/>
  <c r="I233" i="8"/>
  <c r="I157" i="22"/>
  <c r="M233" i="8"/>
  <c r="M157" i="22"/>
  <c r="N396" i="8"/>
  <c r="N320" i="22"/>
  <c r="M390" i="8"/>
  <c r="M314" i="22"/>
  <c r="E183" i="22"/>
  <c r="E184" i="22" s="1"/>
  <c r="R51" i="20" s="1"/>
  <c r="E834" i="14"/>
  <c r="E836" i="14" s="1"/>
  <c r="E259" i="8"/>
  <c r="J834" i="14"/>
  <c r="J836" i="14" s="1"/>
  <c r="J259" i="8"/>
  <c r="J183" i="22"/>
  <c r="I308" i="22"/>
  <c r="I384" i="8"/>
  <c r="H132" i="8"/>
  <c r="M19" i="22"/>
  <c r="H120" i="8"/>
  <c r="L42" i="22"/>
  <c r="L121" i="37" s="1"/>
  <c r="J390" i="8"/>
  <c r="J314" i="22"/>
  <c r="K26" i="20"/>
  <c r="H109" i="8"/>
  <c r="K36" i="22"/>
  <c r="F253" i="8"/>
  <c r="F177" i="22"/>
  <c r="F254" i="8" s="1"/>
  <c r="F817" i="14"/>
  <c r="F819" i="14" s="1"/>
  <c r="J384" i="8"/>
  <c r="J308" i="22"/>
  <c r="J800" i="14"/>
  <c r="J802" i="14" s="1"/>
  <c r="J171" i="22"/>
  <c r="J248" i="8" s="1"/>
  <c r="J247" i="8"/>
  <c r="E320" i="22"/>
  <c r="E396" i="8"/>
  <c r="M1221" i="14"/>
  <c r="M1204" i="14"/>
  <c r="M396" i="8"/>
  <c r="M320" i="22"/>
  <c r="I259" i="8"/>
  <c r="I834" i="14"/>
  <c r="I836" i="14" s="1"/>
  <c r="I183" i="22"/>
  <c r="K1204" i="14"/>
  <c r="K1221" i="14"/>
  <c r="H800" i="14"/>
  <c r="H802" i="14" s="1"/>
  <c r="H171" i="22"/>
  <c r="H248" i="8" s="1"/>
  <c r="H247" i="8"/>
  <c r="N390" i="8"/>
  <c r="N314" i="22"/>
  <c r="L259" i="8"/>
  <c r="L183" i="22"/>
  <c r="L184" i="22" s="1"/>
  <c r="L834" i="14"/>
  <c r="L836" i="14" s="1"/>
  <c r="N227" i="8"/>
  <c r="N151" i="22"/>
  <c r="H384" i="8"/>
  <c r="H308" i="22"/>
  <c r="J254" i="8"/>
  <c r="K21" i="28"/>
  <c r="K23" i="28"/>
  <c r="E308" i="22"/>
  <c r="E384" i="8"/>
  <c r="H233" i="8"/>
  <c r="H157" i="22"/>
  <c r="I23" i="31"/>
  <c r="I29" i="31"/>
  <c r="I30" i="31" s="1"/>
  <c r="J157" i="22"/>
  <c r="J233" i="8"/>
  <c r="H396" i="8"/>
  <c r="H320" i="22"/>
  <c r="U277" i="21"/>
  <c r="T296" i="21"/>
  <c r="U296" i="21" s="1"/>
  <c r="V296" i="21" s="1"/>
  <c r="W296" i="21" s="1"/>
  <c r="T292" i="21"/>
  <c r="U292" i="21" s="1"/>
  <c r="V292" i="21" s="1"/>
  <c r="W292" i="21" s="1"/>
  <c r="T284" i="21"/>
  <c r="U284" i="21" s="1"/>
  <c r="V284" i="21" s="1"/>
  <c r="W284" i="21" s="1"/>
  <c r="T288" i="21"/>
  <c r="U288" i="21" s="1"/>
  <c r="V288" i="21" s="1"/>
  <c r="W288" i="21" s="1"/>
  <c r="G177" i="22"/>
  <c r="G178" i="22" s="1"/>
  <c r="G253" i="8"/>
  <c r="G817" i="14"/>
  <c r="G819" i="14" s="1"/>
  <c r="H1221" i="14"/>
  <c r="H1204" i="14"/>
  <c r="G834" i="14"/>
  <c r="G836" i="14" s="1"/>
  <c r="G259" i="8"/>
  <c r="G183" i="22"/>
  <c r="G184" i="22" s="1"/>
  <c r="L817" i="14"/>
  <c r="L819" i="14" s="1"/>
  <c r="L177" i="22"/>
  <c r="L178" i="22" s="1"/>
  <c r="L253" i="8"/>
  <c r="K320" i="22"/>
  <c r="K396" i="8"/>
  <c r="F151" i="22"/>
  <c r="F227" i="8"/>
  <c r="L320" i="22"/>
  <c r="L396" i="8"/>
  <c r="M46" i="20"/>
  <c r="M25" i="20" s="1"/>
  <c r="E19" i="22"/>
  <c r="M384" i="8"/>
  <c r="M308" i="22"/>
  <c r="I36" i="29"/>
  <c r="I37" i="29" s="1"/>
  <c r="I30" i="29"/>
  <c r="J320" i="22"/>
  <c r="J396" i="8"/>
  <c r="L314" i="22"/>
  <c r="L390" i="8"/>
  <c r="E126" i="8"/>
  <c r="G171" i="22"/>
  <c r="G248" i="8" s="1"/>
  <c r="G800" i="14"/>
  <c r="G802" i="14" s="1"/>
  <c r="G247" i="8"/>
  <c r="G109" i="8"/>
  <c r="G19" i="22"/>
  <c r="I1221" i="14"/>
  <c r="I1204" i="14"/>
  <c r="E171" i="22"/>
  <c r="E172" i="22" s="1"/>
  <c r="R49" i="20" s="1"/>
  <c r="E247" i="8"/>
  <c r="E800" i="14"/>
  <c r="E802" i="14" s="1"/>
  <c r="M260" i="8"/>
  <c r="M184" i="22"/>
  <c r="L171" i="22"/>
  <c r="L248" i="8" s="1"/>
  <c r="L247" i="8"/>
  <c r="L800" i="14"/>
  <c r="L802" i="14" s="1"/>
  <c r="S312" i="21"/>
  <c r="S313" i="21" s="1"/>
  <c r="T280" i="21"/>
  <c r="S278" i="21"/>
  <c r="F183" i="22"/>
  <c r="F260" i="8" s="1"/>
  <c r="F259" i="8"/>
  <c r="F834" i="14"/>
  <c r="F836" i="14" s="1"/>
  <c r="K171" i="22"/>
  <c r="K172" i="22" s="1"/>
  <c r="K800" i="14"/>
  <c r="K802" i="14" s="1"/>
  <c r="K247" i="8"/>
  <c r="N177" i="22"/>
  <c r="N178" i="22" s="1"/>
  <c r="N817" i="14"/>
  <c r="N819" i="14" s="1"/>
  <c r="N253" i="8"/>
  <c r="I260" i="8"/>
  <c r="M178" i="22"/>
  <c r="M247" i="8"/>
  <c r="M800" i="14"/>
  <c r="M802" i="14" s="1"/>
  <c r="M171" i="22"/>
  <c r="J111" i="8"/>
  <c r="J21" i="22"/>
  <c r="K19" i="22"/>
  <c r="I390" i="8"/>
  <c r="I314" i="22"/>
  <c r="I24" i="28"/>
  <c r="I30" i="28"/>
  <c r="I31" i="28" s="1"/>
  <c r="K390" i="8"/>
  <c r="K314" i="22"/>
  <c r="L21" i="22"/>
  <c r="L111" i="8"/>
  <c r="G42" i="22"/>
  <c r="I184" i="22"/>
  <c r="N42" i="22"/>
  <c r="N19" i="22"/>
  <c r="N121" i="37" s="1"/>
  <c r="F171" i="22"/>
  <c r="F248" i="8" s="1"/>
  <c r="F247" i="8"/>
  <c r="F800" i="14"/>
  <c r="F802" i="14" s="1"/>
  <c r="K20" i="31"/>
  <c r="G126" i="8"/>
  <c r="E233" i="8"/>
  <c r="E157" i="22"/>
  <c r="E314" i="22"/>
  <c r="E390" i="8"/>
  <c r="J227" i="8"/>
  <c r="J151" i="22"/>
  <c r="F1204" i="14"/>
  <c r="F1221" i="14"/>
  <c r="O17" i="31"/>
  <c r="G24" i="11"/>
  <c r="G23" i="11" s="1"/>
  <c r="O24" i="29"/>
  <c r="O16" i="41"/>
  <c r="O23" i="20"/>
  <c r="O18" i="28"/>
  <c r="O47" i="20"/>
  <c r="E111" i="8"/>
  <c r="M42" i="22"/>
  <c r="J260" i="8"/>
  <c r="J184" i="22"/>
  <c r="L384" i="8"/>
  <c r="L308" i="22"/>
  <c r="E36" i="22"/>
  <c r="O50" i="20" s="1"/>
  <c r="M227" i="8"/>
  <c r="M151" i="22"/>
  <c r="M49" i="20"/>
  <c r="E30" i="22"/>
  <c r="O49" i="20" s="1"/>
  <c r="K308" i="22"/>
  <c r="K384" i="8"/>
  <c r="G157" i="22"/>
  <c r="G233" i="8"/>
  <c r="F233" i="8"/>
  <c r="F157" i="22"/>
  <c r="K151" i="22"/>
  <c r="K227" i="8"/>
  <c r="I320" i="22"/>
  <c r="I396" i="8"/>
  <c r="J132" i="8"/>
  <c r="K254" i="8"/>
  <c r="E151" i="22"/>
  <c r="E227" i="8"/>
  <c r="I109" i="8"/>
  <c r="F109" i="8"/>
  <c r="I36" i="22"/>
  <c r="I121" i="37" s="1"/>
  <c r="L126" i="8"/>
  <c r="I132" i="8"/>
  <c r="L1687" i="14"/>
  <c r="K1698" i="14"/>
  <c r="E1690" i="14"/>
  <c r="Q1638" i="14"/>
  <c r="L1794" i="14"/>
  <c r="H1785" i="14"/>
  <c r="M1797" i="14"/>
  <c r="J1837" i="14"/>
  <c r="M26" i="20" l="1"/>
  <c r="G322" i="22"/>
  <c r="K28" i="41"/>
  <c r="K29" i="41" s="1"/>
  <c r="K22" i="41"/>
  <c r="S314" i="21"/>
  <c r="E4" i="43"/>
  <c r="E392" i="8"/>
  <c r="K29" i="31"/>
  <c r="K30" i="31" s="1"/>
  <c r="K23" i="31"/>
  <c r="K35" i="20"/>
  <c r="K36" i="20" s="1"/>
  <c r="K29" i="20"/>
  <c r="E391" i="8"/>
  <c r="E315" i="22"/>
  <c r="E316" i="22" s="1"/>
  <c r="T50" i="20" s="1"/>
  <c r="L1288" i="14"/>
  <c r="L1253" i="14"/>
  <c r="E228" i="8"/>
  <c r="E152" i="22"/>
  <c r="N397" i="8"/>
  <c r="N321" i="22"/>
  <c r="N322" i="22" s="1"/>
  <c r="I302" i="22"/>
  <c r="I134" i="8"/>
  <c r="I44" i="22"/>
  <c r="I378" i="8"/>
  <c r="I240" i="8"/>
  <c r="I22" i="22"/>
  <c r="I164" i="22"/>
  <c r="I112" i="8"/>
  <c r="F184" i="22"/>
  <c r="H44" i="22"/>
  <c r="H254" i="8"/>
  <c r="N172" i="22"/>
  <c r="L254" i="8"/>
  <c r="G254" i="8"/>
  <c r="M248" i="8"/>
  <c r="M172" i="22"/>
  <c r="N391" i="8"/>
  <c r="N315" i="22"/>
  <c r="N392" i="8" s="1"/>
  <c r="K248" i="8"/>
  <c r="I397" i="8"/>
  <c r="I321" i="22"/>
  <c r="I398" i="8" s="1"/>
  <c r="M19" i="41"/>
  <c r="G158" i="22"/>
  <c r="G234" i="8"/>
  <c r="F310" i="22"/>
  <c r="J152" i="22"/>
  <c r="J228" i="8"/>
  <c r="H184" i="22"/>
  <c r="M27" i="20"/>
  <c r="M28" i="20" s="1"/>
  <c r="M22" i="28"/>
  <c r="M28" i="29"/>
  <c r="M21" i="31"/>
  <c r="M20" i="41"/>
  <c r="M21" i="41" s="1"/>
  <c r="M385" i="8"/>
  <c r="M309" i="22"/>
  <c r="M310" i="22" s="1"/>
  <c r="N21" i="22"/>
  <c r="F397" i="8"/>
  <c r="F321" i="22"/>
  <c r="F398" i="8" s="1"/>
  <c r="U280" i="21"/>
  <c r="T312" i="21"/>
  <c r="T278" i="21"/>
  <c r="L385" i="8"/>
  <c r="L309" i="22"/>
  <c r="L386" i="8" s="1"/>
  <c r="H152" i="22"/>
  <c r="H228" i="8"/>
  <c r="L321" i="22"/>
  <c r="L322" i="22" s="1"/>
  <c r="L397" i="8"/>
  <c r="M1288" i="14"/>
  <c r="M1253" i="14"/>
  <c r="J321" i="22"/>
  <c r="J322" i="22" s="1"/>
  <c r="J397" i="8"/>
  <c r="I172" i="22"/>
  <c r="K158" i="22"/>
  <c r="K234" i="8"/>
  <c r="M234" i="8"/>
  <c r="M158" i="22"/>
  <c r="J172" i="22"/>
  <c r="E248" i="8"/>
  <c r="F309" i="22"/>
  <c r="F386" i="8" s="1"/>
  <c r="F385" i="8"/>
  <c r="L44" i="22"/>
  <c r="L112" i="8"/>
  <c r="L22" i="22"/>
  <c r="L134" i="8"/>
  <c r="L378" i="8"/>
  <c r="L164" i="22"/>
  <c r="L240" i="8"/>
  <c r="L302" i="22"/>
  <c r="J134" i="8"/>
  <c r="J240" i="8"/>
  <c r="J378" i="8"/>
  <c r="J22" i="22"/>
  <c r="J112" i="8"/>
  <c r="J302" i="22"/>
  <c r="J44" i="22"/>
  <c r="J164" i="22"/>
  <c r="N111" i="8"/>
  <c r="I152" i="22"/>
  <c r="I228" i="8"/>
  <c r="E21" i="22"/>
  <c r="O46" i="20"/>
  <c r="O18" i="41" s="1"/>
  <c r="E121" i="37"/>
  <c r="H1288" i="14"/>
  <c r="H1253" i="14"/>
  <c r="K24" i="28"/>
  <c r="K30" i="28"/>
  <c r="K31" i="28" s="1"/>
  <c r="K152" i="22"/>
  <c r="K228" i="8"/>
  <c r="J309" i="22"/>
  <c r="J310" i="22" s="1"/>
  <c r="J385" i="8"/>
  <c r="M21" i="22"/>
  <c r="M121" i="37"/>
  <c r="M111" i="8"/>
  <c r="F22" i="22"/>
  <c r="F378" i="8"/>
  <c r="F302" i="22"/>
  <c r="F240" i="8"/>
  <c r="F134" i="8"/>
  <c r="F164" i="22"/>
  <c r="F112" i="8"/>
  <c r="F44" i="22"/>
  <c r="L172" i="22"/>
  <c r="M26" i="29"/>
  <c r="L234" i="8"/>
  <c r="L158" i="22"/>
  <c r="I315" i="22"/>
  <c r="I316" i="22" s="1"/>
  <c r="I391" i="8"/>
  <c r="R28" i="29"/>
  <c r="M321" i="22"/>
  <c r="M398" i="8" s="1"/>
  <c r="M397" i="8"/>
  <c r="N228" i="8"/>
  <c r="N152" i="22"/>
  <c r="M391" i="8"/>
  <c r="M315" i="22"/>
  <c r="M392" i="8" s="1"/>
  <c r="L260" i="8"/>
  <c r="G152" i="22"/>
  <c r="G228" i="8"/>
  <c r="E1288" i="14"/>
  <c r="E1253" i="14"/>
  <c r="I254" i="8"/>
  <c r="H134" i="8"/>
  <c r="K184" i="22"/>
  <c r="O20" i="41"/>
  <c r="O28" i="29"/>
  <c r="O27" i="20"/>
  <c r="O22" i="28"/>
  <c r="O21" i="31"/>
  <c r="F228" i="8"/>
  <c r="F152" i="22"/>
  <c r="G21" i="22"/>
  <c r="G121" i="37"/>
  <c r="M386" i="8"/>
  <c r="F234" i="8"/>
  <c r="F158" i="22"/>
  <c r="G321" i="22"/>
  <c r="G398" i="8" s="1"/>
  <c r="G397" i="8"/>
  <c r="G315" i="22"/>
  <c r="G316" i="22" s="1"/>
  <c r="G391" i="8"/>
  <c r="H309" i="22"/>
  <c r="H310" i="22" s="1"/>
  <c r="H385" i="8"/>
  <c r="M228" i="8"/>
  <c r="M152" i="22"/>
  <c r="H234" i="8"/>
  <c r="H158" i="22"/>
  <c r="K391" i="8"/>
  <c r="K315" i="22"/>
  <c r="K316" i="22" s="1"/>
  <c r="J391" i="8"/>
  <c r="J315" i="22"/>
  <c r="J392" i="8" s="1"/>
  <c r="G392" i="8"/>
  <c r="L152" i="22"/>
  <c r="L228" i="8"/>
  <c r="N385" i="8"/>
  <c r="N309" i="22"/>
  <c r="N310" i="22" s="1"/>
  <c r="F172" i="22"/>
  <c r="L310" i="22"/>
  <c r="O20" i="28"/>
  <c r="O26" i="29"/>
  <c r="O19" i="31"/>
  <c r="O25" i="20"/>
  <c r="J158" i="22"/>
  <c r="J234" i="8"/>
  <c r="G111" i="8"/>
  <c r="K111" i="8"/>
  <c r="K121" i="37"/>
  <c r="R21" i="31"/>
  <c r="R20" i="41"/>
  <c r="R22" i="28"/>
  <c r="R27" i="20"/>
  <c r="L391" i="8"/>
  <c r="L315" i="22"/>
  <c r="L316" i="22" s="1"/>
  <c r="H386" i="8"/>
  <c r="K1288" i="14"/>
  <c r="K1253" i="14"/>
  <c r="F315" i="22"/>
  <c r="F316" i="22" s="1"/>
  <c r="F391" i="8"/>
  <c r="I158" i="22"/>
  <c r="I234" i="8"/>
  <c r="M20" i="31"/>
  <c r="M22" i="31"/>
  <c r="E158" i="22"/>
  <c r="E234" i="8"/>
  <c r="F1288" i="14"/>
  <c r="F1253" i="14"/>
  <c r="K385" i="8"/>
  <c r="K309" i="22"/>
  <c r="K386" i="8" s="1"/>
  <c r="E385" i="8"/>
  <c r="E309" i="22"/>
  <c r="E386" i="8" s="1"/>
  <c r="I1288" i="14"/>
  <c r="I1253" i="14"/>
  <c r="G385" i="8"/>
  <c r="G309" i="22"/>
  <c r="G386" i="8" s="1"/>
  <c r="G260" i="8"/>
  <c r="V277" i="21"/>
  <c r="U297" i="21"/>
  <c r="V297" i="21" s="1"/>
  <c r="W297" i="21" s="1"/>
  <c r="X297" i="21" s="1"/>
  <c r="U293" i="21"/>
  <c r="V293" i="21" s="1"/>
  <c r="W293" i="21" s="1"/>
  <c r="X293" i="21" s="1"/>
  <c r="U289" i="21"/>
  <c r="V289" i="21" s="1"/>
  <c r="W289" i="21" s="1"/>
  <c r="X289" i="21" s="1"/>
  <c r="U281" i="21"/>
  <c r="V281" i="21" s="1"/>
  <c r="W281" i="21" s="1"/>
  <c r="X281" i="21" s="1"/>
  <c r="U285" i="21"/>
  <c r="V285" i="21" s="1"/>
  <c r="W285" i="21" s="1"/>
  <c r="X285" i="21" s="1"/>
  <c r="N158" i="22"/>
  <c r="N234" i="8"/>
  <c r="K21" i="22"/>
  <c r="E397" i="8"/>
  <c r="E321" i="22"/>
  <c r="E398" i="8" s="1"/>
  <c r="N398" i="8"/>
  <c r="K36" i="29"/>
  <c r="K37" i="29" s="1"/>
  <c r="K30" i="29"/>
  <c r="H391" i="8"/>
  <c r="H315" i="22"/>
  <c r="H316" i="22" s="1"/>
  <c r="E260" i="8"/>
  <c r="M20" i="28"/>
  <c r="F121" i="37"/>
  <c r="N1288" i="14"/>
  <c r="N1253" i="14"/>
  <c r="I385" i="8"/>
  <c r="I309" i="22"/>
  <c r="I386" i="8" s="1"/>
  <c r="H397" i="8"/>
  <c r="H321" i="22"/>
  <c r="H322" i="22" s="1"/>
  <c r="G1253" i="14"/>
  <c r="G1288" i="14"/>
  <c r="G172" i="22"/>
  <c r="J1253" i="14"/>
  <c r="J1288" i="14"/>
  <c r="K397" i="8"/>
  <c r="K321" i="22"/>
  <c r="K322" i="22" s="1"/>
  <c r="N184" i="22"/>
  <c r="L1736" i="14"/>
  <c r="H1834" i="14"/>
  <c r="L1843" i="14"/>
  <c r="E1739" i="14"/>
  <c r="K1747" i="14"/>
  <c r="M1846" i="14"/>
  <c r="M28" i="41" l="1"/>
  <c r="M29" i="41" s="1"/>
  <c r="M22" i="41"/>
  <c r="M29" i="20"/>
  <c r="M35" i="20"/>
  <c r="M36" i="20" s="1"/>
  <c r="N1320" i="14"/>
  <c r="N1337" i="14"/>
  <c r="F229" i="8"/>
  <c r="F153" i="22"/>
  <c r="F159" i="22"/>
  <c r="F235" i="8"/>
  <c r="H153" i="22"/>
  <c r="H229" i="8"/>
  <c r="I159" i="22"/>
  <c r="I235" i="8"/>
  <c r="J235" i="8"/>
  <c r="J159" i="22"/>
  <c r="L229" i="8"/>
  <c r="L153" i="22"/>
  <c r="H392" i="8"/>
  <c r="I310" i="22"/>
  <c r="J1337" i="14"/>
  <c r="J1320" i="14"/>
  <c r="F1337" i="14"/>
  <c r="F1320" i="14"/>
  <c r="K153" i="22"/>
  <c r="K229" i="8"/>
  <c r="O26" i="20"/>
  <c r="O28" i="20"/>
  <c r="F45" i="22"/>
  <c r="F253" i="37" s="1"/>
  <c r="F135" i="8"/>
  <c r="F221" i="8"/>
  <c r="F131" i="22"/>
  <c r="M22" i="22"/>
  <c r="M44" i="22"/>
  <c r="M378" i="8"/>
  <c r="M112" i="8"/>
  <c r="M134" i="8"/>
  <c r="M240" i="8"/>
  <c r="M302" i="22"/>
  <c r="M164" i="22"/>
  <c r="H1337" i="14"/>
  <c r="H1320" i="14"/>
  <c r="O21" i="41"/>
  <c r="O19" i="41"/>
  <c r="L45" i="22"/>
  <c r="L253" i="37" s="1"/>
  <c r="L135" i="8"/>
  <c r="L221" i="8"/>
  <c r="L131" i="22"/>
  <c r="J316" i="22"/>
  <c r="H235" i="8"/>
  <c r="H159" i="22"/>
  <c r="N112" i="8"/>
  <c r="N134" i="8"/>
  <c r="N164" i="22"/>
  <c r="N22" i="22"/>
  <c r="N44" i="22"/>
  <c r="N378" i="8"/>
  <c r="N240" i="8"/>
  <c r="N302" i="22"/>
  <c r="I322" i="22"/>
  <c r="I131" i="22"/>
  <c r="I45" i="22"/>
  <c r="I253" i="37" s="1"/>
  <c r="I135" i="8"/>
  <c r="I221" i="8"/>
  <c r="L1320" i="14"/>
  <c r="L1337" i="14"/>
  <c r="K392" i="8"/>
  <c r="M322" i="22"/>
  <c r="M316" i="22"/>
  <c r="G1337" i="14"/>
  <c r="G1320" i="14"/>
  <c r="O23" i="28"/>
  <c r="O21" i="28"/>
  <c r="I229" i="8"/>
  <c r="I153" i="22"/>
  <c r="J229" i="8"/>
  <c r="J153" i="22"/>
  <c r="J386" i="8"/>
  <c r="J230" i="8"/>
  <c r="I1337" i="14"/>
  <c r="I1320" i="14"/>
  <c r="K310" i="22"/>
  <c r="K1320" i="14"/>
  <c r="K1337" i="14"/>
  <c r="O22" i="31"/>
  <c r="O20" i="31"/>
  <c r="E153" i="22"/>
  <c r="E154" i="22" s="1"/>
  <c r="E229" i="8"/>
  <c r="G235" i="8"/>
  <c r="G159" i="22"/>
  <c r="N235" i="8"/>
  <c r="N159" i="22"/>
  <c r="K159" i="22"/>
  <c r="K235" i="8"/>
  <c r="K230" i="8"/>
  <c r="K398" i="8"/>
  <c r="E164" i="22"/>
  <c r="E22" i="22"/>
  <c r="E240" i="8"/>
  <c r="E112" i="8"/>
  <c r="E44" i="22"/>
  <c r="E378" i="8"/>
  <c r="E302" i="22"/>
  <c r="E134" i="8"/>
  <c r="M229" i="8"/>
  <c r="M153" i="22"/>
  <c r="E310" i="22"/>
  <c r="T49" i="20" s="1"/>
  <c r="V280" i="21"/>
  <c r="U312" i="21"/>
  <c r="U278" i="21"/>
  <c r="N316" i="22"/>
  <c r="H135" i="8"/>
  <c r="H131" i="22"/>
  <c r="H45" i="22"/>
  <c r="H253" i="37" s="1"/>
  <c r="H221" i="8"/>
  <c r="E235" i="8"/>
  <c r="E159" i="22"/>
  <c r="F322" i="22"/>
  <c r="L392" i="8"/>
  <c r="J398" i="8"/>
  <c r="W277" i="21"/>
  <c r="V298" i="21"/>
  <c r="W298" i="21" s="1"/>
  <c r="X298" i="21" s="1"/>
  <c r="Y298" i="21" s="1"/>
  <c r="V294" i="21"/>
  <c r="W294" i="21" s="1"/>
  <c r="X294" i="21" s="1"/>
  <c r="Y294" i="21" s="1"/>
  <c r="V286" i="21"/>
  <c r="W286" i="21" s="1"/>
  <c r="X286" i="21" s="1"/>
  <c r="Y286" i="21" s="1"/>
  <c r="V290" i="21"/>
  <c r="W290" i="21" s="1"/>
  <c r="X290" i="21" s="1"/>
  <c r="Y290" i="21" s="1"/>
  <c r="V282" i="21"/>
  <c r="W282" i="21" s="1"/>
  <c r="X282" i="21" s="1"/>
  <c r="Y282" i="21" s="1"/>
  <c r="G153" i="22"/>
  <c r="G229" i="8"/>
  <c r="K302" i="22"/>
  <c r="K112" i="8"/>
  <c r="K44" i="22"/>
  <c r="K22" i="22"/>
  <c r="K134" i="8"/>
  <c r="K164" i="22"/>
  <c r="K378" i="8"/>
  <c r="K240" i="8"/>
  <c r="N229" i="8"/>
  <c r="N153" i="22"/>
  <c r="N230" i="8" s="1"/>
  <c r="M21" i="28"/>
  <c r="M23" i="28"/>
  <c r="E322" i="22"/>
  <c r="T51" i="20" s="1"/>
  <c r="M23" i="31"/>
  <c r="M29" i="31"/>
  <c r="M30" i="31" s="1"/>
  <c r="O29" i="29"/>
  <c r="O27" i="29"/>
  <c r="L159" i="22"/>
  <c r="L235" i="8"/>
  <c r="M235" i="8"/>
  <c r="M159" i="22"/>
  <c r="M230" i="8"/>
  <c r="G378" i="8"/>
  <c r="G22" i="22"/>
  <c r="G240" i="8"/>
  <c r="G302" i="22"/>
  <c r="G134" i="8"/>
  <c r="G112" i="8"/>
  <c r="G44" i="22"/>
  <c r="G164" i="22"/>
  <c r="E1337" i="14"/>
  <c r="E1320" i="14"/>
  <c r="M27" i="29"/>
  <c r="M29" i="29"/>
  <c r="L398" i="8"/>
  <c r="J131" i="22"/>
  <c r="J135" i="8"/>
  <c r="J221" i="8"/>
  <c r="J45" i="22"/>
  <c r="J253" i="37" s="1"/>
  <c r="M1320" i="14"/>
  <c r="M1337" i="14"/>
  <c r="H398" i="8"/>
  <c r="F392" i="8"/>
  <c r="G310" i="22"/>
  <c r="N386" i="8"/>
  <c r="E5" i="43"/>
  <c r="F4" i="43"/>
  <c r="F5" i="43" s="1"/>
  <c r="I392" i="8"/>
  <c r="L1785" i="14"/>
  <c r="E1788" i="14"/>
  <c r="K1796" i="14"/>
  <c r="R16" i="41" l="1"/>
  <c r="R24" i="29"/>
  <c r="R17" i="31"/>
  <c r="R23" i="20"/>
  <c r="H24" i="11"/>
  <c r="H23" i="11" s="1"/>
  <c r="R18" i="28"/>
  <c r="E1386" i="14"/>
  <c r="E1369" i="14"/>
  <c r="X277" i="21"/>
  <c r="W299" i="21"/>
  <c r="X299" i="21" s="1"/>
  <c r="Y299" i="21" s="1"/>
  <c r="Z299" i="21" s="1"/>
  <c r="W287" i="21"/>
  <c r="X287" i="21" s="1"/>
  <c r="Y287" i="21" s="1"/>
  <c r="Z287" i="21" s="1"/>
  <c r="W291" i="21"/>
  <c r="X291" i="21" s="1"/>
  <c r="Y291" i="21" s="1"/>
  <c r="Z291" i="21" s="1"/>
  <c r="W283" i="21"/>
  <c r="X283" i="21" s="1"/>
  <c r="Y283" i="21" s="1"/>
  <c r="Z283" i="21" s="1"/>
  <c r="W295" i="21"/>
  <c r="X295" i="21" s="1"/>
  <c r="Y295" i="21" s="1"/>
  <c r="Z295" i="21" s="1"/>
  <c r="H222" i="8"/>
  <c r="H132" i="22"/>
  <c r="H120" i="37"/>
  <c r="E45" i="22"/>
  <c r="E253" i="37" s="1"/>
  <c r="E131" i="22"/>
  <c r="E221" i="8"/>
  <c r="E135" i="8"/>
  <c r="I230" i="8"/>
  <c r="I160" i="22"/>
  <c r="I237" i="8" s="1"/>
  <c r="I236" i="8"/>
  <c r="N135" i="8"/>
  <c r="N221" i="8"/>
  <c r="N45" i="22"/>
  <c r="N253" i="37" s="1"/>
  <c r="N131" i="22"/>
  <c r="H1386" i="14"/>
  <c r="H1369" i="14"/>
  <c r="K160" i="22"/>
  <c r="K161" i="22" s="1"/>
  <c r="K133" i="37" s="1"/>
  <c r="K236" i="8"/>
  <c r="K154" i="22"/>
  <c r="L154" i="22"/>
  <c r="L236" i="8"/>
  <c r="L160" i="22"/>
  <c r="L161" i="22" s="1"/>
  <c r="L133" i="37" s="1"/>
  <c r="L230" i="8"/>
  <c r="M36" i="29"/>
  <c r="M37" i="29" s="1"/>
  <c r="M30" i="29"/>
  <c r="M24" i="28"/>
  <c r="M30" i="28"/>
  <c r="M31" i="28" s="1"/>
  <c r="V312" i="21"/>
  <c r="W280" i="21"/>
  <c r="V278" i="21"/>
  <c r="N154" i="22"/>
  <c r="O23" i="31"/>
  <c r="O29" i="31"/>
  <c r="O30" i="31" s="1"/>
  <c r="L120" i="37"/>
  <c r="L222" i="8"/>
  <c r="L132" i="22"/>
  <c r="F132" i="22"/>
  <c r="F120" i="37"/>
  <c r="F222" i="8"/>
  <c r="O35" i="20"/>
  <c r="O36" i="20" s="1"/>
  <c r="O29" i="20"/>
  <c r="J1369" i="14"/>
  <c r="J1386" i="14"/>
  <c r="I154" i="22"/>
  <c r="H154" i="22"/>
  <c r="H160" i="22"/>
  <c r="H161" i="22" s="1"/>
  <c r="H133" i="37" s="1"/>
  <c r="H236" i="8"/>
  <c r="H230" i="8"/>
  <c r="F160" i="22"/>
  <c r="F161" i="22" s="1"/>
  <c r="F133" i="37" s="1"/>
  <c r="F236" i="8"/>
  <c r="F154" i="22"/>
  <c r="K237" i="8"/>
  <c r="M1386" i="14"/>
  <c r="M1369" i="14"/>
  <c r="G45" i="22"/>
  <c r="G253" i="37" s="1"/>
  <c r="G131" i="22"/>
  <c r="G135" i="8"/>
  <c r="G221" i="8"/>
  <c r="K221" i="8"/>
  <c r="K135" i="8"/>
  <c r="K45" i="22"/>
  <c r="K253" i="37" s="1"/>
  <c r="K131" i="22"/>
  <c r="G230" i="8"/>
  <c r="G236" i="8"/>
  <c r="G160" i="22"/>
  <c r="G161" i="22" s="1"/>
  <c r="G133" i="37" s="1"/>
  <c r="G154" i="22"/>
  <c r="T20" i="41"/>
  <c r="T27" i="20"/>
  <c r="T22" i="28"/>
  <c r="T21" i="31"/>
  <c r="T28" i="29"/>
  <c r="K1386" i="14"/>
  <c r="K1369" i="14"/>
  <c r="I1369" i="14"/>
  <c r="I1386" i="14"/>
  <c r="J160" i="22"/>
  <c r="J237" i="8" s="1"/>
  <c r="J236" i="8"/>
  <c r="G1369" i="14"/>
  <c r="G1386" i="14"/>
  <c r="L1369" i="14"/>
  <c r="L1386" i="14"/>
  <c r="O28" i="41"/>
  <c r="O29" i="41" s="1"/>
  <c r="O22" i="41"/>
  <c r="F1386" i="14"/>
  <c r="F1369" i="14"/>
  <c r="J154" i="22"/>
  <c r="F230" i="8"/>
  <c r="J222" i="8"/>
  <c r="J120" i="37"/>
  <c r="J132" i="22"/>
  <c r="O30" i="29"/>
  <c r="O36" i="29"/>
  <c r="O37" i="29" s="1"/>
  <c r="N160" i="22"/>
  <c r="N161" i="22" s="1"/>
  <c r="N133" i="37" s="1"/>
  <c r="N236" i="8"/>
  <c r="M160" i="22"/>
  <c r="M237" i="8" s="1"/>
  <c r="M236" i="8"/>
  <c r="E230" i="8"/>
  <c r="E160" i="22"/>
  <c r="E237" i="8" s="1"/>
  <c r="E236" i="8"/>
  <c r="O30" i="28"/>
  <c r="O31" i="28" s="1"/>
  <c r="O24" i="28"/>
  <c r="I222" i="8"/>
  <c r="I132" i="22"/>
  <c r="I120" i="37"/>
  <c r="M45" i="22"/>
  <c r="M253" i="37" s="1"/>
  <c r="M221" i="8"/>
  <c r="M131" i="22"/>
  <c r="M135" i="8"/>
  <c r="N1386" i="14"/>
  <c r="N1369" i="14"/>
  <c r="M154" i="22"/>
  <c r="L1834" i="14"/>
  <c r="K1845" i="14"/>
  <c r="E1837" i="14"/>
  <c r="M120" i="37" l="1"/>
  <c r="M132" i="22"/>
  <c r="M222" i="8"/>
  <c r="I95" i="37"/>
  <c r="I123" i="37"/>
  <c r="I112" i="37"/>
  <c r="I51" i="10"/>
  <c r="L1418" i="14"/>
  <c r="L1435" i="14"/>
  <c r="G132" i="22"/>
  <c r="G222" i="8"/>
  <c r="G120" i="37"/>
  <c r="L123" i="37"/>
  <c r="L95" i="37"/>
  <c r="L112" i="37"/>
  <c r="H51" i="10"/>
  <c r="H123" i="37"/>
  <c r="H112" i="37"/>
  <c r="H95" i="37"/>
  <c r="I161" i="22"/>
  <c r="I133" i="37" s="1"/>
  <c r="G237" i="8"/>
  <c r="F1418" i="14"/>
  <c r="F1435" i="14"/>
  <c r="K1418" i="14"/>
  <c r="K1435" i="14"/>
  <c r="G239" i="8"/>
  <c r="G163" i="22"/>
  <c r="K132" i="22"/>
  <c r="K120" i="37"/>
  <c r="K222" i="8"/>
  <c r="M161" i="22"/>
  <c r="M133" i="37" s="1"/>
  <c r="F239" i="8"/>
  <c r="F163" i="22"/>
  <c r="J1418" i="14"/>
  <c r="J1435" i="14"/>
  <c r="N163" i="22"/>
  <c r="N239" i="8"/>
  <c r="L239" i="8"/>
  <c r="L163" i="22"/>
  <c r="E222" i="8"/>
  <c r="E132" i="22"/>
  <c r="E120" i="37"/>
  <c r="H237" i="8"/>
  <c r="N1435" i="14"/>
  <c r="N1418" i="14"/>
  <c r="G1435" i="14"/>
  <c r="G1418" i="14"/>
  <c r="I1435" i="14"/>
  <c r="I1418" i="14"/>
  <c r="N237" i="8"/>
  <c r="K163" i="22"/>
  <c r="K239" i="8"/>
  <c r="H1418" i="14"/>
  <c r="H1435" i="14"/>
  <c r="E1435" i="14"/>
  <c r="E1418" i="14"/>
  <c r="E161" i="22"/>
  <c r="J123" i="37"/>
  <c r="J51" i="10"/>
  <c r="J95" i="37"/>
  <c r="J112" i="37"/>
  <c r="M1418" i="14"/>
  <c r="M1435" i="14"/>
  <c r="H163" i="22"/>
  <c r="H239" i="8"/>
  <c r="F51" i="10"/>
  <c r="F112" i="37"/>
  <c r="F123" i="37"/>
  <c r="F95" i="37"/>
  <c r="X280" i="21"/>
  <c r="W312" i="21"/>
  <c r="W313" i="21" s="1"/>
  <c r="W314" i="21" s="1"/>
  <c r="W278" i="21"/>
  <c r="N222" i="8"/>
  <c r="N132" i="22"/>
  <c r="N120" i="37"/>
  <c r="Y277" i="21"/>
  <c r="X300" i="21"/>
  <c r="Y300" i="21" s="1"/>
  <c r="Z300" i="21" s="1"/>
  <c r="AA300" i="21" s="1"/>
  <c r="X284" i="21"/>
  <c r="Y284" i="21" s="1"/>
  <c r="Z284" i="21" s="1"/>
  <c r="AA284" i="21" s="1"/>
  <c r="X296" i="21"/>
  <c r="Y296" i="21" s="1"/>
  <c r="Z296" i="21" s="1"/>
  <c r="AA296" i="21" s="1"/>
  <c r="X288" i="21"/>
  <c r="Y288" i="21" s="1"/>
  <c r="Z288" i="21" s="1"/>
  <c r="AA288" i="21" s="1"/>
  <c r="X292" i="21"/>
  <c r="Y292" i="21" s="1"/>
  <c r="Z292" i="21" s="1"/>
  <c r="AA292" i="21" s="1"/>
  <c r="F237" i="8"/>
  <c r="L237" i="8"/>
  <c r="J161" i="22"/>
  <c r="J133" i="37" s="1"/>
  <c r="H186" i="22" l="1"/>
  <c r="H262" i="8"/>
  <c r="J163" i="22"/>
  <c r="E1487" i="14"/>
  <c r="E1467" i="14"/>
  <c r="I24" i="11" s="1"/>
  <c r="I23" i="11" s="1"/>
  <c r="I163" i="22"/>
  <c r="L1467" i="14"/>
  <c r="L1487" i="14"/>
  <c r="M1487" i="14"/>
  <c r="M1467" i="14"/>
  <c r="I1467" i="14"/>
  <c r="I1487" i="14"/>
  <c r="N1467" i="14"/>
  <c r="N1487" i="14"/>
  <c r="E51" i="10"/>
  <c r="E123" i="37"/>
  <c r="F28" i="11"/>
  <c r="G28" i="11" s="1"/>
  <c r="J28" i="11" s="1"/>
  <c r="K28" i="11" s="1"/>
  <c r="E112" i="37"/>
  <c r="E95" i="37"/>
  <c r="F186" i="22"/>
  <c r="F262" i="8"/>
  <c r="K1467" i="14"/>
  <c r="K1487" i="14"/>
  <c r="M239" i="8"/>
  <c r="N112" i="37"/>
  <c r="N123" i="37"/>
  <c r="N95" i="37"/>
  <c r="X312" i="21"/>
  <c r="Y280" i="21"/>
  <c r="X278" i="21"/>
  <c r="E133" i="37"/>
  <c r="R46" i="20"/>
  <c r="E163" i="22"/>
  <c r="E239" i="8"/>
  <c r="R47" i="20"/>
  <c r="K262" i="8"/>
  <c r="K186" i="22"/>
  <c r="N262" i="8"/>
  <c r="N186" i="22"/>
  <c r="K95" i="37"/>
  <c r="K123" i="37"/>
  <c r="K112" i="37"/>
  <c r="I69" i="10"/>
  <c r="M163" i="22"/>
  <c r="Z277" i="21"/>
  <c r="Y301" i="21"/>
  <c r="Z301" i="21" s="1"/>
  <c r="AA301" i="21" s="1"/>
  <c r="AB301" i="21" s="1"/>
  <c r="Y289" i="21"/>
  <c r="Z289" i="21" s="1"/>
  <c r="AA289" i="21" s="1"/>
  <c r="AB289" i="21" s="1"/>
  <c r="Y293" i="21"/>
  <c r="Z293" i="21" s="1"/>
  <c r="AA293" i="21" s="1"/>
  <c r="AB293" i="21" s="1"/>
  <c r="Y285" i="21"/>
  <c r="Z285" i="21" s="1"/>
  <c r="AA285" i="21" s="1"/>
  <c r="AB285" i="21" s="1"/>
  <c r="Y297" i="21"/>
  <c r="Z297" i="21" s="1"/>
  <c r="AA297" i="21" s="1"/>
  <c r="AB297" i="21" s="1"/>
  <c r="Y281" i="21"/>
  <c r="Z281" i="21" s="1"/>
  <c r="AA281" i="21" s="1"/>
  <c r="AB281" i="21" s="1"/>
  <c r="J239" i="8"/>
  <c r="J69" i="10"/>
  <c r="H1467" i="14"/>
  <c r="H1487" i="14"/>
  <c r="G1467" i="14"/>
  <c r="G1487" i="14"/>
  <c r="L186" i="22"/>
  <c r="L262" i="8"/>
  <c r="J1487" i="14"/>
  <c r="J1467" i="14"/>
  <c r="G186" i="22"/>
  <c r="G262" i="8"/>
  <c r="F1487" i="14"/>
  <c r="F1467" i="14"/>
  <c r="H75" i="10"/>
  <c r="H24" i="10" s="1"/>
  <c r="I239" i="8"/>
  <c r="G95" i="37"/>
  <c r="G123" i="37"/>
  <c r="G51" i="10"/>
  <c r="G112" i="37"/>
  <c r="M95" i="37"/>
  <c r="M123" i="37"/>
  <c r="M112" i="37"/>
  <c r="G69" i="10" l="1"/>
  <c r="G75" i="10"/>
  <c r="G24" i="10" s="1"/>
  <c r="H69" i="10"/>
  <c r="H1519" i="14"/>
  <c r="H1536" i="14"/>
  <c r="F75" i="10"/>
  <c r="F24" i="10" s="1"/>
  <c r="N1536" i="14"/>
  <c r="N1519" i="14"/>
  <c r="J186" i="22"/>
  <c r="J262" i="8"/>
  <c r="H172" i="37"/>
  <c r="H26" i="10"/>
  <c r="G271" i="22"/>
  <c r="G187" i="22"/>
  <c r="G347" i="8"/>
  <c r="G263" i="8"/>
  <c r="L347" i="8"/>
  <c r="L271" i="22"/>
  <c r="L187" i="22"/>
  <c r="L263" i="8"/>
  <c r="M186" i="22"/>
  <c r="M262" i="8"/>
  <c r="K271" i="22"/>
  <c r="K347" i="8"/>
  <c r="K263" i="8"/>
  <c r="K187" i="22"/>
  <c r="E186" i="22"/>
  <c r="E262" i="8"/>
  <c r="F69" i="10"/>
  <c r="M1536" i="14"/>
  <c r="M1519" i="14"/>
  <c r="I262" i="8"/>
  <c r="I186" i="22"/>
  <c r="G1536" i="14"/>
  <c r="G1519" i="14"/>
  <c r="R18" i="41"/>
  <c r="R26" i="29"/>
  <c r="R25" i="20"/>
  <c r="R20" i="28"/>
  <c r="R19" i="31"/>
  <c r="F271" i="22"/>
  <c r="F347" i="8"/>
  <c r="F187" i="22"/>
  <c r="F263" i="8"/>
  <c r="I1536" i="14"/>
  <c r="I1519" i="14"/>
  <c r="H271" i="22"/>
  <c r="H187" i="22"/>
  <c r="H263" i="8"/>
  <c r="H347" i="8"/>
  <c r="F1519" i="14"/>
  <c r="F1536" i="14"/>
  <c r="J1519" i="14"/>
  <c r="J1536" i="14"/>
  <c r="J75" i="10"/>
  <c r="J24" i="10" s="1"/>
  <c r="AA277" i="21"/>
  <c r="Z302" i="21"/>
  <c r="AA302" i="21" s="1"/>
  <c r="AB302" i="21" s="1"/>
  <c r="AC302" i="21" s="1"/>
  <c r="Z282" i="21"/>
  <c r="AA282" i="21" s="1"/>
  <c r="AB282" i="21" s="1"/>
  <c r="AC282" i="21" s="1"/>
  <c r="Z286" i="21"/>
  <c r="AA286" i="21" s="1"/>
  <c r="AB286" i="21" s="1"/>
  <c r="AC286" i="21" s="1"/>
  <c r="Z298" i="21"/>
  <c r="AA298" i="21" s="1"/>
  <c r="AB298" i="21" s="1"/>
  <c r="AC298" i="21" s="1"/>
  <c r="Z290" i="21"/>
  <c r="AA290" i="21" s="1"/>
  <c r="AB290" i="21" s="1"/>
  <c r="AC290" i="21" s="1"/>
  <c r="Z294" i="21"/>
  <c r="AA294" i="21" s="1"/>
  <c r="AB294" i="21" s="1"/>
  <c r="AC294" i="21" s="1"/>
  <c r="I75" i="10"/>
  <c r="I24" i="10" s="1"/>
  <c r="N187" i="22"/>
  <c r="N263" i="8"/>
  <c r="N271" i="22"/>
  <c r="N347" i="8"/>
  <c r="Y312" i="21"/>
  <c r="Z280" i="21"/>
  <c r="Y278" i="21"/>
  <c r="K1536" i="14"/>
  <c r="K1519" i="14"/>
  <c r="L75" i="10"/>
  <c r="L24" i="10" s="1"/>
  <c r="N69" i="10"/>
  <c r="N75" i="10"/>
  <c r="N24" i="10" s="1"/>
  <c r="K69" i="10"/>
  <c r="M75" i="10"/>
  <c r="M24" i="10" s="1"/>
  <c r="O51" i="10"/>
  <c r="L69" i="10"/>
  <c r="E69" i="10"/>
  <c r="E75" i="10"/>
  <c r="E24" i="10" s="1"/>
  <c r="H186" i="37" s="1"/>
  <c r="K75" i="10"/>
  <c r="K24" i="10" s="1"/>
  <c r="M69" i="10"/>
  <c r="L1536" i="14"/>
  <c r="L1519" i="14"/>
  <c r="E1536" i="14"/>
  <c r="E1519" i="14"/>
  <c r="L1585" i="14" l="1"/>
  <c r="L1568" i="14"/>
  <c r="AB277" i="21"/>
  <c r="AA303" i="21"/>
  <c r="AB303" i="21" s="1"/>
  <c r="AC303" i="21" s="1"/>
  <c r="AD303" i="21" s="1"/>
  <c r="AA291" i="21"/>
  <c r="AB291" i="21" s="1"/>
  <c r="AC291" i="21" s="1"/>
  <c r="AD291" i="21" s="1"/>
  <c r="AA287" i="21"/>
  <c r="AB287" i="21" s="1"/>
  <c r="AC287" i="21" s="1"/>
  <c r="AD287" i="21" s="1"/>
  <c r="AA295" i="21"/>
  <c r="AB295" i="21" s="1"/>
  <c r="AC295" i="21" s="1"/>
  <c r="AD295" i="21" s="1"/>
  <c r="AA299" i="21"/>
  <c r="AB299" i="21" s="1"/>
  <c r="AC299" i="21" s="1"/>
  <c r="AD299" i="21" s="1"/>
  <c r="AA283" i="21"/>
  <c r="AB283" i="21" s="1"/>
  <c r="AC283" i="21" s="1"/>
  <c r="AD283" i="21" s="1"/>
  <c r="I1585" i="14"/>
  <c r="I1568" i="14"/>
  <c r="F348" i="8"/>
  <c r="F132" i="37"/>
  <c r="F272" i="22"/>
  <c r="R27" i="29"/>
  <c r="R29" i="29"/>
  <c r="E347" i="8"/>
  <c r="E271" i="22"/>
  <c r="E263" i="8"/>
  <c r="E187" i="22"/>
  <c r="K348" i="8"/>
  <c r="K272" i="22"/>
  <c r="K132" i="37"/>
  <c r="G348" i="8"/>
  <c r="G132" i="37"/>
  <c r="G272" i="22"/>
  <c r="N186" i="37"/>
  <c r="N26" i="10"/>
  <c r="N172" i="37"/>
  <c r="K1585" i="14"/>
  <c r="K1568" i="14"/>
  <c r="I186" i="37"/>
  <c r="I172" i="37"/>
  <c r="I26" i="10"/>
  <c r="F1568" i="14"/>
  <c r="F1585" i="14"/>
  <c r="R20" i="31"/>
  <c r="R22" i="31"/>
  <c r="R21" i="41"/>
  <c r="R19" i="41"/>
  <c r="G1585" i="14"/>
  <c r="G1568" i="14"/>
  <c r="M1568" i="14"/>
  <c r="M1585" i="14"/>
  <c r="H260" i="37"/>
  <c r="J187" i="22"/>
  <c r="J347" i="8"/>
  <c r="J271" i="22"/>
  <c r="J263" i="8"/>
  <c r="F186" i="37"/>
  <c r="F172" i="37"/>
  <c r="F26" i="10"/>
  <c r="E1585" i="14"/>
  <c r="E1568" i="14"/>
  <c r="K172" i="37"/>
  <c r="K26" i="10"/>
  <c r="K186" i="37"/>
  <c r="N132" i="37"/>
  <c r="N348" i="8"/>
  <c r="N272" i="22"/>
  <c r="J186" i="37"/>
  <c r="J26" i="10"/>
  <c r="J172" i="37"/>
  <c r="H272" i="22"/>
  <c r="H132" i="37"/>
  <c r="H348" i="8"/>
  <c r="R21" i="28"/>
  <c r="R23" i="28"/>
  <c r="I347" i="8"/>
  <c r="I263" i="8"/>
  <c r="I271" i="22"/>
  <c r="I187" i="22"/>
  <c r="M271" i="22"/>
  <c r="M263" i="8"/>
  <c r="M187" i="22"/>
  <c r="M347" i="8"/>
  <c r="G172" i="37"/>
  <c r="G26" i="10"/>
  <c r="G186" i="37"/>
  <c r="E186" i="37"/>
  <c r="E172" i="37"/>
  <c r="E26" i="10"/>
  <c r="M26" i="10"/>
  <c r="M186" i="37"/>
  <c r="M172" i="37"/>
  <c r="L26" i="10"/>
  <c r="L186" i="37"/>
  <c r="L172" i="37"/>
  <c r="Z312" i="21"/>
  <c r="AA280" i="21"/>
  <c r="Z278" i="21"/>
  <c r="J1585" i="14"/>
  <c r="J1568" i="14"/>
  <c r="R28" i="20"/>
  <c r="R26" i="20"/>
  <c r="L272" i="22"/>
  <c r="L348" i="8"/>
  <c r="L132" i="37"/>
  <c r="N1585" i="14"/>
  <c r="N1568" i="14"/>
  <c r="H1568" i="14"/>
  <c r="H1585" i="14"/>
  <c r="L96" i="37" l="1"/>
  <c r="L135" i="37"/>
  <c r="J1634" i="14"/>
  <c r="J1617" i="14"/>
  <c r="AA312" i="21"/>
  <c r="AA313" i="21" s="1"/>
  <c r="AA314" i="21" s="1"/>
  <c r="AB280" i="21"/>
  <c r="AA278" i="21"/>
  <c r="L179" i="37"/>
  <c r="L260" i="37"/>
  <c r="E260" i="37"/>
  <c r="E179" i="37"/>
  <c r="G179" i="37"/>
  <c r="G260" i="37"/>
  <c r="J260" i="37"/>
  <c r="J179" i="37"/>
  <c r="N135" i="37"/>
  <c r="N96" i="37"/>
  <c r="K260" i="37"/>
  <c r="K179" i="37"/>
  <c r="F179" i="37"/>
  <c r="F260" i="37"/>
  <c r="J348" i="8"/>
  <c r="J272" i="22"/>
  <c r="J132" i="37"/>
  <c r="G1634" i="14"/>
  <c r="G1617" i="14"/>
  <c r="I179" i="37"/>
  <c r="I260" i="37"/>
  <c r="K1634" i="14"/>
  <c r="K1617" i="14"/>
  <c r="G96" i="37"/>
  <c r="G135" i="37"/>
  <c r="K96" i="37"/>
  <c r="K135" i="37"/>
  <c r="E132" i="37"/>
  <c r="E348" i="8"/>
  <c r="E272" i="22"/>
  <c r="F135" i="37"/>
  <c r="F96" i="37"/>
  <c r="I1634" i="14"/>
  <c r="I1617" i="14"/>
  <c r="N1634" i="14"/>
  <c r="N1617" i="14"/>
  <c r="M348" i="8"/>
  <c r="M132" i="37"/>
  <c r="M272" i="22"/>
  <c r="M1634" i="14"/>
  <c r="M1617" i="14"/>
  <c r="Q1585" i="14"/>
  <c r="F1634" i="14"/>
  <c r="F1617" i="14"/>
  <c r="H1634" i="14"/>
  <c r="H1617" i="14"/>
  <c r="R29" i="20"/>
  <c r="R35" i="20"/>
  <c r="R36" i="20" s="1"/>
  <c r="R30" i="28"/>
  <c r="R31" i="28" s="1"/>
  <c r="R24" i="28"/>
  <c r="H135" i="37"/>
  <c r="H96" i="37"/>
  <c r="R22" i="41"/>
  <c r="R28" i="41"/>
  <c r="R29" i="41" s="1"/>
  <c r="N179" i="37"/>
  <c r="N260" i="37"/>
  <c r="R30" i="29"/>
  <c r="R36" i="29"/>
  <c r="R37" i="29" s="1"/>
  <c r="L1634" i="14"/>
  <c r="L1617" i="14"/>
  <c r="M260" i="37"/>
  <c r="M179" i="37"/>
  <c r="I348" i="8"/>
  <c r="I272" i="22"/>
  <c r="I132" i="37"/>
  <c r="E1634" i="14"/>
  <c r="E1617" i="14"/>
  <c r="H179" i="37"/>
  <c r="R23" i="31"/>
  <c r="R29" i="31"/>
  <c r="R30" i="31" s="1"/>
  <c r="AC277" i="21"/>
  <c r="AB304" i="21"/>
  <c r="AC304" i="21" s="1"/>
  <c r="AD304" i="21" s="1"/>
  <c r="AE304" i="21" s="1"/>
  <c r="AB296" i="21"/>
  <c r="AC296" i="21" s="1"/>
  <c r="AD296" i="21" s="1"/>
  <c r="AE296" i="21" s="1"/>
  <c r="AB284" i="21"/>
  <c r="AC284" i="21" s="1"/>
  <c r="AD284" i="21" s="1"/>
  <c r="AE284" i="21" s="1"/>
  <c r="AB292" i="21"/>
  <c r="AC292" i="21" s="1"/>
  <c r="AD292" i="21" s="1"/>
  <c r="AE292" i="21" s="1"/>
  <c r="AB300" i="21"/>
  <c r="AC300" i="21" s="1"/>
  <c r="AD300" i="21" s="1"/>
  <c r="AE300" i="21" s="1"/>
  <c r="AB288" i="21"/>
  <c r="AC288" i="21" s="1"/>
  <c r="AD288" i="21" s="1"/>
  <c r="AE288" i="21" s="1"/>
  <c r="L1686" i="14" l="1"/>
  <c r="L1666" i="14"/>
  <c r="H1686" i="14"/>
  <c r="H1666" i="14"/>
  <c r="F1686" i="14"/>
  <c r="F1666" i="14"/>
  <c r="Q1634" i="14"/>
  <c r="M135" i="37"/>
  <c r="M96" i="37"/>
  <c r="N1666" i="14"/>
  <c r="N1686" i="14"/>
  <c r="J135" i="37"/>
  <c r="J96" i="37"/>
  <c r="J1686" i="14"/>
  <c r="J1666" i="14"/>
  <c r="E1686" i="14"/>
  <c r="E1666" i="14"/>
  <c r="J24" i="11" s="1"/>
  <c r="J23" i="11" s="1"/>
  <c r="AC280" i="21"/>
  <c r="AB312" i="21"/>
  <c r="AB278" i="21"/>
  <c r="E135" i="37"/>
  <c r="E96" i="37"/>
  <c r="K1686" i="14"/>
  <c r="K1666" i="14"/>
  <c r="G1686" i="14"/>
  <c r="G1666" i="14"/>
  <c r="AD277" i="21"/>
  <c r="AC305" i="21"/>
  <c r="AD305" i="21" s="1"/>
  <c r="AE305" i="21" s="1"/>
  <c r="AC289" i="21"/>
  <c r="AD289" i="21" s="1"/>
  <c r="AE289" i="21" s="1"/>
  <c r="AC297" i="21"/>
  <c r="AD297" i="21" s="1"/>
  <c r="AE297" i="21" s="1"/>
  <c r="AC293" i="21"/>
  <c r="AD293" i="21" s="1"/>
  <c r="AE293" i="21" s="1"/>
  <c r="AC301" i="21"/>
  <c r="AD301" i="21" s="1"/>
  <c r="AE301" i="21" s="1"/>
  <c r="AC285" i="21"/>
  <c r="AD285" i="21" s="1"/>
  <c r="AE285" i="21" s="1"/>
  <c r="AC281" i="21"/>
  <c r="AD281" i="21" s="1"/>
  <c r="AE281" i="21" s="1"/>
  <c r="I135" i="37"/>
  <c r="I96" i="37"/>
  <c r="M1686" i="14"/>
  <c r="M1666" i="14"/>
  <c r="I1686" i="14"/>
  <c r="I1666" i="14"/>
  <c r="E1735" i="14" l="1"/>
  <c r="E1718" i="14"/>
  <c r="I1718" i="14"/>
  <c r="I1735" i="14"/>
  <c r="AE277" i="21"/>
  <c r="AD306" i="21"/>
  <c r="AE306" i="21" s="1"/>
  <c r="AD286" i="21"/>
  <c r="AE286" i="21" s="1"/>
  <c r="AD294" i="21"/>
  <c r="AE294" i="21" s="1"/>
  <c r="AD282" i="21"/>
  <c r="AE282" i="21" s="1"/>
  <c r="AD290" i="21"/>
  <c r="AE290" i="21" s="1"/>
  <c r="AD302" i="21"/>
  <c r="AE302" i="21" s="1"/>
  <c r="AD298" i="21"/>
  <c r="AE298" i="21" s="1"/>
  <c r="K1718" i="14"/>
  <c r="K1735" i="14"/>
  <c r="N1735" i="14"/>
  <c r="N1718" i="14"/>
  <c r="H1718" i="14"/>
  <c r="H1735" i="14"/>
  <c r="AC312" i="21"/>
  <c r="AD280" i="21"/>
  <c r="AC278" i="21"/>
  <c r="J1735" i="14"/>
  <c r="J1718" i="14"/>
  <c r="M1735" i="14"/>
  <c r="M1718" i="14"/>
  <c r="G1735" i="14"/>
  <c r="G1718" i="14"/>
  <c r="F1735" i="14"/>
  <c r="F1718" i="14"/>
  <c r="L1735" i="14"/>
  <c r="L1718" i="14"/>
  <c r="L364" i="8" l="1"/>
  <c r="L804" i="14"/>
  <c r="L821" i="14"/>
  <c r="L288" i="22"/>
  <c r="L787" i="14"/>
  <c r="G288" i="22"/>
  <c r="G804" i="14"/>
  <c r="G787" i="14"/>
  <c r="G821" i="14"/>
  <c r="G364" i="8"/>
  <c r="J804" i="14"/>
  <c r="J364" i="8"/>
  <c r="J288" i="22"/>
  <c r="J821" i="14"/>
  <c r="J787" i="14"/>
  <c r="N1767" i="14"/>
  <c r="N1784" i="14"/>
  <c r="I1767" i="14"/>
  <c r="I1784" i="14"/>
  <c r="L1767" i="14"/>
  <c r="L1784" i="14"/>
  <c r="G1767" i="14"/>
  <c r="G1784" i="14"/>
  <c r="J1784" i="14"/>
  <c r="J1767" i="14"/>
  <c r="H1784" i="14"/>
  <c r="H1767" i="14"/>
  <c r="I804" i="14"/>
  <c r="I364" i="8"/>
  <c r="I821" i="14"/>
  <c r="I288" i="22"/>
  <c r="I787" i="14"/>
  <c r="F288" i="22"/>
  <c r="F787" i="14"/>
  <c r="F804" i="14"/>
  <c r="F364" i="8"/>
  <c r="F821" i="14"/>
  <c r="H288" i="22"/>
  <c r="H787" i="14"/>
  <c r="H364" i="8"/>
  <c r="H821" i="14"/>
  <c r="H804" i="14"/>
  <c r="K1784" i="14"/>
  <c r="K1767" i="14"/>
  <c r="E288" i="22"/>
  <c r="E787" i="14"/>
  <c r="E804" i="14"/>
  <c r="E364" i="8"/>
  <c r="E821" i="14"/>
  <c r="M364" i="8"/>
  <c r="M787" i="14"/>
  <c r="M804" i="14"/>
  <c r="M821" i="14"/>
  <c r="M288" i="22"/>
  <c r="F1767" i="14"/>
  <c r="F1784" i="14"/>
  <c r="M1767" i="14"/>
  <c r="M1784" i="14"/>
  <c r="AD312" i="21"/>
  <c r="AE280" i="21"/>
  <c r="AD278" i="21"/>
  <c r="N787" i="14"/>
  <c r="N804" i="14"/>
  <c r="N821" i="14"/>
  <c r="N364" i="8"/>
  <c r="N288" i="22"/>
  <c r="K288" i="22"/>
  <c r="K787" i="14"/>
  <c r="K364" i="8"/>
  <c r="K804" i="14"/>
  <c r="K821" i="14"/>
  <c r="AE307" i="21"/>
  <c r="AE283" i="21"/>
  <c r="AE299" i="21"/>
  <c r="AE287" i="21"/>
  <c r="AE291" i="21"/>
  <c r="AE303" i="21"/>
  <c r="AE295" i="21"/>
  <c r="E1784" i="14"/>
  <c r="E1767" i="14"/>
  <c r="E1833" i="14" l="1"/>
  <c r="E1865" i="14" s="1"/>
  <c r="E1816" i="14"/>
  <c r="K295" i="22"/>
  <c r="K371" i="8"/>
  <c r="F791" i="14"/>
  <c r="F289" i="22"/>
  <c r="F365" i="8"/>
  <c r="F808" i="14"/>
  <c r="F825" i="14"/>
  <c r="K1816" i="14"/>
  <c r="K1833" i="14"/>
  <c r="K1865" i="14" s="1"/>
  <c r="I371" i="8"/>
  <c r="I295" i="22"/>
  <c r="H808" i="14"/>
  <c r="H825" i="14"/>
  <c r="H289" i="22"/>
  <c r="H791" i="14"/>
  <c r="H365" i="8"/>
  <c r="G1833" i="14"/>
  <c r="G1865" i="14" s="1"/>
  <c r="G1816" i="14"/>
  <c r="I1833" i="14"/>
  <c r="I1865" i="14" s="1"/>
  <c r="I1816" i="14"/>
  <c r="N295" i="22"/>
  <c r="N371" i="8"/>
  <c r="M1816" i="14"/>
  <c r="M1833" i="14"/>
  <c r="M1865" i="14" s="1"/>
  <c r="M295" i="22"/>
  <c r="M371" i="8"/>
  <c r="H295" i="22"/>
  <c r="H371" i="8"/>
  <c r="H1833" i="14"/>
  <c r="H1865" i="14" s="1"/>
  <c r="H1816" i="14"/>
  <c r="G289" i="22"/>
  <c r="G808" i="14"/>
  <c r="G791" i="14"/>
  <c r="G825" i="14"/>
  <c r="G365" i="8"/>
  <c r="I808" i="14"/>
  <c r="I791" i="14"/>
  <c r="I365" i="8"/>
  <c r="I825" i="14"/>
  <c r="I289" i="22"/>
  <c r="G295" i="22"/>
  <c r="G371" i="8"/>
  <c r="M365" i="8"/>
  <c r="M791" i="14"/>
  <c r="M289" i="22"/>
  <c r="M808" i="14"/>
  <c r="M825" i="14"/>
  <c r="E295" i="22"/>
  <c r="E371" i="8"/>
  <c r="F371" i="8"/>
  <c r="F295" i="22"/>
  <c r="J791" i="14"/>
  <c r="J365" i="8"/>
  <c r="J825" i="14"/>
  <c r="J808" i="14"/>
  <c r="J289" i="22"/>
  <c r="L1833" i="14"/>
  <c r="L1865" i="14" s="1"/>
  <c r="L1816" i="14"/>
  <c r="N1833" i="14"/>
  <c r="N1865" i="14" s="1"/>
  <c r="N1816" i="14"/>
  <c r="J295" i="22"/>
  <c r="J371" i="8"/>
  <c r="E365" i="8"/>
  <c r="E808" i="14"/>
  <c r="E791" i="14"/>
  <c r="E825" i="14"/>
  <c r="E289" i="22"/>
  <c r="AE312" i="21"/>
  <c r="AE313" i="21" s="1"/>
  <c r="AE314" i="21" s="1"/>
  <c r="AE278" i="21"/>
  <c r="F1833" i="14"/>
  <c r="F1865" i="14" s="1"/>
  <c r="F1816" i="14"/>
  <c r="K365" i="8"/>
  <c r="K289" i="22"/>
  <c r="K808" i="14"/>
  <c r="K791" i="14"/>
  <c r="K825" i="14"/>
  <c r="J1833" i="14"/>
  <c r="J1865" i="14" s="1"/>
  <c r="J1816" i="14"/>
  <c r="L289" i="22"/>
  <c r="L791" i="14"/>
  <c r="L808" i="14"/>
  <c r="L825" i="14"/>
  <c r="L365" i="8"/>
  <c r="N808" i="14"/>
  <c r="N825" i="14"/>
  <c r="N365" i="8"/>
  <c r="N289" i="22"/>
  <c r="N791" i="14"/>
  <c r="L371" i="8"/>
  <c r="L295" i="22"/>
  <c r="L290" i="22" l="1"/>
  <c r="L829" i="14"/>
  <c r="L366" i="8"/>
  <c r="L812" i="14"/>
  <c r="L795" i="14"/>
  <c r="I372" i="8"/>
  <c r="I296" i="22"/>
  <c r="M833" i="14"/>
  <c r="M816" i="14"/>
  <c r="M367" i="8"/>
  <c r="M291" i="22"/>
  <c r="M799" i="14"/>
  <c r="G812" i="14"/>
  <c r="G366" i="8"/>
  <c r="G290" i="22"/>
  <c r="G795" i="14"/>
  <c r="G829" i="14"/>
  <c r="H296" i="22"/>
  <c r="H372" i="8"/>
  <c r="N372" i="8"/>
  <c r="N296" i="22"/>
  <c r="L296" i="22"/>
  <c r="L372" i="8"/>
  <c r="F290" i="22"/>
  <c r="F829" i="14"/>
  <c r="F812" i="14"/>
  <c r="F366" i="8"/>
  <c r="F795" i="14"/>
  <c r="E372" i="8"/>
  <c r="E296" i="22"/>
  <c r="L799" i="14"/>
  <c r="L367" i="8"/>
  <c r="L833" i="14"/>
  <c r="L816" i="14"/>
  <c r="L291" i="22"/>
  <c r="M296" i="22"/>
  <c r="M372" i="8"/>
  <c r="G372" i="8"/>
  <c r="G296" i="22"/>
  <c r="M795" i="14"/>
  <c r="M812" i="14"/>
  <c r="M829" i="14"/>
  <c r="M366" i="8"/>
  <c r="M290" i="22"/>
  <c r="G291" i="22"/>
  <c r="G816" i="14"/>
  <c r="G799" i="14"/>
  <c r="G833" i="14"/>
  <c r="G367" i="8"/>
  <c r="E829" i="14"/>
  <c r="E812" i="14"/>
  <c r="E795" i="14"/>
  <c r="E290" i="22"/>
  <c r="E366" i="8"/>
  <c r="J795" i="14"/>
  <c r="J829" i="14"/>
  <c r="J366" i="8"/>
  <c r="J290" i="22"/>
  <c r="J812" i="14"/>
  <c r="F816" i="14"/>
  <c r="F833" i="14"/>
  <c r="F291" i="22"/>
  <c r="F367" i="8"/>
  <c r="F799" i="14"/>
  <c r="N795" i="14"/>
  <c r="N290" i="22"/>
  <c r="N829" i="14"/>
  <c r="N366" i="8"/>
  <c r="N812" i="14"/>
  <c r="J372" i="8"/>
  <c r="J296" i="22"/>
  <c r="H795" i="14"/>
  <c r="H366" i="8"/>
  <c r="H829" i="14"/>
  <c r="H290" i="22"/>
  <c r="H812" i="14"/>
  <c r="N368" i="8"/>
  <c r="I795" i="14"/>
  <c r="I290" i="22"/>
  <c r="I829" i="14"/>
  <c r="I812" i="14"/>
  <c r="I366" i="8"/>
  <c r="K799" i="14"/>
  <c r="K367" i="8"/>
  <c r="K291" i="22"/>
  <c r="K833" i="14"/>
  <c r="K816" i="14"/>
  <c r="E291" i="22"/>
  <c r="E367" i="8"/>
  <c r="E816" i="14"/>
  <c r="E799" i="14"/>
  <c r="E833" i="14"/>
  <c r="J816" i="14"/>
  <c r="J833" i="14"/>
  <c r="J367" i="8"/>
  <c r="J291" i="22"/>
  <c r="J799" i="14"/>
  <c r="K296" i="22"/>
  <c r="K372" i="8"/>
  <c r="N816" i="14"/>
  <c r="N367" i="8"/>
  <c r="N291" i="22"/>
  <c r="N833" i="14"/>
  <c r="N799" i="14"/>
  <c r="E292" i="22"/>
  <c r="H816" i="14"/>
  <c r="H833" i="14"/>
  <c r="H367" i="8"/>
  <c r="H799" i="14"/>
  <c r="H291" i="22"/>
  <c r="N292" i="22"/>
  <c r="I367" i="8"/>
  <c r="I833" i="14"/>
  <c r="I291" i="22"/>
  <c r="I799" i="14"/>
  <c r="I816" i="14"/>
  <c r="I292" i="22"/>
  <c r="K366" i="8"/>
  <c r="K795" i="14"/>
  <c r="K290" i="22"/>
  <c r="K292" i="22" s="1"/>
  <c r="K829" i="14"/>
  <c r="K812" i="14"/>
  <c r="F372" i="8"/>
  <c r="F296" i="22"/>
  <c r="K47" i="10" l="1"/>
  <c r="K242" i="37"/>
  <c r="K241" i="37"/>
  <c r="K249" i="37"/>
  <c r="K108" i="37"/>
  <c r="N242" i="37"/>
  <c r="N108" i="37"/>
  <c r="N47" i="10"/>
  <c r="N249" i="37"/>
  <c r="N241" i="37"/>
  <c r="T23" i="20"/>
  <c r="T24" i="29"/>
  <c r="E249" i="37"/>
  <c r="E108" i="37"/>
  <c r="E47" i="10"/>
  <c r="T16" i="41"/>
  <c r="K24" i="11"/>
  <c r="K23" i="11" s="1"/>
  <c r="T17" i="31"/>
  <c r="T18" i="28"/>
  <c r="F26" i="11"/>
  <c r="E242" i="37"/>
  <c r="E241" i="37"/>
  <c r="K298" i="22"/>
  <c r="K374" i="8"/>
  <c r="E373" i="8"/>
  <c r="E297" i="22"/>
  <c r="K368" i="8"/>
  <c r="M297" i="22"/>
  <c r="M373" i="8"/>
  <c r="L374" i="8"/>
  <c r="L298" i="22"/>
  <c r="L297" i="22"/>
  <c r="L373" i="8"/>
  <c r="L292" i="22"/>
  <c r="L368" i="8"/>
  <c r="I298" i="22"/>
  <c r="I374" i="8"/>
  <c r="H298" i="22"/>
  <c r="H374" i="8"/>
  <c r="J374" i="8"/>
  <c r="J298" i="22"/>
  <c r="E298" i="22"/>
  <c r="E374" i="8"/>
  <c r="N373" i="8"/>
  <c r="N297" i="22"/>
  <c r="F374" i="8"/>
  <c r="F298" i="22"/>
  <c r="J373" i="8"/>
  <c r="J297" i="22"/>
  <c r="J299" i="22" s="1"/>
  <c r="J301" i="22" s="1"/>
  <c r="J368" i="8"/>
  <c r="J292" i="22"/>
  <c r="G374" i="8"/>
  <c r="G298" i="22"/>
  <c r="M368" i="8"/>
  <c r="J375" i="8"/>
  <c r="F297" i="22"/>
  <c r="F375" i="8" s="1"/>
  <c r="F373" i="8"/>
  <c r="F368" i="8"/>
  <c r="F292" i="22"/>
  <c r="E368" i="8"/>
  <c r="I241" i="37"/>
  <c r="I108" i="37"/>
  <c r="I249" i="37"/>
  <c r="I242" i="37"/>
  <c r="I47" i="10"/>
  <c r="I368" i="8"/>
  <c r="I373" i="8"/>
  <c r="I297" i="22"/>
  <c r="H373" i="8"/>
  <c r="H297" i="22"/>
  <c r="H368" i="8"/>
  <c r="H292" i="22"/>
  <c r="F299" i="22"/>
  <c r="F377" i="8" s="1"/>
  <c r="G373" i="8"/>
  <c r="G297" i="22"/>
  <c r="G292" i="22"/>
  <c r="G368" i="8"/>
  <c r="M298" i="22"/>
  <c r="M374" i="8"/>
  <c r="K297" i="22"/>
  <c r="K375" i="8" s="1"/>
  <c r="K373" i="8"/>
  <c r="N374" i="8"/>
  <c r="N298" i="22"/>
  <c r="M292" i="22"/>
  <c r="J324" i="22" l="1"/>
  <c r="J400" i="8"/>
  <c r="K299" i="22"/>
  <c r="H375" i="8"/>
  <c r="H299" i="22"/>
  <c r="H377" i="8" s="1"/>
  <c r="F242" i="37"/>
  <c r="F108" i="37"/>
  <c r="F249" i="37"/>
  <c r="F47" i="10"/>
  <c r="F241" i="37"/>
  <c r="F301" i="22"/>
  <c r="J108" i="37"/>
  <c r="J249" i="37"/>
  <c r="J241" i="37"/>
  <c r="J242" i="37"/>
  <c r="J47" i="10"/>
  <c r="J377" i="8"/>
  <c r="M108" i="37"/>
  <c r="M249" i="37"/>
  <c r="M242" i="37"/>
  <c r="M241" i="37"/>
  <c r="M47" i="10"/>
  <c r="G241" i="37"/>
  <c r="G47" i="10"/>
  <c r="G249" i="37"/>
  <c r="G108" i="37"/>
  <c r="G242" i="37"/>
  <c r="L47" i="10"/>
  <c r="L242" i="37"/>
  <c r="L249" i="37"/>
  <c r="L108" i="37"/>
  <c r="L241" i="37"/>
  <c r="E375" i="8"/>
  <c r="E299" i="22"/>
  <c r="G299" i="22"/>
  <c r="G301" i="22" s="1"/>
  <c r="G375" i="8"/>
  <c r="H249" i="37"/>
  <c r="H242" i="37"/>
  <c r="H47" i="10"/>
  <c r="H108" i="37"/>
  <c r="H241" i="37"/>
  <c r="H301" i="22"/>
  <c r="I299" i="22"/>
  <c r="I375" i="8"/>
  <c r="I65" i="10"/>
  <c r="I71" i="10"/>
  <c r="N375" i="8"/>
  <c r="N299" i="22"/>
  <c r="F27" i="11"/>
  <c r="G27" i="11" s="1"/>
  <c r="J27" i="11" s="1"/>
  <c r="K27" i="11" s="1"/>
  <c r="G26" i="11"/>
  <c r="J26" i="11" s="1"/>
  <c r="K26" i="11" s="1"/>
  <c r="E6" i="11" s="1"/>
  <c r="L299" i="22"/>
  <c r="L301" i="22" s="1"/>
  <c r="L375" i="8"/>
  <c r="M299" i="22"/>
  <c r="M377" i="8" s="1"/>
  <c r="M375" i="8"/>
  <c r="E71" i="10"/>
  <c r="E65" i="10"/>
  <c r="O47" i="10"/>
  <c r="N71" i="10"/>
  <c r="N65" i="10"/>
  <c r="K71" i="10"/>
  <c r="K65" i="10"/>
  <c r="L324" i="22" l="1"/>
  <c r="L400" i="8"/>
  <c r="K77" i="10"/>
  <c r="K8" i="10"/>
  <c r="N377" i="8"/>
  <c r="N301" i="22"/>
  <c r="L377" i="8"/>
  <c r="J71" i="10"/>
  <c r="J65" i="10"/>
  <c r="N8" i="10"/>
  <c r="N77" i="10"/>
  <c r="E77" i="10"/>
  <c r="E8" i="10"/>
  <c r="I301" i="22"/>
  <c r="I377" i="8"/>
  <c r="H71" i="10"/>
  <c r="H65" i="10"/>
  <c r="G324" i="22"/>
  <c r="G400" i="8"/>
  <c r="M301" i="22"/>
  <c r="F400" i="8"/>
  <c r="F324" i="22"/>
  <c r="K301" i="22"/>
  <c r="K377" i="8"/>
  <c r="C3" i="31"/>
  <c r="C3" i="41"/>
  <c r="C3" i="20"/>
  <c r="C3" i="42"/>
  <c r="C3" i="29"/>
  <c r="C3" i="28"/>
  <c r="I8" i="10"/>
  <c r="I77" i="10"/>
  <c r="H324" i="22"/>
  <c r="H400" i="8"/>
  <c r="T46" i="20"/>
  <c r="E301" i="22"/>
  <c r="E377" i="8"/>
  <c r="T47" i="20"/>
  <c r="L65" i="10"/>
  <c r="L71" i="10"/>
  <c r="M71" i="10"/>
  <c r="M65" i="10"/>
  <c r="G377" i="8"/>
  <c r="G65" i="10"/>
  <c r="G71" i="10"/>
  <c r="F65" i="10"/>
  <c r="F71" i="10"/>
  <c r="J325" i="22"/>
  <c r="J401" i="8"/>
  <c r="L8" i="10" l="1"/>
  <c r="L77" i="10"/>
  <c r="E400" i="8"/>
  <c r="E324" i="22"/>
  <c r="M324" i="22"/>
  <c r="M400" i="8"/>
  <c r="H8" i="10"/>
  <c r="H77" i="10"/>
  <c r="J8" i="10"/>
  <c r="J77" i="10"/>
  <c r="K10" i="10"/>
  <c r="K168" i="37"/>
  <c r="K173" i="37" s="1"/>
  <c r="F8" i="10"/>
  <c r="F77" i="10"/>
  <c r="T25" i="20"/>
  <c r="T20" i="28"/>
  <c r="T19" i="31"/>
  <c r="T26" i="29"/>
  <c r="T18" i="41"/>
  <c r="I168" i="37"/>
  <c r="I173" i="37" s="1"/>
  <c r="I10" i="10"/>
  <c r="K324" i="22"/>
  <c r="K400" i="8"/>
  <c r="F401" i="8"/>
  <c r="F325" i="22"/>
  <c r="G401" i="8"/>
  <c r="G325" i="22"/>
  <c r="I400" i="8"/>
  <c r="I324" i="22"/>
  <c r="N10" i="10"/>
  <c r="N168" i="37"/>
  <c r="N173" i="37" s="1"/>
  <c r="N324" i="22"/>
  <c r="N400" i="8"/>
  <c r="G77" i="10"/>
  <c r="G8" i="10"/>
  <c r="K182" i="37" s="1"/>
  <c r="M8" i="10"/>
  <c r="M77" i="10"/>
  <c r="H325" i="22"/>
  <c r="H401" i="8"/>
  <c r="E10" i="10"/>
  <c r="E168" i="37"/>
  <c r="E173" i="37" s="1"/>
  <c r="E182" i="37"/>
  <c r="L401" i="8"/>
  <c r="L325" i="22"/>
  <c r="N182" i="37" l="1"/>
  <c r="K325" i="22"/>
  <c r="K401" i="8"/>
  <c r="T21" i="41"/>
  <c r="T19" i="41"/>
  <c r="T28" i="20"/>
  <c r="T26" i="20"/>
  <c r="K256" i="37"/>
  <c r="K114" i="37"/>
  <c r="K118" i="37" s="1"/>
  <c r="K29" i="10"/>
  <c r="E401" i="8"/>
  <c r="E325" i="22"/>
  <c r="E114" i="37"/>
  <c r="E118" i="37" s="1"/>
  <c r="E256" i="37"/>
  <c r="E29" i="10"/>
  <c r="M182" i="37"/>
  <c r="M10" i="10"/>
  <c r="M168" i="37"/>
  <c r="M173" i="37" s="1"/>
  <c r="N325" i="22"/>
  <c r="N401" i="8"/>
  <c r="I401" i="8"/>
  <c r="I325" i="22"/>
  <c r="I256" i="37"/>
  <c r="I29" i="10"/>
  <c r="I114" i="37"/>
  <c r="I118" i="37" s="1"/>
  <c r="T29" i="29"/>
  <c r="T27" i="29"/>
  <c r="H10" i="10"/>
  <c r="H182" i="37"/>
  <c r="H168" i="37"/>
  <c r="H173" i="37" s="1"/>
  <c r="G168" i="37"/>
  <c r="G173" i="37" s="1"/>
  <c r="G182" i="37"/>
  <c r="G10" i="10"/>
  <c r="I182" i="37"/>
  <c r="T22" i="31"/>
  <c r="T20" i="31"/>
  <c r="F168" i="37"/>
  <c r="F173" i="37" s="1"/>
  <c r="F182" i="37"/>
  <c r="F10" i="10"/>
  <c r="N114" i="37"/>
  <c r="N118" i="37" s="1"/>
  <c r="N29" i="10"/>
  <c r="N256" i="37"/>
  <c r="T23" i="28"/>
  <c r="T21" i="28"/>
  <c r="J10" i="10"/>
  <c r="J168" i="37"/>
  <c r="J173" i="37" s="1"/>
  <c r="K187" i="37" s="1"/>
  <c r="J182" i="37"/>
  <c r="M325" i="22"/>
  <c r="M401" i="8"/>
  <c r="L182" i="37"/>
  <c r="L168" i="37"/>
  <c r="L173" i="37" s="1"/>
  <c r="L187" i="37" s="1"/>
  <c r="L10" i="10"/>
  <c r="L29" i="10" l="1"/>
  <c r="L114" i="37"/>
  <c r="L118" i="37" s="1"/>
  <c r="L175" i="37"/>
  <c r="L256" i="37"/>
  <c r="F114" i="37"/>
  <c r="F118" i="37" s="1"/>
  <c r="F29" i="10"/>
  <c r="F256" i="37"/>
  <c r="F175" i="37"/>
  <c r="T23" i="31"/>
  <c r="T29" i="31"/>
  <c r="T30" i="31" s="1"/>
  <c r="H29" i="10"/>
  <c r="H175" i="37"/>
  <c r="H114" i="37"/>
  <c r="H118" i="37" s="1"/>
  <c r="H256" i="37"/>
  <c r="M175" i="37"/>
  <c r="M256" i="37"/>
  <c r="M29" i="10"/>
  <c r="M114" i="37"/>
  <c r="M118" i="37" s="1"/>
  <c r="G187" i="37"/>
  <c r="I175" i="37"/>
  <c r="T29" i="20"/>
  <c r="T35" i="20"/>
  <c r="T36" i="20" s="1"/>
  <c r="J187" i="37"/>
  <c r="T30" i="28"/>
  <c r="T31" i="28" s="1"/>
  <c r="T24" i="28"/>
  <c r="N175" i="37"/>
  <c r="F187" i="37"/>
  <c r="N187" i="37"/>
  <c r="H187" i="37"/>
  <c r="T36" i="29"/>
  <c r="T37" i="29" s="1"/>
  <c r="T30" i="29"/>
  <c r="E175" i="37"/>
  <c r="J29" i="10"/>
  <c r="J256" i="37"/>
  <c r="J175" i="37"/>
  <c r="J114" i="37"/>
  <c r="J118" i="37" s="1"/>
  <c r="I187" i="37"/>
  <c r="G175" i="37"/>
  <c r="G114" i="37"/>
  <c r="G118" i="37" s="1"/>
  <c r="G256" i="37"/>
  <c r="G29" i="10"/>
  <c r="I180" i="37" s="1"/>
  <c r="M187" i="37"/>
  <c r="E180" i="37"/>
  <c r="E30" i="10"/>
  <c r="K175" i="37"/>
  <c r="T22" i="41"/>
  <c r="T28" i="41"/>
  <c r="T29" i="41" s="1"/>
  <c r="E187" i="37"/>
  <c r="N30" i="10" l="1"/>
  <c r="G180" i="37"/>
  <c r="G30" i="10"/>
  <c r="J180" i="37"/>
  <c r="J30" i="10"/>
  <c r="N180" i="37"/>
  <c r="M30" i="10"/>
  <c r="M180" i="37"/>
  <c r="I30" i="10"/>
  <c r="H30" i="10"/>
  <c r="H180" i="37"/>
  <c r="K30" i="10"/>
  <c r="F180" i="37"/>
  <c r="F30" i="10"/>
  <c r="C8" i="46" s="1"/>
  <c r="D8" i="46" s="1"/>
  <c r="K180" i="37"/>
  <c r="L30" i="10"/>
  <c r="L180" i="37"/>
  <c r="J8" i="46" l="1"/>
  <c r="I8" i="46"/>
  <c r="E8" i="46"/>
  <c r="H8" i="46"/>
  <c r="F8" i="46"/>
  <c r="G8" i="46"/>
  <c r="C13" i="46"/>
  <c r="D13" i="46" s="1"/>
  <c r="C11" i="46"/>
  <c r="D11" i="46" s="1"/>
  <c r="C7" i="46"/>
  <c r="D7" i="46" s="1"/>
  <c r="C6" i="46"/>
  <c r="D6" i="46" s="1"/>
  <c r="C12" i="46"/>
  <c r="D12" i="46" s="1"/>
  <c r="C5" i="46"/>
  <c r="D5" i="46" s="1"/>
  <c r="C9" i="46"/>
  <c r="D9" i="46" s="1"/>
  <c r="C14" i="46"/>
  <c r="D14" i="46" s="1"/>
  <c r="C10" i="46"/>
  <c r="D10" i="46" s="1"/>
  <c r="I10" i="46" l="1"/>
  <c r="H10" i="46"/>
  <c r="J10" i="46"/>
  <c r="F10" i="46"/>
  <c r="G10" i="46"/>
  <c r="E10" i="46"/>
  <c r="H5" i="46"/>
  <c r="F5" i="46"/>
  <c r="J5" i="46"/>
  <c r="E5" i="46"/>
  <c r="I5" i="46"/>
  <c r="G5" i="46"/>
  <c r="G11" i="46"/>
  <c r="K11" i="46"/>
  <c r="H11" i="46"/>
  <c r="F11" i="46"/>
  <c r="E11" i="46"/>
  <c r="I11" i="46"/>
  <c r="H12" i="46"/>
  <c r="F12" i="46"/>
  <c r="K12" i="46"/>
  <c r="I12" i="46"/>
  <c r="G12" i="46"/>
  <c r="E12" i="46"/>
  <c r="E13" i="46"/>
  <c r="K13" i="46"/>
  <c r="G13" i="46"/>
  <c r="I13" i="46"/>
  <c r="F13" i="46"/>
  <c r="H13" i="46"/>
  <c r="G14" i="46"/>
  <c r="E14" i="46"/>
  <c r="F14" i="46"/>
  <c r="I14" i="46"/>
  <c r="K14" i="46"/>
  <c r="H14" i="46"/>
  <c r="I6" i="46"/>
  <c r="H6" i="46"/>
  <c r="J6" i="46"/>
  <c r="G6" i="46"/>
  <c r="F6" i="46"/>
  <c r="E6" i="46"/>
  <c r="E9" i="46"/>
  <c r="H9" i="46"/>
  <c r="J9" i="46"/>
  <c r="G9" i="46"/>
  <c r="F9" i="46"/>
  <c r="I9" i="46"/>
  <c r="F7" i="46"/>
  <c r="H7" i="46"/>
  <c r="J7" i="46"/>
  <c r="E7" i="46"/>
  <c r="G7" i="46"/>
  <c r="I7" i="46"/>
</calcChain>
</file>

<file path=xl/comments1.xml><?xml version="1.0" encoding="utf-8"?>
<comments xmlns="http://schemas.openxmlformats.org/spreadsheetml/2006/main">
  <authors>
    <author>BTS London IT</author>
  </authors>
  <commentList>
    <comment ref="Q45" authorId="0" shapeId="0">
      <text>
        <r>
          <rPr>
            <b/>
            <sz val="9"/>
            <color indexed="81"/>
            <rFont val="Tahoma"/>
            <family val="2"/>
          </rPr>
          <t>The higher the tightening factor t, the more tightly spread the results between the 5 teams will be.
Loosely speaking:
t &lt; 1 : very loose
t = 3 : medium
t  5 : very tight</t>
        </r>
        <r>
          <rPr>
            <sz val="9"/>
            <color indexed="81"/>
            <rFont val="Tahoma"/>
            <family val="2"/>
          </rPr>
          <t xml:space="preserve">
</t>
        </r>
      </text>
    </comment>
  </commentList>
</comments>
</file>

<file path=xl/comments2.xml><?xml version="1.0" encoding="utf-8"?>
<comments xmlns="http://schemas.openxmlformats.org/spreadsheetml/2006/main">
  <authors>
    <author>Note</author>
  </authors>
  <commentList>
    <comment ref="E15" authorId="0" shapeId="0">
      <text>
        <r>
          <rPr>
            <b/>
            <sz val="9"/>
            <color indexed="81"/>
            <rFont val="Tahoma"/>
            <family val="2"/>
          </rPr>
          <t>Note:</t>
        </r>
        <r>
          <rPr>
            <sz val="9"/>
            <color indexed="81"/>
            <rFont val="Tahoma"/>
            <family val="2"/>
          </rPr>
          <t xml:space="preserve">
Decide the level of emphasis you will place on the values identified.</t>
        </r>
      </text>
    </comment>
    <comment ref="H15" authorId="0" shapeId="0">
      <text>
        <r>
          <rPr>
            <b/>
            <sz val="9"/>
            <color indexed="81"/>
            <rFont val="Tahoma"/>
            <family val="2"/>
          </rPr>
          <t>Note:</t>
        </r>
        <r>
          <rPr>
            <sz val="9"/>
            <color indexed="81"/>
            <rFont val="Tahoma"/>
            <family val="2"/>
          </rPr>
          <t xml:space="preserve">
Define the rationale for why you rated each metic the way you did.</t>
        </r>
      </text>
    </comment>
  </commentList>
</comments>
</file>

<file path=xl/comments3.xml><?xml version="1.0" encoding="utf-8"?>
<comments xmlns="http://schemas.openxmlformats.org/spreadsheetml/2006/main">
  <authors>
    <author>Note</author>
  </authors>
  <commentList>
    <comment ref="C9" authorId="0" shapeId="0">
      <text>
        <r>
          <rPr>
            <b/>
            <sz val="9"/>
            <color indexed="81"/>
            <rFont val="Tahoma"/>
            <family val="2"/>
          </rPr>
          <t>Note:</t>
        </r>
        <r>
          <rPr>
            <sz val="9"/>
            <color indexed="81"/>
            <rFont val="Tahoma"/>
            <family val="2"/>
          </rPr>
          <t xml:space="preserve">
Choose the length of time until harmonization of benefits and compensation have been started.</t>
        </r>
      </text>
    </comment>
    <comment ref="C11" authorId="0" shapeId="0">
      <text>
        <r>
          <rPr>
            <b/>
            <sz val="9"/>
            <color indexed="81"/>
            <rFont val="Tahoma"/>
            <family val="2"/>
          </rPr>
          <t>Note:</t>
        </r>
        <r>
          <rPr>
            <sz val="9"/>
            <color indexed="81"/>
            <rFont val="Tahoma"/>
            <family val="2"/>
          </rPr>
          <t xml:space="preserve">
Choose the proportion of compensation/benefits new employees will receive compared to the old structure.</t>
        </r>
      </text>
    </comment>
  </commentList>
</comments>
</file>

<file path=xl/comments4.xml><?xml version="1.0" encoding="utf-8"?>
<comments xmlns="http://schemas.openxmlformats.org/spreadsheetml/2006/main">
  <authors>
    <author>Note</author>
  </authors>
  <commentList>
    <comment ref="C10" authorId="0" shapeId="0">
      <text>
        <r>
          <rPr>
            <b/>
            <sz val="9"/>
            <color indexed="81"/>
            <rFont val="Tahoma"/>
            <family val="2"/>
          </rPr>
          <t>Note:</t>
        </r>
        <r>
          <rPr>
            <sz val="9"/>
            <color indexed="81"/>
            <rFont val="Tahoma"/>
            <family val="2"/>
          </rPr>
          <t xml:space="preserve">
Choose the length of time until Employee IT Integration and the RE transition is finished.</t>
        </r>
      </text>
    </comment>
    <comment ref="M10" authorId="0" shapeId="0">
      <text>
        <r>
          <rPr>
            <b/>
            <sz val="9"/>
            <color indexed="81"/>
            <rFont val="Tahoma"/>
            <family val="2"/>
          </rPr>
          <t>Note:</t>
        </r>
        <r>
          <rPr>
            <sz val="9"/>
            <color indexed="81"/>
            <rFont val="Tahoma"/>
            <family val="2"/>
          </rPr>
          <t xml:space="preserve">
Choose the length of time until the Trust investments are finished.</t>
        </r>
      </text>
    </comment>
    <comment ref="L12" authorId="0" shapeId="0">
      <text>
        <r>
          <rPr>
            <b/>
            <sz val="9"/>
            <color indexed="81"/>
            <rFont val="Tahoma"/>
            <family val="2"/>
          </rPr>
          <t>Note:</t>
        </r>
        <r>
          <rPr>
            <sz val="9"/>
            <color indexed="81"/>
            <rFont val="Tahoma"/>
            <family val="2"/>
          </rPr>
          <t xml:space="preserve">
Choose the amount of each level of risk you would like to mitigate as part of integration.</t>
        </r>
      </text>
    </comment>
    <comment ref="C13" authorId="0" shapeId="0">
      <text>
        <r>
          <rPr>
            <b/>
            <sz val="9"/>
            <color indexed="81"/>
            <rFont val="Tahoma"/>
            <family val="2"/>
          </rPr>
          <t>Note:</t>
        </r>
        <r>
          <rPr>
            <sz val="9"/>
            <color indexed="81"/>
            <rFont val="Tahoma"/>
            <family val="2"/>
          </rPr>
          <t xml:space="preserve">
Decide the level of integration appropriate for new employees.  Check the Target User Access section below to see what this means in terms of access.</t>
        </r>
      </text>
    </comment>
    <comment ref="C18" authorId="0" shapeId="0">
      <text>
        <r>
          <rPr>
            <b/>
            <sz val="9"/>
            <color indexed="81"/>
            <rFont val="Tahoma"/>
            <family val="2"/>
          </rPr>
          <t>Note:</t>
        </r>
        <r>
          <rPr>
            <sz val="9"/>
            <color indexed="81"/>
            <rFont val="Tahoma"/>
            <family val="2"/>
          </rPr>
          <t xml:space="preserve">
Decide whether to bring the new entity into a current cloud building, or to keep the current office.</t>
        </r>
      </text>
    </comment>
    <comment ref="M18" authorId="0" shapeId="0">
      <text>
        <r>
          <rPr>
            <b/>
            <sz val="9"/>
            <color indexed="81"/>
            <rFont val="Tahoma"/>
            <family val="2"/>
          </rPr>
          <t>Note:</t>
        </r>
        <r>
          <rPr>
            <sz val="9"/>
            <color indexed="81"/>
            <rFont val="Tahoma"/>
            <family val="2"/>
          </rPr>
          <t xml:space="preserve">
If you choose to keep the current office building, you will need to decide whether or not to upgrade the infrastructure of the building to cloud standards immediately or not.</t>
        </r>
      </text>
    </comment>
    <comment ref="M20" authorId="0" shapeId="0">
      <text>
        <r>
          <rPr>
            <b/>
            <sz val="9"/>
            <color indexed="81"/>
            <rFont val="Tahoma"/>
            <family val="2"/>
          </rPr>
          <t>Note:</t>
        </r>
        <r>
          <rPr>
            <sz val="9"/>
            <color indexed="81"/>
            <rFont val="Tahoma"/>
            <family val="2"/>
          </rPr>
          <t xml:space="preserve">
Limit the countries and customers the entity can work with to those approved for Cloud standards.</t>
        </r>
      </text>
    </comment>
  </commentList>
</comments>
</file>

<file path=xl/comments5.xml><?xml version="1.0" encoding="utf-8"?>
<comments xmlns="http://schemas.openxmlformats.org/spreadsheetml/2006/main">
  <authors>
    <author>Note</author>
  </authors>
  <commentList>
    <comment ref="C9" authorId="0" shapeId="0">
      <text>
        <r>
          <rPr>
            <b/>
            <sz val="9"/>
            <color indexed="81"/>
            <rFont val="Tahoma"/>
            <family val="2"/>
          </rPr>
          <t>Note:</t>
        </r>
        <r>
          <rPr>
            <sz val="9"/>
            <color indexed="81"/>
            <rFont val="Tahoma"/>
            <family val="2"/>
          </rPr>
          <t xml:space="preserve">
Decide how quickly to initiate the investment to get products onto the LtC system for access to all sales channels.</t>
        </r>
      </text>
    </comment>
    <comment ref="K9" authorId="0" shapeId="0">
      <text>
        <r>
          <rPr>
            <b/>
            <sz val="9"/>
            <color indexed="81"/>
            <rFont val="Tahoma"/>
            <family val="2"/>
          </rPr>
          <t>Note:</t>
        </r>
        <r>
          <rPr>
            <sz val="9"/>
            <color indexed="81"/>
            <rFont val="Tahoma"/>
            <family val="2"/>
          </rPr>
          <t xml:space="preserve">
Choose to invest in growing Snowflake's sales team, equipping them to upsell customers with other Cloud products as well.  This investment happens immediately.</t>
        </r>
      </text>
    </comment>
    <comment ref="C11" authorId="0" shapeId="0">
      <text>
        <r>
          <rPr>
            <b/>
            <sz val="9"/>
            <color indexed="81"/>
            <rFont val="Tahoma"/>
            <family val="2"/>
          </rPr>
          <t>Note:</t>
        </r>
        <r>
          <rPr>
            <sz val="9"/>
            <color indexed="81"/>
            <rFont val="Tahoma"/>
            <family val="2"/>
          </rPr>
          <t xml:space="preserve">
Choose how quickly to involve CSG in alrigning to customer needs.</t>
        </r>
      </text>
    </comment>
    <comment ref="K11" authorId="0" shapeId="0">
      <text>
        <r>
          <rPr>
            <b/>
            <sz val="9"/>
            <color indexed="81"/>
            <rFont val="Tahoma"/>
            <family val="2"/>
          </rPr>
          <t>Note:</t>
        </r>
        <r>
          <rPr>
            <sz val="9"/>
            <color indexed="81"/>
            <rFont val="Tahoma"/>
            <family val="2"/>
          </rPr>
          <t xml:space="preserve">
If you start LtC Integration after Q1, you can choose to implement Lead Pass as part of your strategy or not.  Impacts will show aftet LtC decision is made.</t>
        </r>
      </text>
    </comment>
    <comment ref="C13" authorId="0" shapeId="0">
      <text>
        <r>
          <rPr>
            <b/>
            <sz val="9"/>
            <color indexed="81"/>
            <rFont val="Tahoma"/>
            <family val="2"/>
          </rPr>
          <t>Note:</t>
        </r>
        <r>
          <rPr>
            <sz val="9"/>
            <color indexed="81"/>
            <rFont val="Tahoma"/>
            <family val="2"/>
          </rPr>
          <t xml:space="preserve">
Decice when you want to start a Re-brand Snowflake as a specific part of Sales Cloud</t>
        </r>
      </text>
    </comment>
  </commentList>
</comments>
</file>

<file path=xl/comments6.xml><?xml version="1.0" encoding="utf-8"?>
<comments xmlns="http://schemas.openxmlformats.org/spreadsheetml/2006/main">
  <authors>
    <author>Note</author>
  </authors>
  <commentList>
    <comment ref="C9" authorId="0" shapeId="0">
      <text>
        <r>
          <rPr>
            <b/>
            <sz val="9"/>
            <color indexed="81"/>
            <rFont val="Tahoma"/>
            <family val="2"/>
          </rPr>
          <t>Note:</t>
        </r>
        <r>
          <rPr>
            <sz val="9"/>
            <color indexed="81"/>
            <rFont val="Tahoma"/>
            <family val="2"/>
          </rPr>
          <t xml:space="preserve">
Decide how quickly to integrate to stack or add feature enhancements.</t>
        </r>
      </text>
    </comment>
    <comment ref="C12" authorId="0" shapeId="0">
      <text>
        <r>
          <rPr>
            <b/>
            <sz val="9"/>
            <color indexed="81"/>
            <rFont val="Tahoma"/>
            <family val="2"/>
          </rPr>
          <t>Note:</t>
        </r>
        <r>
          <rPr>
            <sz val="9"/>
            <color indexed="81"/>
            <rFont val="Tahoma"/>
            <family val="2"/>
          </rPr>
          <t xml:space="preserve">
Decide the level of investment you would like to put towards integrating Snowflake's products onto the Cloud stack.</t>
        </r>
      </text>
    </comment>
    <comment ref="M12" authorId="0" shapeId="0">
      <text>
        <r>
          <rPr>
            <b/>
            <sz val="9"/>
            <color indexed="81"/>
            <rFont val="Tahoma"/>
            <family val="2"/>
          </rPr>
          <t>Note:</t>
        </r>
        <r>
          <rPr>
            <sz val="9"/>
            <color indexed="81"/>
            <rFont val="Tahoma"/>
            <family val="2"/>
          </rPr>
          <t xml:space="preserve">
Decide the level of investment to put into continued feature enhancements of Snowflake's products.</t>
        </r>
      </text>
    </comment>
  </commentList>
</comments>
</file>

<file path=xl/comments7.xml><?xml version="1.0" encoding="utf-8"?>
<comments xmlns="http://schemas.openxmlformats.org/spreadsheetml/2006/main">
  <authors>
    <author>Adam Aranyos</author>
  </authors>
  <commentList>
    <comment ref="A1" authorId="0" shapeId="0">
      <text>
        <r>
          <rPr>
            <b/>
            <sz val="10"/>
            <color indexed="81"/>
            <rFont val="verdana"/>
            <family val="2"/>
          </rPr>
          <t>SimpleCSVConverter:</t>
        </r>
        <r>
          <rPr>
            <sz val="10"/>
            <color indexed="81"/>
            <rFont val="verdana"/>
            <family val="2"/>
          </rPr>
          <t xml:space="preserve"> paste CSV data here
</t>
        </r>
      </text>
    </comment>
  </commentList>
</comments>
</file>

<file path=xl/sharedStrings.xml><?xml version="1.0" encoding="utf-8"?>
<sst xmlns="http://schemas.openxmlformats.org/spreadsheetml/2006/main" count="9100" uniqueCount="3976">
  <si>
    <t>core_FilePrefix</t>
  </si>
  <si>
    <t>This is used by the "Filename" macro, to determine what to name files as when saving</t>
  </si>
  <si>
    <t>tl</t>
  </si>
  <si>
    <t>this specifies what named ranges the tool reset decision macros search for</t>
  </si>
  <si>
    <t>e.g. if the named range on the dec page is "decTeamName" then the reset macro will look for [dec_toolInputPrefix &amp; "TeamName"]</t>
  </si>
  <si>
    <t>dec_ErrorCheck</t>
  </si>
  <si>
    <t>dec_ErrorMessage</t>
  </si>
  <si>
    <t>Decisions</t>
  </si>
  <si>
    <t>Team 1</t>
  </si>
  <si>
    <t>Team 2</t>
  </si>
  <si>
    <t>Team 3</t>
  </si>
  <si>
    <t>Team 4</t>
  </si>
  <si>
    <t>Team 5</t>
  </si>
  <si>
    <t>Formula Reset</t>
  </si>
  <si>
    <t>Tool Reset Every Year</t>
  </si>
  <si>
    <t>Tool Reset Values</t>
  </si>
  <si>
    <t>Dec History</t>
  </si>
  <si>
    <t>dec_Names</t>
  </si>
  <si>
    <t>dec_FormulaReset</t>
  </si>
  <si>
    <t>dec_ToolReset</t>
  </si>
  <si>
    <t>dec_ToolResetValues</t>
  </si>
  <si>
    <t>T1Y1</t>
  </si>
  <si>
    <t>T2Y1</t>
  </si>
  <si>
    <t>T3Y1</t>
  </si>
  <si>
    <t>T4Y1</t>
  </si>
  <si>
    <t>T5Y1</t>
  </si>
  <si>
    <t>T1Y2</t>
  </si>
  <si>
    <t>T2Y2</t>
  </si>
  <si>
    <t>T3Y2</t>
  </si>
  <si>
    <t>T4Y2</t>
  </si>
  <si>
    <t>T5Y2</t>
  </si>
  <si>
    <t>T1Y3</t>
  </si>
  <si>
    <t>T2Y3</t>
  </si>
  <si>
    <t>T3Y3</t>
  </si>
  <si>
    <t>T4Y3</t>
  </si>
  <si>
    <t>T5Y3</t>
  </si>
  <si>
    <t>Paste. Leave This Row Blank</t>
  </si>
  <si>
    <t>dec_Paste</t>
  </si>
  <si>
    <t>dec_PasteY1</t>
  </si>
  <si>
    <t>dec_PasteY2</t>
  </si>
  <si>
    <t>dec_PasteY3</t>
  </si>
  <si>
    <t>Team Name</t>
  </si>
  <si>
    <t>decTeamName</t>
  </si>
  <si>
    <t>Round</t>
  </si>
  <si>
    <t>decRound</t>
  </si>
  <si>
    <t>End of Decisions</t>
  </si>
  <si>
    <t>dec_End</t>
  </si>
  <si>
    <t>xxRound</t>
  </si>
  <si>
    <t>dec_TeamName</t>
  </si>
  <si>
    <t>Menu Active</t>
  </si>
  <si>
    <t>Level 1 Menus</t>
  </si>
  <si>
    <t>vbaPopupMenu1Lvl1ItemNumber</t>
  </si>
  <si>
    <t>Level 2 Menus</t>
  </si>
  <si>
    <t>vbaPopupMenu1Lvl2ItemNumber</t>
  </si>
  <si>
    <t>Total</t>
  </si>
  <si>
    <t>vbaPopupMenu1ItemNumber</t>
  </si>
  <si>
    <t>Menu Items</t>
  </si>
  <si>
    <t>Menu Level</t>
  </si>
  <si>
    <t>Title</t>
  </si>
  <si>
    <t>Macro</t>
  </si>
  <si>
    <t>Face Id</t>
  </si>
  <si>
    <t>SimReset</t>
  </si>
  <si>
    <t>vbaPopupMenu1ListLevel</t>
  </si>
  <si>
    <t>vbaPopupMenu1ListTitle</t>
  </si>
  <si>
    <t>vbaPopupMenu1ListMacro</t>
  </si>
  <si>
    <t>vbaPopupMenu1ListFaceID</t>
  </si>
  <si>
    <t>ID</t>
  </si>
  <si>
    <t>Symbol</t>
  </si>
  <si>
    <t>Blank</t>
  </si>
  <si>
    <t>Save</t>
  </si>
  <si>
    <t>Print</t>
  </si>
  <si>
    <t>Cut</t>
  </si>
  <si>
    <t>Paste</t>
  </si>
  <si>
    <t>Open</t>
  </si>
  <si>
    <t>Rotate/Reset</t>
  </si>
  <si>
    <t>Trash</t>
  </si>
  <si>
    <t>Search</t>
  </si>
  <si>
    <t>Do Not Enter</t>
  </si>
  <si>
    <t>Delete (x)</t>
  </si>
  <si>
    <t>=</t>
  </si>
  <si>
    <t>+</t>
  </si>
  <si>
    <t>-</t>
  </si>
  <si>
    <t>70 - 79</t>
  </si>
  <si>
    <t>0-9</t>
  </si>
  <si>
    <t>80-105</t>
  </si>
  <si>
    <t>A-Z</t>
  </si>
  <si>
    <t>cnstSingleQuote</t>
  </si>
  <si>
    <t>cnstDoubleQuote</t>
  </si>
  <si>
    <t>Macro Name</t>
  </si>
  <si>
    <t>Arg 1</t>
  </si>
  <si>
    <t>Arg 2</t>
  </si>
  <si>
    <t>Team Number</t>
  </si>
  <si>
    <t>decTeamNumber</t>
  </si>
  <si>
    <t>dec_TeamNumber</t>
  </si>
  <si>
    <t>Connect this to tlTeamName on Intro page</t>
  </si>
  <si>
    <t>Connect this to tlTeamNumber on Intro page</t>
  </si>
  <si>
    <t>dec_Round</t>
  </si>
  <si>
    <t>Connect this to xxRound on your Controls page</t>
  </si>
  <si>
    <t>Reset Dec Formulae</t>
  </si>
  <si>
    <t>DecResetFormulae</t>
  </si>
  <si>
    <t>Reset Tool Decs</t>
  </si>
  <si>
    <t>DecResetToolDecs</t>
  </si>
  <si>
    <t>dec_ToolResetR0</t>
  </si>
  <si>
    <t>Warning messages to display when exporting decisions</t>
  </si>
  <si>
    <t>Warning</t>
  </si>
  <si>
    <t>Formatted Message</t>
  </si>
  <si>
    <t>dec_LineBreak</t>
  </si>
  <si>
    <t>Show Error Message</t>
  </si>
  <si>
    <t>DecShowErrorMessage</t>
  </si>
  <si>
    <t>Constants</t>
  </si>
  <si>
    <t>Opening Balances</t>
  </si>
  <si>
    <t>obal_ResetR0</t>
  </si>
  <si>
    <t>obal_Paste</t>
  </si>
  <si>
    <t>End of Opening Balances</t>
  </si>
  <si>
    <t>obal_End</t>
  </si>
  <si>
    <t>Closing Balances</t>
  </si>
  <si>
    <t>cbal_Paste</t>
  </si>
  <si>
    <t>Reset R0 Balances</t>
  </si>
  <si>
    <t>Share Price Spread Around Average</t>
  </si>
  <si>
    <t>This League model calculates a share price for each team, spread around some defined average share price.</t>
  </si>
  <si>
    <t>Outputs</t>
  </si>
  <si>
    <t>Rank</t>
  </si>
  <si>
    <t>League_Rank</t>
  </si>
  <si>
    <t>Tie Break</t>
  </si>
  <si>
    <t>League_TieBreak</t>
  </si>
  <si>
    <t>Inputs</t>
  </si>
  <si>
    <t>Year</t>
  </si>
  <si>
    <t>Avg. Share Price</t>
  </si>
  <si>
    <t>Spread</t>
  </si>
  <si>
    <t>Teams</t>
  </si>
  <si>
    <t>Teams in League</t>
  </si>
  <si>
    <t>League_Teams</t>
  </si>
  <si>
    <t>Tightening</t>
  </si>
  <si>
    <t>Active</t>
  </si>
  <si>
    <t>Driver</t>
  </si>
  <si>
    <t>Weight</t>
  </si>
  <si>
    <t>Average</t>
  </si>
  <si>
    <t>Standard Dev.</t>
  </si>
  <si>
    <t>Current</t>
  </si>
  <si>
    <t>Default</t>
  </si>
  <si>
    <t>Revenue</t>
  </si>
  <si>
    <t>League_CurrentTightening</t>
  </si>
  <si>
    <t>Calculations</t>
  </si>
  <si>
    <t>Unnormalized Scores</t>
  </si>
  <si>
    <t>Current Average Share Price</t>
  </si>
  <si>
    <t>League_CurrentAvgSharePrice</t>
  </si>
  <si>
    <t>Current Share Price Spread</t>
  </si>
  <si>
    <t>League_CurrentSharePriceSpread</t>
  </si>
  <si>
    <t>League_Round</t>
  </si>
  <si>
    <t>hood_OnHoodCloseGoTo</t>
  </si>
  <si>
    <t>hood_ToolPrefix</t>
  </si>
  <si>
    <t>tlIntro</t>
  </si>
  <si>
    <t>Screen</t>
  </si>
  <si>
    <t>xxSim0Tool1</t>
  </si>
  <si>
    <t>xxIndexTeam</t>
  </si>
  <si>
    <t>HideRows</t>
  </si>
  <si>
    <t>Dashboard 1</t>
  </si>
  <si>
    <t>DB_Dashboard1</t>
  </si>
  <si>
    <t>Dashboard 2</t>
  </si>
  <si>
    <t>DB_Dashboard2</t>
  </si>
  <si>
    <t>Dashboard 3</t>
  </si>
  <si>
    <t>DB_Dashboard3</t>
  </si>
  <si>
    <t>White Space Length</t>
  </si>
  <si>
    <t>DB_WhiteSpaceLength</t>
  </si>
  <si>
    <t>Large White Space Length</t>
  </si>
  <si>
    <t>DB_LargeWhiteSpaceLength</t>
  </si>
  <si>
    <t>Sub Value Space Length</t>
  </si>
  <si>
    <t>DB_SubWhiteSpaceLength</t>
  </si>
  <si>
    <t xml:space="preserve">White Space </t>
  </si>
  <si>
    <t>DB_WhiteSpace</t>
  </si>
  <si>
    <t>Large White Space</t>
  </si>
  <si>
    <t>DB_LargeWhiteSpace</t>
  </si>
  <si>
    <t>Sub Value Space</t>
  </si>
  <si>
    <t>DB_SubWhiteSpace</t>
  </si>
  <si>
    <t>KPI Name</t>
  </si>
  <si>
    <t>Raw Value</t>
  </si>
  <si>
    <t>Formatted Value</t>
  </si>
  <si>
    <t>Sub Raw Value</t>
  </si>
  <si>
    <t>Formatted Sub Raw Value</t>
  </si>
  <si>
    <t>String</t>
  </si>
  <si>
    <t>Active String</t>
  </si>
  <si>
    <t>DB_arrayDash1Names</t>
  </si>
  <si>
    <t>DB_arrayDash1Values</t>
  </si>
  <si>
    <t>DB_arrayDash2Names</t>
  </si>
  <si>
    <t>DB_arrayDash2Values</t>
  </si>
  <si>
    <t>DB_arrayDash3Names</t>
  </si>
  <si>
    <t>DB_arrayDash3Values</t>
  </si>
  <si>
    <t>Index</t>
  </si>
  <si>
    <t>Code</t>
  </si>
  <si>
    <t>Name</t>
  </si>
  <si>
    <t>Available Count</t>
  </si>
  <si>
    <t>Strategic Initiatives</t>
  </si>
  <si>
    <t>Glossary</t>
  </si>
  <si>
    <t>English</t>
  </si>
  <si>
    <t>Language 2</t>
  </si>
  <si>
    <t>Language 3</t>
  </si>
  <si>
    <t>glossary_Language</t>
  </si>
  <si>
    <t>nmTeamName</t>
  </si>
  <si>
    <t>nmTeamNumber</t>
  </si>
  <si>
    <t>nmRound</t>
  </si>
  <si>
    <t>nmInitiatives</t>
  </si>
  <si>
    <t>Cost</t>
  </si>
  <si>
    <t>FTEs</t>
  </si>
  <si>
    <t>cnstMillion</t>
  </si>
  <si>
    <t>Feedback</t>
  </si>
  <si>
    <t>feedback_FeedbackSheetName</t>
  </si>
  <si>
    <t>FeedbackTS</t>
  </si>
  <si>
    <t>feedback_TimeSeriesFeedbackSheetName</t>
  </si>
  <si>
    <t>feedback_FeedbackFileName</t>
  </si>
  <si>
    <t>R1</t>
  </si>
  <si>
    <t>R2</t>
  </si>
  <si>
    <t>R3</t>
  </si>
  <si>
    <t>Instructions</t>
  </si>
  <si>
    <t>sim_OnResetGoTo</t>
  </si>
  <si>
    <t>This named range determines which page to go to once the sim has been reset; by default it goes to the "Instructions" page you have just created</t>
  </si>
  <si>
    <t>Leave this blank if you do not want to specify a page to go to</t>
  </si>
  <si>
    <t>nmProd1</t>
  </si>
  <si>
    <t>Product 1</t>
  </si>
  <si>
    <t>nmPrice</t>
  </si>
  <si>
    <t>Price</t>
  </si>
  <si>
    <t>nmForecast</t>
  </si>
  <si>
    <t>Forecast</t>
  </si>
  <si>
    <t>nmProd1Seg1</t>
  </si>
  <si>
    <t>nmProd1Seg2</t>
  </si>
  <si>
    <t>nmProd1Seg3</t>
  </si>
  <si>
    <t>Seg A</t>
  </si>
  <si>
    <t>Seg B</t>
  </si>
  <si>
    <t>Seg C</t>
  </si>
  <si>
    <t>nmMarketing</t>
  </si>
  <si>
    <t>Marketing</t>
  </si>
  <si>
    <t>Tool Reset R0</t>
  </si>
  <si>
    <t>nmRevenue</t>
  </si>
  <si>
    <t>Financials</t>
  </si>
  <si>
    <t>Data</t>
  </si>
  <si>
    <t>COGS</t>
  </si>
  <si>
    <t>nmCOGS</t>
  </si>
  <si>
    <t>nmGrossProfit</t>
  </si>
  <si>
    <t>Gross Profit</t>
  </si>
  <si>
    <t>nmGrossMargin</t>
  </si>
  <si>
    <t>Gross Margin</t>
  </si>
  <si>
    <t>nmMillion</t>
  </si>
  <si>
    <t>Mn</t>
  </si>
  <si>
    <t>Names</t>
  </si>
  <si>
    <t xml:space="preserve">Number of Teams </t>
  </si>
  <si>
    <t>dataNumTeams</t>
  </si>
  <si>
    <t>Controls</t>
  </si>
  <si>
    <t>this specifices which sheets the hood close macro acts upon</t>
  </si>
  <si>
    <t>after the hood is closed, which sheet should be navigated to (must begin with the prefix specified in hood_ToolPrefix)</t>
  </si>
  <si>
    <t>specifices the line break used in the error check pop-up</t>
  </si>
  <si>
    <t>Navigation</t>
  </si>
  <si>
    <t>Intro</t>
  </si>
  <si>
    <t>HoodGoToScreen</t>
  </si>
  <si>
    <t>tlProd1</t>
  </si>
  <si>
    <t>tlSIs</t>
  </si>
  <si>
    <t>Dashboards</t>
  </si>
  <si>
    <t>Error Message</t>
  </si>
  <si>
    <t>In each of the cells in the "Warning" column below, you may enter an error check formula</t>
  </si>
  <si>
    <t>Manually type in the message the is to be displayed in the event that this error occurs</t>
  </si>
  <si>
    <t>When decisions are exported by teams, if any of the errors occur, a pop-up dialog box will display</t>
  </si>
  <si>
    <t>If no errors occur, the participants will see nothing</t>
  </si>
  <si>
    <t>Calculations &amp; Constants - Do NOT modify these</t>
  </si>
  <si>
    <t>This is the name of the feedback file - whatever you enter here will be what the macro searches for when updating feedbacks</t>
  </si>
  <si>
    <t>nmProgramTitle</t>
  </si>
  <si>
    <t>nmProgramSubtitle</t>
  </si>
  <si>
    <t>Facilitator Instructions</t>
  </si>
  <si>
    <t>SimCreateTools</t>
  </si>
  <si>
    <t>Processing</t>
  </si>
  <si>
    <t>Developer</t>
  </si>
  <si>
    <t>Tool - Export Decisions</t>
  </si>
  <si>
    <t>Sim - Create Tools</t>
  </si>
  <si>
    <t>Sim - Update Feedbacks</t>
  </si>
  <si>
    <t>dec_ToolInputPrefix</t>
  </si>
  <si>
    <t>Master Reset</t>
  </si>
  <si>
    <t>MasterReset</t>
  </si>
  <si>
    <t>This determines how many tools to create</t>
  </si>
  <si>
    <t>xxNumOfTeams</t>
  </si>
  <si>
    <t>DecExportDecisions</t>
  </si>
  <si>
    <t>Parameters</t>
  </si>
  <si>
    <t>#</t>
  </si>
  <si>
    <t>A/R</t>
  </si>
  <si>
    <t>Base Value</t>
  </si>
  <si>
    <t>Named Range</t>
  </si>
  <si>
    <t># Adjustments</t>
  </si>
  <si>
    <t>Must be in numerical order</t>
  </si>
  <si>
    <t>A</t>
  </si>
  <si>
    <t>R</t>
  </si>
  <si>
    <t>End of Params</t>
  </si>
  <si>
    <t>Adjustments</t>
  </si>
  <si>
    <t>Parameter #</t>
  </si>
  <si>
    <t>Parameter Name</t>
  </si>
  <si>
    <t>FTE Code</t>
  </si>
  <si>
    <t>adj_FTECode</t>
  </si>
  <si>
    <t>Cost Code</t>
  </si>
  <si>
    <t>adj_CostCode</t>
  </si>
  <si>
    <t>Costs</t>
  </si>
  <si>
    <t>If not chosen</t>
  </si>
  <si>
    <t>1st Round</t>
  </si>
  <si>
    <t>2nd Round</t>
  </si>
  <si>
    <t>3rd Round</t>
  </si>
  <si>
    <t>4th Round</t>
  </si>
  <si>
    <t>Launched?</t>
  </si>
  <si>
    <t>Rounds into launch</t>
  </si>
  <si>
    <t>adj_IndexTeam</t>
  </si>
  <si>
    <t>xxToolPrefix</t>
  </si>
  <si>
    <t>CONFIGURATION - These MAY be set up by the developer at the beginning of the development; You are unlikely to need to modify these</t>
  </si>
  <si>
    <t>STATE - These are modified by macros, or may be manually adjusted by the developer for testing purposes</t>
  </si>
  <si>
    <t>SET UP - These MUST be set up by the developer at the beginning of the development</t>
  </si>
  <si>
    <t>SETTINGS - These may be modified by the developer or consultant</t>
  </si>
  <si>
    <t>INTERFACE - For modules that are being imported, these cells must be correctly connected to other cells in the simulation</t>
  </si>
  <si>
    <t>Connect this to xxToolPrefix on your controls page</t>
  </si>
  <si>
    <t>Popup Menu (Crtl + M)</t>
  </si>
  <si>
    <t>Version 3.0</t>
  </si>
  <si>
    <t>Menu Name</t>
  </si>
  <si>
    <t>PopUpMenu1</t>
  </si>
  <si>
    <t>vbaPopupMenuName</t>
  </si>
  <si>
    <t>vbaPopupMenuActive</t>
  </si>
  <si>
    <t>Popup Menu 1</t>
  </si>
  <si>
    <t>Arg 3</t>
  </si>
  <si>
    <t>Menu Level Count</t>
  </si>
  <si>
    <t>Popup Menu Constants</t>
  </si>
  <si>
    <t>Useful Face IDs:</t>
  </si>
  <si>
    <t>Menu Constants</t>
  </si>
  <si>
    <t>Single Quote</t>
  </si>
  <si>
    <t>'</t>
  </si>
  <si>
    <t>Double Quote</t>
  </si>
  <si>
    <t>"</t>
  </si>
  <si>
    <t>Comma</t>
  </si>
  <si>
    <t>,</t>
  </si>
  <si>
    <t>cnstComma</t>
  </si>
  <si>
    <t>BalancesResetT0Obals</t>
  </si>
  <si>
    <t>ClearAdjRange25</t>
  </si>
  <si>
    <t>Named Range 25</t>
  </si>
  <si>
    <t>ClearAdjRange24</t>
  </si>
  <si>
    <t>Named Range 24</t>
  </si>
  <si>
    <t>ClearAdjRange23</t>
  </si>
  <si>
    <t>Named Range 23</t>
  </si>
  <si>
    <t>ClearAdjRange22</t>
  </si>
  <si>
    <t>Named Range 22</t>
  </si>
  <si>
    <t>ClearAdjRange21</t>
  </si>
  <si>
    <t>Named Range 21</t>
  </si>
  <si>
    <t>ClearAdjRange20</t>
  </si>
  <si>
    <t>Named Range 20</t>
  </si>
  <si>
    <t>ClearAdjRange19</t>
  </si>
  <si>
    <t>Named Range 19</t>
  </si>
  <si>
    <t>ClearAdjRange18</t>
  </si>
  <si>
    <t>Named Range 18</t>
  </si>
  <si>
    <t>ClearAdjRange17</t>
  </si>
  <si>
    <t>Named Range 17</t>
  </si>
  <si>
    <t>ClearAdjRange16</t>
  </si>
  <si>
    <t>Named Range 16</t>
  </si>
  <si>
    <t>ClearAdjRange15</t>
  </si>
  <si>
    <t>Named Range 15</t>
  </si>
  <si>
    <t>ClearAdjRange14</t>
  </si>
  <si>
    <t>Named Range 14</t>
  </si>
  <si>
    <t>ClearAdjRange13</t>
  </si>
  <si>
    <t>Named Range 13</t>
  </si>
  <si>
    <t>ClearAdjRange12</t>
  </si>
  <si>
    <t>Named Range 12</t>
  </si>
  <si>
    <t>ClearAdjRange11</t>
  </si>
  <si>
    <t>Named Range 11</t>
  </si>
  <si>
    <t>ClearAdjRange10</t>
  </si>
  <si>
    <t>Named Range 10</t>
  </si>
  <si>
    <t>ClearAdjRange9</t>
  </si>
  <si>
    <t>Named Range 9</t>
  </si>
  <si>
    <t>ClearAdjRange8</t>
  </si>
  <si>
    <t>Named Range 8</t>
  </si>
  <si>
    <t>ClearAdjRange7</t>
  </si>
  <si>
    <t>Named Range 7</t>
  </si>
  <si>
    <t>ClearAdjRange6</t>
  </si>
  <si>
    <t>Named Range 6</t>
  </si>
  <si>
    <t>ClearAdjRange5</t>
  </si>
  <si>
    <t>Named Range 5</t>
  </si>
  <si>
    <t>ClearAdjRange4</t>
  </si>
  <si>
    <t>Named Range 4</t>
  </si>
  <si>
    <t>ClearAdjRange3</t>
  </si>
  <si>
    <t>Named Range 3</t>
  </si>
  <si>
    <t>ClearAdjRange2</t>
  </si>
  <si>
    <t>Named Range 2</t>
  </si>
  <si>
    <t>ClearAdjRange1</t>
  </si>
  <si>
    <t>Named Range 1</t>
  </si>
  <si>
    <t>**Locations of manual adjustment lines include market model, sat, and index pages</t>
  </si>
  <si>
    <t>Inputs - Manual Adjustments to Clear</t>
  </si>
  <si>
    <t xml:space="preserve">  Clears all manual adjustments in simulation.</t>
  </si>
  <si>
    <t>ClearAdjustments</t>
  </si>
  <si>
    <t>Description</t>
  </si>
  <si>
    <t xml:space="preserve">  Cell values must be linked to another worksheet.</t>
  </si>
  <si>
    <t xml:space="preserve">  Formula cell.  Developer may modify.</t>
  </si>
  <si>
    <t xml:space="preserve">  Hard-coded input cell.  Developer may modify by entering value.</t>
  </si>
  <si>
    <t>Legend</t>
  </si>
  <si>
    <t>Adam.Aranyos@bts.com</t>
  </si>
  <si>
    <t>For support contact:</t>
  </si>
  <si>
    <t>ClearAdj Module - Clear Manual Adjustments</t>
  </si>
  <si>
    <t>Outputs - Linked to SimNewRound and SimReset Macros</t>
  </si>
  <si>
    <r>
      <t xml:space="preserve">Manual Adjustment Named Range </t>
    </r>
    <r>
      <rPr>
        <i/>
        <sz val="10"/>
        <color theme="1"/>
        <rFont val="Verdana"/>
        <family val="2"/>
      </rPr>
      <t>(Do not cut and paste)</t>
    </r>
  </si>
  <si>
    <t>Developer Notes</t>
  </si>
  <si>
    <t>Modules Used</t>
  </si>
  <si>
    <t>Salesforce</t>
  </si>
  <si>
    <t>ACV Growth</t>
  </si>
  <si>
    <t>Risk Index</t>
  </si>
  <si>
    <t>Timeline &amp; Budget</t>
  </si>
  <si>
    <t>People</t>
  </si>
  <si>
    <t>IT</t>
  </si>
  <si>
    <t>Product</t>
  </si>
  <si>
    <t>G&amp;A</t>
  </si>
  <si>
    <t>Integration Planning</t>
  </si>
  <si>
    <t>Y0</t>
  </si>
  <si>
    <t>NPS</t>
  </si>
  <si>
    <t>Execution Velocity</t>
  </si>
  <si>
    <t>Harmonization Timeline</t>
  </si>
  <si>
    <t>Risk Mitigation</t>
  </si>
  <si>
    <t>P0</t>
  </si>
  <si>
    <t>P2</t>
  </si>
  <si>
    <t>P1</t>
  </si>
  <si>
    <t>tlTimelineLength1</t>
  </si>
  <si>
    <t>tlTimelineLength2</t>
  </si>
  <si>
    <t>tlTimelineLength3</t>
  </si>
  <si>
    <t>tlTimelineLength4</t>
  </si>
  <si>
    <t>Dropdown Menus</t>
  </si>
  <si>
    <t>Office Integration</t>
  </si>
  <si>
    <t>DataOfficeIntegrationDropdown</t>
  </si>
  <si>
    <t>Initial Financials</t>
  </si>
  <si>
    <t>Cost of Revenue</t>
  </si>
  <si>
    <t>Operating Expenses</t>
  </si>
  <si>
    <t>Sales &amp; Marketing</t>
  </si>
  <si>
    <t>R&amp;D</t>
  </si>
  <si>
    <t>Total Operating Expenses</t>
  </si>
  <si>
    <t>Operating Profit</t>
  </si>
  <si>
    <t>Target (Standalone)</t>
  </si>
  <si>
    <t>V2MOM Section</t>
  </si>
  <si>
    <t>Timeline Length1</t>
  </si>
  <si>
    <t>Timeline Length2</t>
  </si>
  <si>
    <t>Timeline Length3</t>
  </si>
  <si>
    <t>Timeline Length4</t>
  </si>
  <si>
    <t>Budget</t>
  </si>
  <si>
    <t>Cost of Sales</t>
  </si>
  <si>
    <t>Financial Statement</t>
  </si>
  <si>
    <t>Fully Integrated Margin Goal</t>
  </si>
  <si>
    <t>Overall Deal Operating Budget</t>
  </si>
  <si>
    <t>Standalone Margin</t>
  </si>
  <si>
    <t>obalTargetRev</t>
  </si>
  <si>
    <t>obalTargetCOR</t>
  </si>
  <si>
    <t>obalTargetGP</t>
  </si>
  <si>
    <t>obalTargetRD</t>
  </si>
  <si>
    <t>obalTargetMS</t>
  </si>
  <si>
    <t>obalTargetGA</t>
  </si>
  <si>
    <t>obalTargetStandaloneOpProf</t>
  </si>
  <si>
    <t>obalTargetStandaloneOpMargin</t>
  </si>
  <si>
    <t>Deal Budget</t>
  </si>
  <si>
    <t>obalTargetDealBudget</t>
  </si>
  <si>
    <t>obalTargetFullOpProf</t>
  </si>
  <si>
    <t>obalTargetFullOpMargin</t>
  </si>
  <si>
    <t>cbalTargetRev</t>
  </si>
  <si>
    <t>cbalTargetCOR</t>
  </si>
  <si>
    <t>cbalTargetGP</t>
  </si>
  <si>
    <t>cbalTargetMS</t>
  </si>
  <si>
    <t>cbalTargetRD</t>
  </si>
  <si>
    <t>cbalTargetGA</t>
  </si>
  <si>
    <t>cbalTargetStandaloneOpProf</t>
  </si>
  <si>
    <t>cbalTargetStandaloneOpMargin</t>
  </si>
  <si>
    <t>cbalTargetDealBudget</t>
  </si>
  <si>
    <t>cbalTargetFullOpProf</t>
  </si>
  <si>
    <t>cbalTargetFullOpMargin</t>
  </si>
  <si>
    <t>Target Financials ($000s)</t>
  </si>
  <si>
    <t>Marketing &amp; Sales</t>
  </si>
  <si>
    <t>Research &amp; Development</t>
  </si>
  <si>
    <t>General &amp; Administrative</t>
  </si>
  <si>
    <t>Integration Costs</t>
  </si>
  <si>
    <t>Harmonization</t>
  </si>
  <si>
    <t>IT Integration</t>
  </si>
  <si>
    <t>Total Integration Costs</t>
  </si>
  <si>
    <t>Employee Engagement</t>
  </si>
  <si>
    <t>Overall Metrics</t>
  </si>
  <si>
    <t>obalESAT</t>
  </si>
  <si>
    <t>obalExecutionVelocity</t>
  </si>
  <si>
    <t>obalRiskIndex</t>
  </si>
  <si>
    <t>obalNPS</t>
  </si>
  <si>
    <t>cbalESAT</t>
  </si>
  <si>
    <t>cbalExecutionVelocity</t>
  </si>
  <si>
    <t>cbalRiskIndex</t>
  </si>
  <si>
    <t>cbalNPS</t>
  </si>
  <si>
    <t>Vision</t>
  </si>
  <si>
    <t>Values</t>
  </si>
  <si>
    <t>Insert your response here.</t>
  </si>
  <si>
    <t>1.</t>
  </si>
  <si>
    <t>2.</t>
  </si>
  <si>
    <t>3.</t>
  </si>
  <si>
    <t>Opening</t>
  </si>
  <si>
    <t>Ending</t>
  </si>
  <si>
    <t>Metrics</t>
  </si>
  <si>
    <t>calcNPS</t>
  </si>
  <si>
    <t>calcExecutionVelocity</t>
  </si>
  <si>
    <t>calcRiskIndex</t>
  </si>
  <si>
    <t>Annual Revenue</t>
  </si>
  <si>
    <t>No</t>
  </si>
  <si>
    <t>Packaging/Pricing Integration</t>
  </si>
  <si>
    <t>Office Plan</t>
  </si>
  <si>
    <t>Harmonization Level</t>
  </si>
  <si>
    <t>decPeopleHarmonizationLevel</t>
  </si>
  <si>
    <t>Total Integration Budget</t>
  </si>
  <si>
    <t>Indices</t>
  </si>
  <si>
    <t>Scenario Costs</t>
  </si>
  <si>
    <t>paramScenarioFTEs</t>
  </si>
  <si>
    <t>Index-ESAT</t>
  </si>
  <si>
    <t>Index-Risk</t>
  </si>
  <si>
    <t>Index-NPS</t>
  </si>
  <si>
    <t>Emphasis</t>
  </si>
  <si>
    <t>Build Out Site Infrastructure</t>
  </si>
  <si>
    <t>Stack Integration</t>
  </si>
  <si>
    <t>Feature Enhancements</t>
  </si>
  <si>
    <t>Process Integration</t>
  </si>
  <si>
    <t>Email Merge</t>
  </si>
  <si>
    <t>Apps</t>
  </si>
  <si>
    <t>Initial Integration Budget</t>
  </si>
  <si>
    <t>Integration Budget</t>
  </si>
  <si>
    <t>dataIntegrationBudget</t>
  </si>
  <si>
    <t>obalIntegrationBudget</t>
  </si>
  <si>
    <t>cbalIntegrationBudget</t>
  </si>
  <si>
    <t>calcIntegrationBudget</t>
  </si>
  <si>
    <t>G&amp;A Plan</t>
  </si>
  <si>
    <t>Security</t>
  </si>
  <si>
    <t>PopUp Wobbler</t>
  </si>
  <si>
    <t>For questions or support contact:</t>
  </si>
  <si>
    <t>ModuleFactory@bts.com</t>
  </si>
  <si>
    <t>Input Cell Types</t>
  </si>
  <si>
    <t xml:space="preserve">  Hard-coded cell.  Developer may modify.</t>
  </si>
  <si>
    <t>Calculation Cell Types</t>
  </si>
  <si>
    <t xml:space="preserve">  Developer must assign formula</t>
  </si>
  <si>
    <t xml:space="preserve">  Calculated cell. User must not modify.</t>
  </si>
  <si>
    <t>Wobbler_TeamName</t>
  </si>
  <si>
    <t>Wobbler_Round</t>
  </si>
  <si>
    <t>**Link to xxRound</t>
  </si>
  <si>
    <t>SimTool</t>
  </si>
  <si>
    <t>Wobbler_Sim0Tool1</t>
  </si>
  <si>
    <t>**Link to xxSim0Tool1</t>
  </si>
  <si>
    <t>Wobbler Time</t>
  </si>
  <si>
    <t>Wobbler_Timer</t>
  </si>
  <si>
    <t>xxPopupWobblerMax</t>
  </si>
  <si>
    <t>Max</t>
  </si>
  <si>
    <t>xxPopupWobblerCurrent</t>
  </si>
  <si>
    <t>Start</t>
  </si>
  <si>
    <t>xxPopupWobblerStartY1</t>
  </si>
  <si>
    <t>xxPopupWobblerStartY2</t>
  </si>
  <si>
    <t>xxPopupWobblerStartY3</t>
  </si>
  <si>
    <t>xxPopupWobblerCurrentY4</t>
  </si>
  <si>
    <t>One minute =</t>
  </si>
  <si>
    <t>Popup Wobbler Table/Database</t>
  </si>
  <si>
    <t>Slot #</t>
  </si>
  <si>
    <t>Option A</t>
  </si>
  <si>
    <t>Option B</t>
  </si>
  <si>
    <t>Option C</t>
  </si>
  <si>
    <t>Option D</t>
  </si>
  <si>
    <t>Cons A</t>
  </si>
  <si>
    <t>Cons A Next</t>
  </si>
  <si>
    <t>Cons B</t>
  </si>
  <si>
    <t>Cons B Next</t>
  </si>
  <si>
    <t>Cons C</t>
  </si>
  <si>
    <t>Cons C Next</t>
  </si>
  <si>
    <t>Cons D</t>
  </si>
  <si>
    <t>Cons D Next</t>
  </si>
  <si>
    <t>PopUp Time</t>
  </si>
  <si>
    <t>Dec Range</t>
  </si>
  <si>
    <t>Please select to continue</t>
  </si>
  <si>
    <t>B1</t>
  </si>
  <si>
    <t>Phase 4 Completion</t>
  </si>
  <si>
    <t>Congratulations! Please prepare to meet with the executive and discuss your current project.</t>
  </si>
  <si>
    <t>Congratulations on completing the simulation.</t>
  </si>
  <si>
    <t>xxPopupWobblerTitle</t>
  </si>
  <si>
    <t>xxPopupWobblerDescription</t>
  </si>
  <si>
    <t>xxPopupWobblerOption1Text</t>
  </si>
  <si>
    <t>xxPopupWobblerOption2Text</t>
  </si>
  <si>
    <t>xxPopupWobblerOption3Text</t>
  </si>
  <si>
    <t>xxPopupWobblerOption4Text</t>
  </si>
  <si>
    <t>xxPopupWobblerExplain1Text</t>
  </si>
  <si>
    <t>xxPopupWobblerExplain1Next</t>
  </si>
  <si>
    <t>xxPopupWobblerExplain2Text</t>
  </si>
  <si>
    <t>xxPopupWobblerExplain2Next</t>
  </si>
  <si>
    <t>xxPopupWobblerExplain3Text</t>
  </si>
  <si>
    <t>xxPopupWobblerExplain3Next</t>
  </si>
  <si>
    <t>xxPopupWobblerExplain4Text</t>
  </si>
  <si>
    <t>xxPopupWobblerExplain4Next</t>
  </si>
  <si>
    <t>xxPopupWobblerDecMinDiff</t>
  </si>
  <si>
    <t>xxPopupWobblerDecRange</t>
  </si>
  <si>
    <t>Available Wobbler Codes</t>
  </si>
  <si>
    <t>**Link to WobblerCalc</t>
  </si>
  <si>
    <t>Possible Wobbler Codes</t>
  </si>
  <si>
    <t>B</t>
  </si>
  <si>
    <t>C</t>
  </si>
  <si>
    <t>D</t>
  </si>
  <si>
    <t>xxPopupWobblerValid</t>
  </si>
  <si>
    <t>Wobblers</t>
  </si>
  <si>
    <t>Move to Cloud</t>
  </si>
  <si>
    <t>Keep Existing</t>
  </si>
  <si>
    <t>A1:R19</t>
  </si>
  <si>
    <t>Snowflake</t>
  </si>
  <si>
    <t>Feedbacks</t>
  </si>
  <si>
    <t>Team 6</t>
  </si>
  <si>
    <t>Team 7</t>
  </si>
  <si>
    <t>Team 8</t>
  </si>
  <si>
    <t>Team 9</t>
  </si>
  <si>
    <t>Team 10</t>
  </si>
  <si>
    <t>fbHideRange</t>
  </si>
  <si>
    <t>Count</t>
  </si>
  <si>
    <t>Legend (DO NOT DELETE)</t>
  </si>
  <si>
    <t xml:space="preserve">  Hard-coded input cell.  Developer may modify.</t>
  </si>
  <si>
    <t>Stacked Column</t>
  </si>
  <si>
    <t>Stacked Column with Data Label</t>
  </si>
  <si>
    <t xml:space="preserve">  Developer must assign value as external input.</t>
  </si>
  <si>
    <t>Clustered Column</t>
  </si>
  <si>
    <t>Clustered Column with Data Label</t>
  </si>
  <si>
    <t>Bubble</t>
  </si>
  <si>
    <t>Bubble (Price Volume)</t>
  </si>
  <si>
    <t>VOC</t>
  </si>
  <si>
    <t>Set Up</t>
  </si>
  <si>
    <t>Number of Teams</t>
  </si>
  <si>
    <t>fbNumOfTeams</t>
  </si>
  <si>
    <t>**from xxNumOfTeams</t>
  </si>
  <si>
    <t>*connect this to the dec page team names</t>
  </si>
  <si>
    <t>Graph Type</t>
  </si>
  <si>
    <t>Y Label</t>
  </si>
  <si>
    <t>X Label</t>
  </si>
  <si>
    <t>SheetName</t>
  </si>
  <si>
    <t>Rows</t>
  </si>
  <si>
    <t>Feedback Time Series</t>
  </si>
  <si>
    <t>fbTSHideRange</t>
  </si>
  <si>
    <t>Time Series</t>
  </si>
  <si>
    <t>PV</t>
  </si>
  <si>
    <t>decteamname</t>
  </si>
  <si>
    <t>Link to Range</t>
  </si>
  <si>
    <t>ffbProd1Price</t>
  </si>
  <si>
    <t>Price Volume Alpha</t>
  </si>
  <si>
    <t>Volume</t>
  </si>
  <si>
    <t>fb1234PVProd1</t>
  </si>
  <si>
    <t>Volume Row</t>
  </si>
  <si>
    <t>Non SO Row</t>
  </si>
  <si>
    <t>SO Row</t>
  </si>
  <si>
    <t>ffbProd1Vol</t>
  </si>
  <si>
    <t>Enter Year 0 Rows Above</t>
  </si>
  <si>
    <t>Volume Non Stock Out</t>
  </si>
  <si>
    <t>ffbProd1NSO</t>
  </si>
  <si>
    <t>Volume Stock Out</t>
  </si>
  <si>
    <t>ffbProd1SO</t>
  </si>
  <si>
    <t>ffbRevenue</t>
  </si>
  <si>
    <t>Gross Margin Alpha</t>
  </si>
  <si>
    <t>fb0034GMProd1</t>
  </si>
  <si>
    <t>FBUpdateFeedbackFile</t>
  </si>
  <si>
    <t>SFDCMA</t>
  </si>
  <si>
    <t>SFDCMAMasterSimFeedbacks.xlsm</t>
  </si>
  <si>
    <t>Wobbler 1</t>
  </si>
  <si>
    <t>decWobbler1</t>
  </si>
  <si>
    <t>Wobbler 2</t>
  </si>
  <si>
    <t>decWobbler2</t>
  </si>
  <si>
    <t>Wobbler 3</t>
  </si>
  <si>
    <t>Wobbler 4</t>
  </si>
  <si>
    <t>Wobbler 5</t>
  </si>
  <si>
    <t>Wobbler 6</t>
  </si>
  <si>
    <t>Wobbler 7</t>
  </si>
  <si>
    <t>Wobbler 8</t>
  </si>
  <si>
    <t>Wobbler 9</t>
  </si>
  <si>
    <t>Wobbler 10</t>
  </si>
  <si>
    <t>Wobbler 11</t>
  </si>
  <si>
    <t>Wobbler 12</t>
  </si>
  <si>
    <t>Wobbler 13</t>
  </si>
  <si>
    <t>Wobbler 14</t>
  </si>
  <si>
    <t>Wobbler 15</t>
  </si>
  <si>
    <t>decWobbler3</t>
  </si>
  <si>
    <t>decWobbler4</t>
  </si>
  <si>
    <t>decWobbler5</t>
  </si>
  <si>
    <t>decWobbler6</t>
  </si>
  <si>
    <t>decWobbler7</t>
  </si>
  <si>
    <t>decWobbler8</t>
  </si>
  <si>
    <t>decWobbler9</t>
  </si>
  <si>
    <t>decWobbler10</t>
  </si>
  <si>
    <t>decWobbler11</t>
  </si>
  <si>
    <t>decWobbler12</t>
  </si>
  <si>
    <t>decWobbler13</t>
  </si>
  <si>
    <t>decWobbler14</t>
  </si>
  <si>
    <t>decWobbler15</t>
  </si>
  <si>
    <t>8A</t>
  </si>
  <si>
    <t>8B</t>
  </si>
  <si>
    <t>8C</t>
  </si>
  <si>
    <t>8D</t>
  </si>
  <si>
    <t>Harmonization Costs</t>
  </si>
  <si>
    <t>Base Harmonization</t>
  </si>
  <si>
    <t>paramESAT</t>
  </si>
  <si>
    <t>paramNPS</t>
  </si>
  <si>
    <t>paramRiskIndex</t>
  </si>
  <si>
    <t>Cost Additions</t>
  </si>
  <si>
    <t>Cost-Harm</t>
  </si>
  <si>
    <t>paramHarmonization</t>
  </si>
  <si>
    <t>dataHarmonizationBudget</t>
  </si>
  <si>
    <t>Annual Financials</t>
  </si>
  <si>
    <t>frmNav Controls</t>
  </si>
  <si>
    <t xml:space="preserve">  Input cell prepopulated with formula.</t>
  </si>
  <si>
    <t>Nav Buttons for Tool Pages</t>
  </si>
  <si>
    <t>Intro Page</t>
  </si>
  <si>
    <t>Tool Pages</t>
  </si>
  <si>
    <t>Opens frmNav</t>
  </si>
  <si>
    <t>Must assign ToolNavMenu macro</t>
  </si>
  <si>
    <t>Intro Page Start Button</t>
  </si>
  <si>
    <t>**Click on START button in outputs to browse current structure. Form will update and show after clicking the controls below.</t>
  </si>
  <si>
    <t>1) Enter desired number of tabs and rows in "tabCount" and "rowCount" (make sure to keep values in these cells)</t>
  </si>
  <si>
    <r>
      <t>2) Press "Tabulate Nav Layout" to update layout preferences</t>
    </r>
    <r>
      <rPr>
        <i/>
        <u/>
        <sz val="10"/>
        <color theme="1"/>
        <rFont val="Verdana"/>
        <family val="2"/>
      </rPr>
      <t/>
    </r>
  </si>
  <si>
    <t>3) In the cells for the remaining tabs and rows, enter the desired tab name, label text, and desired navigation target, and name of macro to run</t>
  </si>
  <si>
    <r>
      <t xml:space="preserve">a) </t>
    </r>
    <r>
      <rPr>
        <b/>
        <sz val="10"/>
        <color theme="1"/>
        <rFont val="Verdana"/>
        <family val="2"/>
      </rPr>
      <t>If you do not wish to navigate</t>
    </r>
    <r>
      <rPr>
        <sz val="10"/>
        <color theme="1"/>
        <rFont val="Verdana"/>
        <family val="2"/>
      </rPr>
      <t xml:space="preserve">, leave "Target Worksheet" blank. </t>
    </r>
    <r>
      <rPr>
        <b/>
        <sz val="10"/>
        <color theme="1"/>
        <rFont val="Verdana"/>
        <family val="2"/>
      </rPr>
      <t>If you do not wish to run a macro on click</t>
    </r>
    <r>
      <rPr>
        <sz val="10"/>
        <color theme="1"/>
        <rFont val="Verdana"/>
        <family val="2"/>
      </rPr>
      <t>, leave "Macro to Run" blank.</t>
    </r>
  </si>
  <si>
    <t>4) Assign button visibility as "True" or "False" as desired</t>
  </si>
  <si>
    <r>
      <t xml:space="preserve">5) For buttons assigned as "True," - upload a corresponding image / mouseover image </t>
    </r>
    <r>
      <rPr>
        <b/>
        <sz val="10"/>
        <color theme="1"/>
        <rFont val="Verdana"/>
        <family val="2"/>
      </rPr>
      <t>(must be JPEG only)</t>
    </r>
  </si>
  <si>
    <r>
      <t xml:space="preserve">6) Images must be uploaded and stored in a folder titled </t>
    </r>
    <r>
      <rPr>
        <b/>
        <sz val="10"/>
        <color theme="1"/>
        <rFont val="Verdana"/>
        <family val="2"/>
      </rPr>
      <t>"Images" in the same root folder</t>
    </r>
    <r>
      <rPr>
        <sz val="10"/>
        <color theme="1"/>
        <rFont val="Verdana"/>
        <family val="2"/>
      </rPr>
      <t xml:space="preserve"> as the simulation</t>
    </r>
  </si>
  <si>
    <t>7) Press "Format Nav Menu" to apply label and image changes</t>
  </si>
  <si>
    <t>Number of Tabs Desired</t>
  </si>
  <si>
    <t>tabCount</t>
  </si>
  <si>
    <t>Maximum Rows per Tab</t>
  </si>
  <si>
    <t>rowCount</t>
  </si>
  <si>
    <t>Intro Tool Page</t>
  </si>
  <si>
    <t>Tab Name</t>
  </si>
  <si>
    <t>tab1_text</t>
  </si>
  <si>
    <t>icon_macro[ ]</t>
  </si>
  <si>
    <t>Tab Visible?</t>
  </si>
  <si>
    <t>tab1_visible</t>
  </si>
  <si>
    <t>tab1_rows</t>
  </si>
  <si>
    <t>Label Text Row1</t>
  </si>
  <si>
    <t>label[ ]_text</t>
  </si>
  <si>
    <t>Image Filename</t>
  </si>
  <si>
    <t>Mouseover Image Filename</t>
  </si>
  <si>
    <t>Target Worksheet</t>
  </si>
  <si>
    <t>tlProd2</t>
  </si>
  <si>
    <t>tlProd3</t>
  </si>
  <si>
    <t>Macro to Run</t>
  </si>
  <si>
    <t>icon_script[ ]</t>
  </si>
  <si>
    <t>Row Used?</t>
  </si>
  <si>
    <t>Button visible?</t>
  </si>
  <si>
    <t>button[ ]_visible</t>
  </si>
  <si>
    <t>Label Text Row 2</t>
  </si>
  <si>
    <t>Label 4</t>
  </si>
  <si>
    <t>Label 5</t>
  </si>
  <si>
    <t>Label 6</t>
  </si>
  <si>
    <t>Communication_1</t>
  </si>
  <si>
    <t>Customer_Satisfaction_1</t>
  </si>
  <si>
    <t>Cycle</t>
  </si>
  <si>
    <t>tlProd4</t>
  </si>
  <si>
    <t>tlProd5</t>
  </si>
  <si>
    <t>tlProd6</t>
  </si>
  <si>
    <t>Label Text Row 3</t>
  </si>
  <si>
    <t>Label 7</t>
  </si>
  <si>
    <t>Label 8</t>
  </si>
  <si>
    <t>Label 9</t>
  </si>
  <si>
    <t>Delivery_1</t>
  </si>
  <si>
    <t>Email_1</t>
  </si>
  <si>
    <t>Experience_1</t>
  </si>
  <si>
    <t>tlProd7</t>
  </si>
  <si>
    <t>tlProd8</t>
  </si>
  <si>
    <t>tlProd9</t>
  </si>
  <si>
    <t>Tab 2</t>
  </si>
  <si>
    <t>tab2_text</t>
  </si>
  <si>
    <t>tab2_visible</t>
  </si>
  <si>
    <t>tab2_rows</t>
  </si>
  <si>
    <t>Label 10</t>
  </si>
  <si>
    <t>Label 11</t>
  </si>
  <si>
    <t>Label 12</t>
  </si>
  <si>
    <t>Experience_2</t>
  </si>
  <si>
    <t>Feedback_1</t>
  </si>
  <si>
    <t>Feedback_Communcation_1</t>
  </si>
  <si>
    <t>Label 13</t>
  </si>
  <si>
    <t>Label 14</t>
  </si>
  <si>
    <t>Label 15</t>
  </si>
  <si>
    <t>Find_Research_1</t>
  </si>
  <si>
    <t>Fire_1</t>
  </si>
  <si>
    <t>Gears_1</t>
  </si>
  <si>
    <t>Label 16</t>
  </si>
  <si>
    <t>Label 17</t>
  </si>
  <si>
    <t>Label 18</t>
  </si>
  <si>
    <t>Global_1</t>
  </si>
  <si>
    <t>Goal_Target_1</t>
  </si>
  <si>
    <t>Good_Job_1</t>
  </si>
  <si>
    <t>Tab 3</t>
  </si>
  <si>
    <t>tab3_text</t>
  </si>
  <si>
    <t>tab3_visible</t>
  </si>
  <si>
    <t>tab3_rows</t>
  </si>
  <si>
    <t>Label 19</t>
  </si>
  <si>
    <t>Label 20</t>
  </si>
  <si>
    <t>Label 21</t>
  </si>
  <si>
    <t>Growth_1</t>
  </si>
  <si>
    <t>Ideas_Knowledge_1</t>
  </si>
  <si>
    <t>Ideas_Knowledge_2</t>
  </si>
  <si>
    <t>Label 22</t>
  </si>
  <si>
    <t>Label 23</t>
  </si>
  <si>
    <t>Label 24</t>
  </si>
  <si>
    <t>Ideas_Knowledge_3</t>
  </si>
  <si>
    <t>Initiatives</t>
  </si>
  <si>
    <t>Interview_1</t>
  </si>
  <si>
    <t>Label 25</t>
  </si>
  <si>
    <t>Label 26</t>
  </si>
  <si>
    <t>Label 27</t>
  </si>
  <si>
    <t>Investment_1</t>
  </si>
  <si>
    <t>KickOff_1</t>
  </si>
  <si>
    <t>Leadership_1</t>
  </si>
  <si>
    <t>Tab 4</t>
  </si>
  <si>
    <t>tab4_text</t>
  </si>
  <si>
    <t>tab4_visible</t>
  </si>
  <si>
    <t>tab4_rows</t>
  </si>
  <si>
    <t>Label 28</t>
  </si>
  <si>
    <t>Label 29</t>
  </si>
  <si>
    <t>Label 30</t>
  </si>
  <si>
    <t>Leadership_Coaching_1</t>
  </si>
  <si>
    <t>Location_1</t>
  </si>
  <si>
    <t>Mobile_1</t>
  </si>
  <si>
    <t>Label 31</t>
  </si>
  <si>
    <t>Label 32</t>
  </si>
  <si>
    <t>Label 33</t>
  </si>
  <si>
    <t>Money_1</t>
  </si>
  <si>
    <t>Oil_1</t>
  </si>
  <si>
    <t>Label 34</t>
  </si>
  <si>
    <t>Label 35</t>
  </si>
  <si>
    <t>Label 36</t>
  </si>
  <si>
    <t>Person_1</t>
  </si>
  <si>
    <t>Person_2</t>
  </si>
  <si>
    <t>Tab 5</t>
  </si>
  <si>
    <t>tab5_text</t>
  </si>
  <si>
    <t>tab5_visible</t>
  </si>
  <si>
    <t>tab5_rows</t>
  </si>
  <si>
    <t>Label 37</t>
  </si>
  <si>
    <t>Label 38</t>
  </si>
  <si>
    <t>Label 39</t>
  </si>
  <si>
    <t>Person_3</t>
  </si>
  <si>
    <t>Person_4</t>
  </si>
  <si>
    <t>Person_Millenial_1</t>
  </si>
  <si>
    <t>Label 40</t>
  </si>
  <si>
    <t>Label 41</t>
  </si>
  <si>
    <t>Label 42</t>
  </si>
  <si>
    <t>PNL</t>
  </si>
  <si>
    <t>Presentation_1</t>
  </si>
  <si>
    <t>Process</t>
  </si>
  <si>
    <t>Label 43</t>
  </si>
  <si>
    <t>Label 44</t>
  </si>
  <si>
    <t>Label 45</t>
  </si>
  <si>
    <t>Program_1</t>
  </si>
  <si>
    <t>Puzzle_Strategic_1</t>
  </si>
  <si>
    <t>Questions_1</t>
  </si>
  <si>
    <t>Tab 6</t>
  </si>
  <si>
    <t>tab6_text</t>
  </si>
  <si>
    <t>tab6_visible</t>
  </si>
  <si>
    <t>tab6_rows</t>
  </si>
  <si>
    <t>Label 46</t>
  </si>
  <si>
    <t>Label 47</t>
  </si>
  <si>
    <t>Label 48</t>
  </si>
  <si>
    <t>Quote_Feedback_1</t>
  </si>
  <si>
    <t>Relationship</t>
  </si>
  <si>
    <t>Report</t>
  </si>
  <si>
    <t>Label 49</t>
  </si>
  <si>
    <t>Label 50</t>
  </si>
  <si>
    <t>Label 51</t>
  </si>
  <si>
    <t>Research_1</t>
  </si>
  <si>
    <t>Research_2</t>
  </si>
  <si>
    <t>Security_1</t>
  </si>
  <si>
    <t>Label 52</t>
  </si>
  <si>
    <t>Label 53</t>
  </si>
  <si>
    <t>Label 54</t>
  </si>
  <si>
    <t>Service</t>
  </si>
  <si>
    <t>Strength_1</t>
  </si>
  <si>
    <t>Take_Action_1</t>
  </si>
  <si>
    <t>Tab 7</t>
  </si>
  <si>
    <t>tab7_text</t>
  </si>
  <si>
    <t>tab7_visible</t>
  </si>
  <si>
    <t>tab7_rows</t>
  </si>
  <si>
    <t>Label 55</t>
  </si>
  <si>
    <t>Label 56</t>
  </si>
  <si>
    <t>Label 57</t>
  </si>
  <si>
    <t>Tasks_1</t>
  </si>
  <si>
    <t>Team_1</t>
  </si>
  <si>
    <t>Team_2</t>
  </si>
  <si>
    <t>Label 58</t>
  </si>
  <si>
    <t>Label 59</t>
  </si>
  <si>
    <t>Label 60</t>
  </si>
  <si>
    <t>Team_3</t>
  </si>
  <si>
    <t>Team_Growth_1</t>
  </si>
  <si>
    <t>Time_Speed_1</t>
  </si>
  <si>
    <t>Label 61</t>
  </si>
  <si>
    <t>Label 62</t>
  </si>
  <si>
    <t>Label 63</t>
  </si>
  <si>
    <t>Tools_1</t>
  </si>
  <si>
    <t>Tools_2</t>
  </si>
  <si>
    <t>Vision_1</t>
  </si>
  <si>
    <t>Tab 8</t>
  </si>
  <si>
    <t>tab8_text</t>
  </si>
  <si>
    <t>tab8_visible</t>
  </si>
  <si>
    <t>tab8_rows</t>
  </si>
  <si>
    <t>Label 64</t>
  </si>
  <si>
    <t>Label 65</t>
  </si>
  <si>
    <t>Label 66</t>
  </si>
  <si>
    <t>Work_Time_1</t>
  </si>
  <si>
    <t>icon_macro66</t>
  </si>
  <si>
    <t>Label 67</t>
  </si>
  <si>
    <t>Label 68</t>
  </si>
  <si>
    <t>Label 69</t>
  </si>
  <si>
    <t>Label 70</t>
  </si>
  <si>
    <t>Label 71</t>
  </si>
  <si>
    <t>Label 72</t>
  </si>
  <si>
    <t>ScreentoolProd7</t>
  </si>
  <si>
    <t>ScreentoolProd8</t>
  </si>
  <si>
    <t>ScreentoolProd9</t>
  </si>
  <si>
    <t>Q1</t>
  </si>
  <si>
    <t>Q2</t>
  </si>
  <si>
    <t>Q3</t>
  </si>
  <si>
    <t>Q4</t>
  </si>
  <si>
    <t>finQ1Rev</t>
  </si>
  <si>
    <t>calcQ1Rev</t>
  </si>
  <si>
    <t>Q1 Revenue</t>
  </si>
  <si>
    <t>Q2 Revenue</t>
  </si>
  <si>
    <t>finQ2Rev</t>
  </si>
  <si>
    <t>Q3 Revenue</t>
  </si>
  <si>
    <t>finQ3Rev</t>
  </si>
  <si>
    <t>Q4 Revenue</t>
  </si>
  <si>
    <t>finQ4Rev</t>
  </si>
  <si>
    <t>calcQ2Rev</t>
  </si>
  <si>
    <t>calcQ3Rev</t>
  </si>
  <si>
    <t>calcQ4Rev</t>
  </si>
  <si>
    <t>FinAnnualRev</t>
  </si>
  <si>
    <t>Cost-COS</t>
  </si>
  <si>
    <t>paramCOS</t>
  </si>
  <si>
    <t>calcQ1COSPerc</t>
  </si>
  <si>
    <t>calcQ2COSPerc</t>
  </si>
  <si>
    <t>calcQ4COSPerc</t>
  </si>
  <si>
    <t>calcQ3COSPerc</t>
  </si>
  <si>
    <t>Q1 COS</t>
  </si>
  <si>
    <t>finQ1COS</t>
  </si>
  <si>
    <t>Q4 COS</t>
  </si>
  <si>
    <t>finQ4COS</t>
  </si>
  <si>
    <t>Q3 COS</t>
  </si>
  <si>
    <t>finQ3COS</t>
  </si>
  <si>
    <t>Q2 COS</t>
  </si>
  <si>
    <t>finQ2COS</t>
  </si>
  <si>
    <t>Annual COS</t>
  </si>
  <si>
    <t>finAnnualCOS</t>
  </si>
  <si>
    <t>calcQ1MSExp</t>
  </si>
  <si>
    <t>calcQ4MSExp</t>
  </si>
  <si>
    <t>calcQ3MSExp</t>
  </si>
  <si>
    <t>calcQ2MSExp</t>
  </si>
  <si>
    <t>M&amp;S</t>
  </si>
  <si>
    <t>Q1 M&amp;S</t>
  </si>
  <si>
    <t>finQ1MSExp</t>
  </si>
  <si>
    <t>Q2 M&amp;S</t>
  </si>
  <si>
    <t>finQ2MSExp</t>
  </si>
  <si>
    <t>Q3 M&amp;S</t>
  </si>
  <si>
    <t>finQ3MSExp</t>
  </si>
  <si>
    <t>Q4 M&amp;S</t>
  </si>
  <si>
    <t>finQ4MSExp</t>
  </si>
  <si>
    <t>calcQ1RDExp</t>
  </si>
  <si>
    <t>calcQ2RDExp</t>
  </si>
  <si>
    <t>calcQ3RDExp</t>
  </si>
  <si>
    <t>calcQ4RDExp</t>
  </si>
  <si>
    <t>Annual M&amp;S</t>
  </si>
  <si>
    <t>finAnnualMSExp</t>
  </si>
  <si>
    <t>finQ1RDExp</t>
  </si>
  <si>
    <t>finQ2RDExp</t>
  </si>
  <si>
    <t>finQ3RDExp</t>
  </si>
  <si>
    <t>finQ4RDExp</t>
  </si>
  <si>
    <t>finAnnualRDExp</t>
  </si>
  <si>
    <t>finQ1GAExp</t>
  </si>
  <si>
    <t>finQ2GAExp</t>
  </si>
  <si>
    <t>finQ3GAExp</t>
  </si>
  <si>
    <t>finQ4GAExp</t>
  </si>
  <si>
    <t>finAnnualGAExp</t>
  </si>
  <si>
    <t>calcQ1GAExp</t>
  </si>
  <si>
    <t>calcQ2GAExp</t>
  </si>
  <si>
    <t>calcQ3GAExp</t>
  </si>
  <si>
    <t>calcQ4GAExp</t>
  </si>
  <si>
    <t>Operating Margin</t>
  </si>
  <si>
    <t>finAnnualGrossProfit</t>
  </si>
  <si>
    <t>Margin</t>
  </si>
  <si>
    <t>finAnnualGrossMargin</t>
  </si>
  <si>
    <t>calcQ1HarmExp</t>
  </si>
  <si>
    <t>Harmonization Percentage</t>
  </si>
  <si>
    <t>Total Harmonization Cost</t>
  </si>
  <si>
    <t>calcFullHarmExp</t>
  </si>
  <si>
    <t>Q1 Harmonization</t>
  </si>
  <si>
    <t>Timeline</t>
  </si>
  <si>
    <t>obalFTEs</t>
  </si>
  <si>
    <t>cbalFTEs</t>
  </si>
  <si>
    <t>Strategy Alignment</t>
  </si>
  <si>
    <t>Navigation Menu</t>
  </si>
  <si>
    <t>Network</t>
  </si>
  <si>
    <t>Operations</t>
  </si>
  <si>
    <t>tlV2MOM</t>
  </si>
  <si>
    <t>tlTimeline</t>
  </si>
  <si>
    <t>Harmonization Left After Q1</t>
  </si>
  <si>
    <t>calcHarmExpLeftPostQ1</t>
  </si>
  <si>
    <t>Q2 Harmonization</t>
  </si>
  <si>
    <t>calcQ2HarmExp</t>
  </si>
  <si>
    <t>calcHarmTimeline</t>
  </si>
  <si>
    <t>Harmonization Left After Q2</t>
  </si>
  <si>
    <t>calcHarmExpLeftPostQ2</t>
  </si>
  <si>
    <t>Q3 Harmonization</t>
  </si>
  <si>
    <t>calcQ3HarmExp</t>
  </si>
  <si>
    <t>Harmonization Left After Q3</t>
  </si>
  <si>
    <t>calcHarmExpLeftPostQ3</t>
  </si>
  <si>
    <t>Q4 Harmonization</t>
  </si>
  <si>
    <t>calcQ4HarmExp</t>
  </si>
  <si>
    <t>Harmonization Left After Q4</t>
  </si>
  <si>
    <t>calcHarmExpLeftPostQ4</t>
  </si>
  <si>
    <t>finQ1HarmExp</t>
  </si>
  <si>
    <t>finQ2HarmExp</t>
  </si>
  <si>
    <t>finQ3HarmExp</t>
  </si>
  <si>
    <t>finQ4HarmExp</t>
  </si>
  <si>
    <t>decPeopleTimeline</t>
  </si>
  <si>
    <t>Annual Harmonization</t>
  </si>
  <si>
    <t>finAnnualHarmExp</t>
  </si>
  <si>
    <t>IT Integration Cost</t>
  </si>
  <si>
    <t>Cost-IT</t>
  </si>
  <si>
    <t>paramITExp</t>
  </si>
  <si>
    <t>Integration Level</t>
  </si>
  <si>
    <t>IT Timeline</t>
  </si>
  <si>
    <t>decITIntegrationLevel</t>
  </si>
  <si>
    <t>decITOfficePlan</t>
  </si>
  <si>
    <t>Base Integration Cost</t>
  </si>
  <si>
    <t>dataITIntegrationCostR1</t>
  </si>
  <si>
    <t>dataITIntegrationCostR2</t>
  </si>
  <si>
    <t>dataITIntegrationCostR3</t>
  </si>
  <si>
    <t>IT Cost Left</t>
  </si>
  <si>
    <t>cbalITLeft</t>
  </si>
  <si>
    <t>Q1 IT</t>
  </si>
  <si>
    <t>Q2 IT</t>
  </si>
  <si>
    <t>Q3 IT</t>
  </si>
  <si>
    <t>Q4 IT</t>
  </si>
  <si>
    <t>Annual IT</t>
  </si>
  <si>
    <t>finQ1ITExp</t>
  </si>
  <si>
    <t>finQ2ITExp</t>
  </si>
  <si>
    <t>finQ3ITExp</t>
  </si>
  <si>
    <t>finQ4ITExp</t>
  </si>
  <si>
    <t>finAnnualITExp</t>
  </si>
  <si>
    <t>decSecurityP0RiskMitigation</t>
  </si>
  <si>
    <t>decSecurityP1RiskMitigation</t>
  </si>
  <si>
    <t>decSecurityP2RiskMitigation</t>
  </si>
  <si>
    <t>decSecurityBuildSiteInfrastructure</t>
  </si>
  <si>
    <t>Product Restrictions</t>
  </si>
  <si>
    <t>decSecurityProductRestrictions</t>
  </si>
  <si>
    <t>GTM</t>
  </si>
  <si>
    <t>Org 62 Migration Timeline</t>
  </si>
  <si>
    <t>External Sales Team</t>
  </si>
  <si>
    <t>decGTMOrg62Timeline</t>
  </si>
  <si>
    <t>decGTMExternalSales</t>
  </si>
  <si>
    <t>Opening Integration Expense Left</t>
  </si>
  <si>
    <t>Ending IT Integration Cost</t>
  </si>
  <si>
    <t>calcFullITExp</t>
  </si>
  <si>
    <t>calcITTimeline</t>
  </si>
  <si>
    <t>Quarterly</t>
  </si>
  <si>
    <t>calcQ1ITExp</t>
  </si>
  <si>
    <t>calcITExpLeftPostQ1</t>
  </si>
  <si>
    <t>calcQ2ITExp</t>
  </si>
  <si>
    <t>calcITExpLeftPostQ2</t>
  </si>
  <si>
    <t>calcQ3ITExp</t>
  </si>
  <si>
    <t>calcITExpLeftPostQ3</t>
  </si>
  <si>
    <t>calcQ4ITExp</t>
  </si>
  <si>
    <t>calcITExpLeftPostQ4</t>
  </si>
  <si>
    <t>IT Left After Q1</t>
  </si>
  <si>
    <t>IT Left After Q2</t>
  </si>
  <si>
    <t>IT Left After Q3</t>
  </si>
  <si>
    <t>IT Left After Q4</t>
  </si>
  <si>
    <t>Risk Integration Costs</t>
  </si>
  <si>
    <t>Trust Integration</t>
  </si>
  <si>
    <t>Trust Cost Left</t>
  </si>
  <si>
    <t>obalTrustCostLeft</t>
  </si>
  <si>
    <t>obalITCostLeft</t>
  </si>
  <si>
    <t>dataRiskP0Cost</t>
  </si>
  <si>
    <t>dataRiskP1Cost</t>
  </si>
  <si>
    <t>dataRiskP2Cost</t>
  </si>
  <si>
    <t>Opening Costs</t>
  </si>
  <si>
    <t>P0 Costs</t>
  </si>
  <si>
    <t>P1 Costs</t>
  </si>
  <si>
    <t>calcImmediateP0Cost</t>
  </si>
  <si>
    <t>calcImmediateP1Cost</t>
  </si>
  <si>
    <t>P2 Costs</t>
  </si>
  <si>
    <t>calcImmediateP2Cost</t>
  </si>
  <si>
    <t>calcFullTrustExp</t>
  </si>
  <si>
    <t>Full Risk Trust Expense</t>
  </si>
  <si>
    <t>Base Infrastructure Cost</t>
  </si>
  <si>
    <t>dataSecurityOfficeInfrastructure</t>
  </si>
  <si>
    <t>Risk Mitigation Timeline</t>
  </si>
  <si>
    <t>calcTrustTimeline</t>
  </si>
  <si>
    <t>Q1 Trust</t>
  </si>
  <si>
    <t>calcQ1TrustExp</t>
  </si>
  <si>
    <t>Trust Left After Q1</t>
  </si>
  <si>
    <t>calcTrustExpLeftPostQ1</t>
  </si>
  <si>
    <t>Q2 Trust</t>
  </si>
  <si>
    <t>calcQ2TrustExp</t>
  </si>
  <si>
    <t>Trust Left After Q2</t>
  </si>
  <si>
    <t>calcTrustExpLeftPostQ2</t>
  </si>
  <si>
    <t>Q3 Trust</t>
  </si>
  <si>
    <t>calcQ3TrustExp</t>
  </si>
  <si>
    <t>Trust Left After Q3</t>
  </si>
  <si>
    <t>calcTrustExpLeftPostQ3</t>
  </si>
  <si>
    <t>Q4 Trust</t>
  </si>
  <si>
    <t>calcQ4TrustExp</t>
  </si>
  <si>
    <t>Trust Left After Q4</t>
  </si>
  <si>
    <t>calcTrustExpLeftPostQ4</t>
  </si>
  <si>
    <t>finQ1TrustExp</t>
  </si>
  <si>
    <t>finQ2TrustExp</t>
  </si>
  <si>
    <t>finQ3TrustExp</t>
  </si>
  <si>
    <t>finQ4TrustExp</t>
  </si>
  <si>
    <t>Annual Trust</t>
  </si>
  <si>
    <t>finAnnualTrustExp</t>
  </si>
  <si>
    <t>Product Integration Costs</t>
  </si>
  <si>
    <t>Q1 G&amp;A</t>
  </si>
  <si>
    <t>Q2 G&amp;A</t>
  </si>
  <si>
    <t>Q3 G&amp;A</t>
  </si>
  <si>
    <t>Q4 G&amp;A</t>
  </si>
  <si>
    <t>Annual G&amp;A</t>
  </si>
  <si>
    <t>Q1 R&amp;D</t>
  </si>
  <si>
    <t>Q2 R&amp;D</t>
  </si>
  <si>
    <t>Q3 R&amp;D</t>
  </si>
  <si>
    <t>Q4 R&amp;D</t>
  </si>
  <si>
    <t>Annual R&amp;D</t>
  </si>
  <si>
    <t>Product Costs</t>
  </si>
  <si>
    <t>Org62 Migration Opening Costs</t>
  </si>
  <si>
    <t>Org62 Cost Left</t>
  </si>
  <si>
    <t>obalOrg62CostLeft</t>
  </si>
  <si>
    <t>cbalTrustCostLeft</t>
  </si>
  <si>
    <t>cbalOrg62CostLeft</t>
  </si>
  <si>
    <t>Harmonization Proportion</t>
  </si>
  <si>
    <t>Cost-Org62</t>
  </si>
  <si>
    <t>Org62Migration</t>
  </si>
  <si>
    <t>paramOrg62Migration</t>
  </si>
  <si>
    <t>calcFullOrg62Exp</t>
  </si>
  <si>
    <t>calcOrg62Timeline</t>
  </si>
  <si>
    <t>Org62 Timeline</t>
  </si>
  <si>
    <t>Q1 Org62</t>
  </si>
  <si>
    <t>calcQ1Org62Exp</t>
  </si>
  <si>
    <t>Org62 Left After Q1</t>
  </si>
  <si>
    <t>calcOrg62ExpLeftPostQ1</t>
  </si>
  <si>
    <t>Q2 Org62</t>
  </si>
  <si>
    <t>calcQ2Org62Exp</t>
  </si>
  <si>
    <t>Org62 Left After Q2</t>
  </si>
  <si>
    <t>calcOrg62ExpLeftPostQ2</t>
  </si>
  <si>
    <t>Q3 Org62</t>
  </si>
  <si>
    <t>calcQ3Org62Exp</t>
  </si>
  <si>
    <t>Org62 Left After Q3</t>
  </si>
  <si>
    <t>calcOrg62ExpLeftPostQ3</t>
  </si>
  <si>
    <t>Q4 Org62</t>
  </si>
  <si>
    <t>calcQ4Org62Exp</t>
  </si>
  <si>
    <t>Org62 Left After Q4</t>
  </si>
  <si>
    <t>calcOrg62ExpLeftPostQ4</t>
  </si>
  <si>
    <t>Org62 Integration</t>
  </si>
  <si>
    <t>finQ1Org62Exp</t>
  </si>
  <si>
    <t>finQ2Org62Exp</t>
  </si>
  <si>
    <t>finQ3Org62Exp</t>
  </si>
  <si>
    <t>finQ4Org62Exp</t>
  </si>
  <si>
    <t>Annual Org62</t>
  </si>
  <si>
    <t>finAnnualOrg62Exp</t>
  </si>
  <si>
    <t>finAnnualOpProfit</t>
  </si>
  <si>
    <t>finAnnualOpMargin</t>
  </si>
  <si>
    <t>Integrated Operating Profit</t>
  </si>
  <si>
    <t>finAnnualIntegratedOpProfit</t>
  </si>
  <si>
    <t>finAnnualIntegratedOpMargin</t>
  </si>
  <si>
    <t>Org62 Migration</t>
  </si>
  <si>
    <t>Resource Donut</t>
  </si>
  <si>
    <t>Trust</t>
  </si>
  <si>
    <t>Real Estate Strategy</t>
  </si>
  <si>
    <t>Integrate</t>
  </si>
  <si>
    <t>dataStackIntegrationCost</t>
  </si>
  <si>
    <t>calcFullStackExp</t>
  </si>
  <si>
    <t>Ending Stack Integration Cost</t>
  </si>
  <si>
    <t>dataProductFeatureEnhancement</t>
  </si>
  <si>
    <t>Q1 Stack</t>
  </si>
  <si>
    <t>calcQ1StackExp</t>
  </si>
  <si>
    <t>Stack Left After Q1</t>
  </si>
  <si>
    <t>calcStackExpLeftPostQ1</t>
  </si>
  <si>
    <t>Q2 Stack</t>
  </si>
  <si>
    <t>calcQ2StackExp</t>
  </si>
  <si>
    <t>Stack Left After Q2</t>
  </si>
  <si>
    <t>calcStackExpLeftPostQ2</t>
  </si>
  <si>
    <t>Q3 Stack</t>
  </si>
  <si>
    <t>calcQ3StackExp</t>
  </si>
  <si>
    <t>Stack Left After Q3</t>
  </si>
  <si>
    <t>calcStackExpLeftPostQ3</t>
  </si>
  <si>
    <t>Q4 Stack</t>
  </si>
  <si>
    <t>calcQ4StackExp</t>
  </si>
  <si>
    <t>Stack Left After Q4</t>
  </si>
  <si>
    <t>calcStackExpLeftPostQ4</t>
  </si>
  <si>
    <t>calcStackTimeline</t>
  </si>
  <si>
    <t>finQ1StackExp</t>
  </si>
  <si>
    <t>finQ2StackExp</t>
  </si>
  <si>
    <t>finQ3StackExp</t>
  </si>
  <si>
    <t>finQ4StackExp</t>
  </si>
  <si>
    <t>Annual Stack</t>
  </si>
  <si>
    <t>finAnnualStackExp</t>
  </si>
  <si>
    <t>Office Strategy</t>
  </si>
  <si>
    <t>dataGAMigrationCost</t>
  </si>
  <si>
    <t>cbalTimelineLength1</t>
  </si>
  <si>
    <t>cbalTimelineLength2</t>
  </si>
  <si>
    <t>cbalTimelineLength3</t>
  </si>
  <si>
    <t>cbalTimelineLength4</t>
  </si>
  <si>
    <t>cbalTimeline</t>
  </si>
  <si>
    <t>cbalTimelineBudget</t>
  </si>
  <si>
    <t>cbalTimelineGAMigration</t>
  </si>
  <si>
    <t>cbalPeopleTimeline</t>
  </si>
  <si>
    <t>cbalPeopleHarmonizationLevel</t>
  </si>
  <si>
    <t>cbalITIntegrationLevel</t>
  </si>
  <si>
    <t>cbalITOfficePlan</t>
  </si>
  <si>
    <t>cbalSecurityP0RiskMitigation</t>
  </si>
  <si>
    <t>cbalSecurityP1RiskMitigation</t>
  </si>
  <si>
    <t>cbalSecurityP2RiskMitigation</t>
  </si>
  <si>
    <t>cbalSecurityBuildSiteInfrastructure</t>
  </si>
  <si>
    <t>cbalSecurityProductRestrictions</t>
  </si>
  <si>
    <t>cbalGTMOrg62Timeline</t>
  </si>
  <si>
    <t>cbalGTMExternalSales</t>
  </si>
  <si>
    <t>cbalWobbler1</t>
  </si>
  <si>
    <t>cbalWobbler2</t>
  </si>
  <si>
    <t>cbalWobbler3</t>
  </si>
  <si>
    <t>cbalWobbler4</t>
  </si>
  <si>
    <t>cbalWobbler5</t>
  </si>
  <si>
    <t>cbalWobbler6</t>
  </si>
  <si>
    <t>cbalWobbler7</t>
  </si>
  <si>
    <t>cbalWobbler8</t>
  </si>
  <si>
    <t>cbalWobbler9</t>
  </si>
  <si>
    <t>cbalWobbler10</t>
  </si>
  <si>
    <t>cbalWobbler11</t>
  </si>
  <si>
    <t>cbalWobbler12</t>
  </si>
  <si>
    <t>cbalWobbler13</t>
  </si>
  <si>
    <t>cbalWobbler14</t>
  </si>
  <si>
    <t>cbalWobbler15</t>
  </si>
  <si>
    <t>obalTimelineLength1</t>
  </si>
  <si>
    <t>obalTimelineLength2</t>
  </si>
  <si>
    <t>obalTimelineLength3</t>
  </si>
  <si>
    <t>obalTimelineLength4</t>
  </si>
  <si>
    <t>obalTimeline</t>
  </si>
  <si>
    <t>obalTimelineBudget</t>
  </si>
  <si>
    <t>obalTimelineGAMigration</t>
  </si>
  <si>
    <t>obalPeopleTimeline</t>
  </si>
  <si>
    <t>obalPeopleHarmonizationLevel</t>
  </si>
  <si>
    <t>obalITIntegrationLevel</t>
  </si>
  <si>
    <t>obalITOfficePlan</t>
  </si>
  <si>
    <t>obalSecurityP0RiskMitigation</t>
  </si>
  <si>
    <t>obalSecurityP1RiskMitigation</t>
  </si>
  <si>
    <t>obalSecurityP2RiskMitigation</t>
  </si>
  <si>
    <t>obalSecurityBuildSiteInfrastructure</t>
  </si>
  <si>
    <t>obalSecurityProductRestrictions</t>
  </si>
  <si>
    <t>obalGTMOrg62Timeline</t>
  </si>
  <si>
    <t>obalGTMExternalSales</t>
  </si>
  <si>
    <t>obalWobbler1</t>
  </si>
  <si>
    <t>obalWobbler2</t>
  </si>
  <si>
    <t>obalWobbler3</t>
  </si>
  <si>
    <t>obalWobbler4</t>
  </si>
  <si>
    <t>obalWobbler5</t>
  </si>
  <si>
    <t>obalWobbler6</t>
  </si>
  <si>
    <t>obalWobbler7</t>
  </si>
  <si>
    <t>obalWobbler8</t>
  </si>
  <si>
    <t>obalWobbler9</t>
  </si>
  <si>
    <t>obalWobbler10</t>
  </si>
  <si>
    <t>obalWobbler11</t>
  </si>
  <si>
    <t>obalWobbler12</t>
  </si>
  <si>
    <t>obalWobbler13</t>
  </si>
  <si>
    <t>obalWobbler14</t>
  </si>
  <si>
    <t>obalWobbler15</t>
  </si>
  <si>
    <t>Back Office</t>
  </si>
  <si>
    <t>End User Devices</t>
  </si>
  <si>
    <t>Harmonization/Compensation</t>
  </si>
  <si>
    <t>Operating Expense Percentages</t>
  </si>
  <si>
    <t>obalMSPerc</t>
  </si>
  <si>
    <t>obalRDPerc</t>
  </si>
  <si>
    <t>obalGAPerc</t>
  </si>
  <si>
    <t>cbalMSPerc</t>
  </si>
  <si>
    <t>cbalRDPerc</t>
  </si>
  <si>
    <t>cbalGAPerc</t>
  </si>
  <si>
    <t>As Percentage of Revenue</t>
  </si>
  <si>
    <t>calcEndingMSPerc</t>
  </si>
  <si>
    <t>calcEndingRDPerc</t>
  </si>
  <si>
    <t>calcEndingGAPerc</t>
  </si>
  <si>
    <t>General &amp; Administration</t>
  </si>
  <si>
    <t>Revenue Seasonality</t>
  </si>
  <si>
    <t>obalQ1RevPerc</t>
  </si>
  <si>
    <t>obalQ2RevPerc</t>
  </si>
  <si>
    <t>obalQ3RevPerc</t>
  </si>
  <si>
    <t>obalQ4RevPerc</t>
  </si>
  <si>
    <t>cbalQ1RevPerc</t>
  </si>
  <si>
    <t>cbalQ2RevPerc</t>
  </si>
  <si>
    <t>cbalQ3RevPerc</t>
  </si>
  <si>
    <t>cbalQ4RevPerc</t>
  </si>
  <si>
    <t>Choose Value</t>
  </si>
  <si>
    <t>Growth</t>
  </si>
  <si>
    <t>dataValuesList</t>
  </si>
  <si>
    <t>Y1</t>
  </si>
  <si>
    <t>Y2</t>
  </si>
  <si>
    <t>Expected Timeline</t>
  </si>
  <si>
    <t>Starting</t>
  </si>
  <si>
    <t>Engagement Level</t>
  </si>
  <si>
    <t>Key Talent</t>
  </si>
  <si>
    <t>Delay</t>
  </si>
  <si>
    <t>Baseline Growth</t>
  </si>
  <si>
    <t>Growth Additions</t>
  </si>
  <si>
    <t>Growth-Base</t>
  </si>
  <si>
    <t>paramACVGrowthBaseline</t>
  </si>
  <si>
    <t>All Other</t>
  </si>
  <si>
    <t>NonKey Harm Level</t>
  </si>
  <si>
    <t>Key Talent Harm Level</t>
  </si>
  <si>
    <t>decPeopleNonKeyHarmonizationLevel</t>
  </si>
  <si>
    <t>Key Talent Proportion</t>
  </si>
  <si>
    <t>dataKeyTalentProportion</t>
  </si>
  <si>
    <t>dataNonKeyTalentProportion</t>
  </si>
  <si>
    <t>KeyHarmonization Cost Left</t>
  </si>
  <si>
    <t>Non Key Harmonization Cost Left</t>
  </si>
  <si>
    <t>obalNonKeyHarmonizationLeft</t>
  </si>
  <si>
    <t>cbalNonKeyHarmonizationLeft</t>
  </si>
  <si>
    <t>cbalKeyHarmonizationLeft</t>
  </si>
  <si>
    <t>obalKeyHarmonizationLeft</t>
  </si>
  <si>
    <t>Non Key</t>
  </si>
  <si>
    <t>calcKeyHarmExp</t>
  </si>
  <si>
    <t>calcNonKeyHarmExp</t>
  </si>
  <si>
    <t>Event Impacts</t>
  </si>
  <si>
    <t>calcHarmExpEventImpacts</t>
  </si>
  <si>
    <t>Timeline for Integration</t>
  </si>
  <si>
    <t>Base G&amp;A Migration Cost</t>
  </si>
  <si>
    <t>Base Feature Enhancement Cost</t>
  </si>
  <si>
    <t>Base Stack Integration Cost</t>
  </si>
  <si>
    <t>dataRealEstateExistingCost</t>
  </si>
  <si>
    <t>dataRealEstateInCloudCost</t>
  </si>
  <si>
    <t>Base RE Cost</t>
  </si>
  <si>
    <t>Real Estate Decision</t>
  </si>
  <si>
    <t>Initial Cost</t>
  </si>
  <si>
    <t>Infrastructure Build Out</t>
  </si>
  <si>
    <t>Infrastructure Build Out Cost</t>
  </si>
  <si>
    <t>dataSecurityREInfrastructureCost</t>
  </si>
  <si>
    <t>calcSiteInfrastructureBuildOutCost</t>
  </si>
  <si>
    <t>calcRealEsateCost</t>
  </si>
  <si>
    <t>Q1 GAMigration</t>
  </si>
  <si>
    <t>Q2 GAMigration</t>
  </si>
  <si>
    <t>Q3 GAMigration</t>
  </si>
  <si>
    <t>Q4 GAMigration</t>
  </si>
  <si>
    <t>Base Packaging/Pricing Cost</t>
  </si>
  <si>
    <t>dataPackagingPricingCost</t>
  </si>
  <si>
    <t>Ending Packacing/Pricing Costs</t>
  </si>
  <si>
    <t>Q1 PackagingPricing</t>
  </si>
  <si>
    <t>Q2 PackagingPricing</t>
  </si>
  <si>
    <t>Q3 PackagingPricing</t>
  </si>
  <si>
    <t>Q4 PackagingPricing</t>
  </si>
  <si>
    <t>Office Plan Expenses</t>
  </si>
  <si>
    <t>G&amp;A Migration Expenses</t>
  </si>
  <si>
    <t>calcRETimeline</t>
  </si>
  <si>
    <t>Total Real Estate Cost</t>
  </si>
  <si>
    <t>Q1 RE</t>
  </si>
  <si>
    <t>RE Left After Q1</t>
  </si>
  <si>
    <t>Q2 RE</t>
  </si>
  <si>
    <t>RE Left After Q2</t>
  </si>
  <si>
    <t>Q3 RE</t>
  </si>
  <si>
    <t>RE Left After Q3</t>
  </si>
  <si>
    <t>Q4 RE</t>
  </si>
  <si>
    <t>RE Left After Q4</t>
  </si>
  <si>
    <t>calcFullREExp</t>
  </si>
  <si>
    <t>calcQ1FullREExp</t>
  </si>
  <si>
    <t>calcFullREExpLeftPostQ1</t>
  </si>
  <si>
    <t>calcQ2FullREExp</t>
  </si>
  <si>
    <t>calcFullREExpLeftPostQ2</t>
  </si>
  <si>
    <t>calcQ3FullREExp</t>
  </si>
  <si>
    <t>calcFullREExpLeftPostQ3</t>
  </si>
  <si>
    <t>calcQ4FullREExp</t>
  </si>
  <si>
    <t>calcFullREExpLeftPostQ4</t>
  </si>
  <si>
    <t>finQ1FullREExp</t>
  </si>
  <si>
    <t>finQ2FullREExp</t>
  </si>
  <si>
    <t>finQ3FullREExp</t>
  </si>
  <si>
    <t>finQ4FullREExp</t>
  </si>
  <si>
    <t>finAnnualFullREExp</t>
  </si>
  <si>
    <t>Q1 Real Estate</t>
  </si>
  <si>
    <t>Q2 Real Estate</t>
  </si>
  <si>
    <t>Q3 Real Estate</t>
  </si>
  <si>
    <t>Q4 Real Estate</t>
  </si>
  <si>
    <t>finQ1GAMigrationExp</t>
  </si>
  <si>
    <t>finQ2GAMigrationExp</t>
  </si>
  <si>
    <t>finQ3GAMigrationExp</t>
  </si>
  <si>
    <t>finQ4GAMigrationExp</t>
  </si>
  <si>
    <t>Annual GAMigration</t>
  </si>
  <si>
    <t>finAnnualGAMigrationExp</t>
  </si>
  <si>
    <t>finQ1PackagingPricingExp</t>
  </si>
  <si>
    <t>finQ2PackagingPricingExp</t>
  </si>
  <si>
    <t>finQ3PackagingPricingExp</t>
  </si>
  <si>
    <t>finQ4PackagingPricingExp</t>
  </si>
  <si>
    <t>Annual PackagingPricing</t>
  </si>
  <si>
    <t>finAnnualPackagingPricingExp</t>
  </si>
  <si>
    <t>Transaction/Revenue Write Down Cost</t>
  </si>
  <si>
    <t>Base Total Cost</t>
  </si>
  <si>
    <t>calcBaseRevWriteDownCost</t>
  </si>
  <si>
    <t>calcQ1RevWriteDownExp</t>
  </si>
  <si>
    <t>calcQ2RevWriteDownExp</t>
  </si>
  <si>
    <t>calcQ3RevWriteDownExp</t>
  </si>
  <si>
    <t>calcQ4RevWriteDownExp</t>
  </si>
  <si>
    <t>Exp Left</t>
  </si>
  <si>
    <t>calcRevWriteExpPostQ1</t>
  </si>
  <si>
    <t>calcRevWriteExpPostQ2</t>
  </si>
  <si>
    <t>calcRevWriteExpPostQ3</t>
  </si>
  <si>
    <t>calcRevWriteExpPostQ4</t>
  </si>
  <si>
    <t>Transaction/Rev Write Down</t>
  </si>
  <si>
    <t>Q1 Rev Write Down</t>
  </si>
  <si>
    <t>finQ1RevWriteDownExp</t>
  </si>
  <si>
    <t>Q2 Rev Write Down</t>
  </si>
  <si>
    <t>finQ2RevWriteDownExp</t>
  </si>
  <si>
    <t>Q3 Rev Write Down</t>
  </si>
  <si>
    <t>finQ3RevWriteDownExp</t>
  </si>
  <si>
    <t>Q4 Rev Write Down</t>
  </si>
  <si>
    <t>finQ4RevWriteDownExp</t>
  </si>
  <si>
    <t>Annual RevWriteDown</t>
  </si>
  <si>
    <t>finAnnualRevWriteDownExp</t>
  </si>
  <si>
    <t>Y2Q1</t>
  </si>
  <si>
    <t>calcY2Q1Rev</t>
  </si>
  <si>
    <t>calcY2Q1COSPerc</t>
  </si>
  <si>
    <t>calcY2Q1MSExp</t>
  </si>
  <si>
    <t>calcY2Q1RDExp</t>
  </si>
  <si>
    <t>calcY2Q1GAExp</t>
  </si>
  <si>
    <t>Y2Q1 Harmonization</t>
  </si>
  <si>
    <t>calcY2Q1HarmExp</t>
  </si>
  <si>
    <t>Harmonization Left After Y2Q1</t>
  </si>
  <si>
    <t>calcHarmExpLeftPostY2Q1</t>
  </si>
  <si>
    <t>Y2Q1 IT</t>
  </si>
  <si>
    <t>calcY2Q1ITExp</t>
  </si>
  <si>
    <t>IT Left After Y2Q1</t>
  </si>
  <si>
    <t>calcITExpLeftPostY2Q1</t>
  </si>
  <si>
    <t>Y2Q1 GAMigration</t>
  </si>
  <si>
    <t>Y2Q1 RE</t>
  </si>
  <si>
    <t>calcY2Q1FullREExp</t>
  </si>
  <si>
    <t>RE Left After Y2Q1</t>
  </si>
  <si>
    <t>calcFullREExpLeftPostY2Q1</t>
  </si>
  <si>
    <t>Y2Q1 Trust</t>
  </si>
  <si>
    <t>calcY2Q1TrustExp</t>
  </si>
  <si>
    <t>Trust Left After Y2Q1</t>
  </si>
  <si>
    <t>calcTrustExpLeftPostY2Q1</t>
  </si>
  <si>
    <t>Y2Q1 Org62</t>
  </si>
  <si>
    <t>calcY2Q1Org62Exp</t>
  </si>
  <si>
    <t>Org62 Left After Y2Q1</t>
  </si>
  <si>
    <t>calcOrg62ExpLeftPostY2Q1</t>
  </si>
  <si>
    <t>Y2Q1 Stack</t>
  </si>
  <si>
    <t>calcY2Q1StackExp</t>
  </si>
  <si>
    <t>Stack Left After Y2Q1</t>
  </si>
  <si>
    <t>calcStackExpLeftPostY2Q1</t>
  </si>
  <si>
    <t>Y2Q1 PackagingPricing</t>
  </si>
  <si>
    <t>calcY2Q1RevWriteDownExp</t>
  </si>
  <si>
    <t>calcRevWriteExpPostY2Q1</t>
  </si>
  <si>
    <t>Y2Q2</t>
  </si>
  <si>
    <t>calcY2Q2Rev</t>
  </si>
  <si>
    <t>calcY2Q2COSPerc</t>
  </si>
  <si>
    <t>calcY2Q2MSExp</t>
  </si>
  <si>
    <t>calcY2Q2RDExp</t>
  </si>
  <si>
    <t>calcY2Q2GAExp</t>
  </si>
  <si>
    <t>Y2Q2 Harmonization</t>
  </si>
  <si>
    <t>calcY2Q2HarmExp</t>
  </si>
  <si>
    <t>Harmonization Left After Y2Q2</t>
  </si>
  <si>
    <t>calcHarmExpLeftPostY2Q2</t>
  </si>
  <si>
    <t>Y2Q2 IT</t>
  </si>
  <si>
    <t>calcY2Q2ITExp</t>
  </si>
  <si>
    <t>IT Left After Y2Q2</t>
  </si>
  <si>
    <t>calcITExpLeftPostY2Q2</t>
  </si>
  <si>
    <t>Y2Q2 GAMigration</t>
  </si>
  <si>
    <t>Y2Q2 RE</t>
  </si>
  <si>
    <t>calcY2Q2FullREExp</t>
  </si>
  <si>
    <t>RE Left After Y2Q2</t>
  </si>
  <si>
    <t>calcFullREExpLeftPostY2Q2</t>
  </si>
  <si>
    <t>Y2Q2 Trust</t>
  </si>
  <si>
    <t>calcY2Q2TrustExp</t>
  </si>
  <si>
    <t>Trust Left After Y2Q2</t>
  </si>
  <si>
    <t>calcTrustExpLeftPostY2Q2</t>
  </si>
  <si>
    <t>Y2Q2 Org62</t>
  </si>
  <si>
    <t>calcY2Q2Org62Exp</t>
  </si>
  <si>
    <t>Org62 Left After Y2Q2</t>
  </si>
  <si>
    <t>calcOrg62ExpLeftPostY2Q2</t>
  </si>
  <si>
    <t>Y2Q2 Stack</t>
  </si>
  <si>
    <t>calcY2Q2StackExp</t>
  </si>
  <si>
    <t>Stack Left After Y2Q2</t>
  </si>
  <si>
    <t>calcStackExpLeftPostY2Q2</t>
  </si>
  <si>
    <t>Y2Q2 PackagingPricing</t>
  </si>
  <si>
    <t>calcY2Q2RevWriteDownExp</t>
  </si>
  <si>
    <t>calcRevWriteExpPostY2Q2</t>
  </si>
  <si>
    <t>Y2Q3</t>
  </si>
  <si>
    <t>calcY2Q3Rev</t>
  </si>
  <si>
    <t>calcY2Q3COSPerc</t>
  </si>
  <si>
    <t>calcY2Q3MSExp</t>
  </si>
  <si>
    <t>calcY2Q3RDExp</t>
  </si>
  <si>
    <t>calcY2Q3GAExp</t>
  </si>
  <si>
    <t>Y2Q3 Harmonization</t>
  </si>
  <si>
    <t>calcY2Q3HarmExp</t>
  </si>
  <si>
    <t>Harmonization Left After Y2Q3</t>
  </si>
  <si>
    <t>calcHarmExpLeftPostY2Q3</t>
  </si>
  <si>
    <t>Y2Q3 IT</t>
  </si>
  <si>
    <t>calcY2Q3ITExp</t>
  </si>
  <si>
    <t>IT Left After Y2Q3</t>
  </si>
  <si>
    <t>calcITExpLeftPostY2Q3</t>
  </si>
  <si>
    <t>Y2Q3 GAMigration</t>
  </si>
  <si>
    <t>Y2Q3 RE</t>
  </si>
  <si>
    <t>calcY2Q3FullREExp</t>
  </si>
  <si>
    <t>RE Left After Y2Q3</t>
  </si>
  <si>
    <t>calcFullREExpLeftPostY2Q3</t>
  </si>
  <si>
    <t>Y2Q3 Trust</t>
  </si>
  <si>
    <t>calcY2Q3TrustExp</t>
  </si>
  <si>
    <t>Trust Left After Y2Q3</t>
  </si>
  <si>
    <t>calcTrustExpLeftPostY2Q3</t>
  </si>
  <si>
    <t>Y2Q3 Org62</t>
  </si>
  <si>
    <t>calcY2Q3Org62Exp</t>
  </si>
  <si>
    <t>Org62 Left After Y2Q3</t>
  </si>
  <si>
    <t>calcOrg62ExpLeftPostY2Q3</t>
  </si>
  <si>
    <t>Y2Q3 Stack</t>
  </si>
  <si>
    <t>calcY2Q3StackExp</t>
  </si>
  <si>
    <t>Stack Left After Y2Q3</t>
  </si>
  <si>
    <t>calcStackExpLeftPostY2Q3</t>
  </si>
  <si>
    <t>Y2Q3 PackagingPricing</t>
  </si>
  <si>
    <t>calcY2Q3RevWriteDownExp</t>
  </si>
  <si>
    <t>calcRevWriteExpPostY2Q3</t>
  </si>
  <si>
    <t>Y2Q4</t>
  </si>
  <si>
    <t>calcY2Q4Rev</t>
  </si>
  <si>
    <t>calcY2Q4COSPerc</t>
  </si>
  <si>
    <t>calcY2Q4MSExp</t>
  </si>
  <si>
    <t>calcY2Q4RDExp</t>
  </si>
  <si>
    <t>calcY2Q4GAExp</t>
  </si>
  <si>
    <t>Y2Q4 Harmonization</t>
  </si>
  <si>
    <t>calcY2Q4HarmExp</t>
  </si>
  <si>
    <t>Harmonization Left After Y2Q4</t>
  </si>
  <si>
    <t>calcHarmExpLeftPostY2Q4</t>
  </si>
  <si>
    <t>Y2Q4 IT</t>
  </si>
  <si>
    <t>calcY2Q4ITExp</t>
  </si>
  <si>
    <t>IT Left After Y2Q4</t>
  </si>
  <si>
    <t>calcITExpLeftPostY2Q4</t>
  </si>
  <si>
    <t>Y2Q4 GAMigration</t>
  </si>
  <si>
    <t>Y2Q4 RE</t>
  </si>
  <si>
    <t>calcY2Q4FullREExp</t>
  </si>
  <si>
    <t>RE Left After Y2Q4</t>
  </si>
  <si>
    <t>calcFullREExpLeftPostY2Q4</t>
  </si>
  <si>
    <t>Y2Q4 Trust</t>
  </si>
  <si>
    <t>calcY2Q4TrustExp</t>
  </si>
  <si>
    <t>Trust Left After Y2Q4</t>
  </si>
  <si>
    <t>calcTrustExpLeftPostY2Q4</t>
  </si>
  <si>
    <t>Y2Q4 Org62</t>
  </si>
  <si>
    <t>calcY2Q4Org62Exp</t>
  </si>
  <si>
    <t>Org62 Left After Y2Q4</t>
  </si>
  <si>
    <t>calcOrg62ExpLeftPostY2Q4</t>
  </si>
  <si>
    <t>Y2Q4 Stack</t>
  </si>
  <si>
    <t>calcY2Q4StackExp</t>
  </si>
  <si>
    <t>Stack Left After Y2Q4</t>
  </si>
  <si>
    <t>calcStackExpLeftPostY2Q4</t>
  </si>
  <si>
    <t>Y2Q4 PackagingPricing</t>
  </si>
  <si>
    <t>calcY2Q4RevWriteDownExp</t>
  </si>
  <si>
    <t>calcRevWriteExpPostY2Q4</t>
  </si>
  <si>
    <t>calcFullHarmExpY2</t>
  </si>
  <si>
    <t>calcNonKeyHarmExpY2</t>
  </si>
  <si>
    <t>calcHarmExpEventImpactsY2</t>
  </si>
  <si>
    <t>calcKeyHarmExpY2</t>
  </si>
  <si>
    <t>calcFullITExpY2</t>
  </si>
  <si>
    <t>calcRealEsateCostY2</t>
  </si>
  <si>
    <t>calcSiteInfrastructureBuildOutCostY2</t>
  </si>
  <si>
    <t>calcFullREExpY2</t>
  </si>
  <si>
    <t>calcFullTrustExpY2</t>
  </si>
  <si>
    <t>calcFullOrg62ExpY2</t>
  </si>
  <si>
    <t>calcFullStackExpY2</t>
  </si>
  <si>
    <t>Y2Q1 Revenue</t>
  </si>
  <si>
    <t>finY2Q1Rev</t>
  </si>
  <si>
    <t>Y2Q1 COS</t>
  </si>
  <si>
    <t>finY2Q1COS</t>
  </si>
  <si>
    <t>Y2Q1 M&amp;S</t>
  </si>
  <si>
    <t>finY2Q1MSExp</t>
  </si>
  <si>
    <t>Y2Q1 R&amp;D</t>
  </si>
  <si>
    <t>finY2Q1RDExp</t>
  </si>
  <si>
    <t>Y2Q1 G&amp;A</t>
  </si>
  <si>
    <t>finY2Q1GAExp</t>
  </si>
  <si>
    <t>finY2Q1HarmExp</t>
  </si>
  <si>
    <t>finY2Q1ITExp</t>
  </si>
  <si>
    <t>Y2Q1 Real Estate</t>
  </si>
  <si>
    <t>finY2Q1FullREExp</t>
  </si>
  <si>
    <t>finY2Q1GAMigrationExp</t>
  </si>
  <si>
    <t>finY2Q1TrustExp</t>
  </si>
  <si>
    <t>finY2Q1Org62Exp</t>
  </si>
  <si>
    <t>finY2Q1StackExp</t>
  </si>
  <si>
    <t>finY2Q1PackagingPricingExp</t>
  </si>
  <si>
    <t>Y2Q1 Rev Write Down</t>
  </si>
  <si>
    <t>finY2Q1RevWriteDownExp</t>
  </si>
  <si>
    <t>Y2Q2 Revenue</t>
  </si>
  <si>
    <t>finY2Q2Rev</t>
  </si>
  <si>
    <t>Y2Q2 COS</t>
  </si>
  <si>
    <t>finY2Q2COS</t>
  </si>
  <si>
    <t>Y2Q2 M&amp;S</t>
  </si>
  <si>
    <t>finY2Q2MSExp</t>
  </si>
  <si>
    <t>Y2Q2 R&amp;D</t>
  </si>
  <si>
    <t>finY2Q2RDExp</t>
  </si>
  <si>
    <t>Y2Q2 G&amp;A</t>
  </si>
  <si>
    <t>finY2Q2GAExp</t>
  </si>
  <si>
    <t>finY2Q2HarmExp</t>
  </si>
  <si>
    <t>finY2Q2ITExp</t>
  </si>
  <si>
    <t>Y2Q2 Real Estate</t>
  </si>
  <si>
    <t>finY2Q2FullREExp</t>
  </si>
  <si>
    <t>finY2Q2GAMigrationExp</t>
  </si>
  <si>
    <t>finY2Q2TrustExp</t>
  </si>
  <si>
    <t>finY2Q2Org62Exp</t>
  </si>
  <si>
    <t>finY2Q2StackExp</t>
  </si>
  <si>
    <t>finY2Q2PackagingPricingExp</t>
  </si>
  <si>
    <t>Y2Q2 Rev Write Down</t>
  </si>
  <si>
    <t>finY2Q2RevWriteDownExp</t>
  </si>
  <si>
    <t>Y2Q3 Revenue</t>
  </si>
  <si>
    <t>finY2Q3Rev</t>
  </si>
  <si>
    <t>Y2Q3 COS</t>
  </si>
  <si>
    <t>finY2Q3COS</t>
  </si>
  <si>
    <t>Y2Q3 M&amp;S</t>
  </si>
  <si>
    <t>finY2Q3MSExp</t>
  </si>
  <si>
    <t>Y2Q3 R&amp;D</t>
  </si>
  <si>
    <t>finY2Q3RDExp</t>
  </si>
  <si>
    <t>Y2Q3 G&amp;A</t>
  </si>
  <si>
    <t>finY2Q3GAExp</t>
  </si>
  <si>
    <t>finY2Q3HarmExp</t>
  </si>
  <si>
    <t>finY2Q3ITExp</t>
  </si>
  <si>
    <t>Y2Q3 Real Estate</t>
  </si>
  <si>
    <t>finY2Q3FullREExp</t>
  </si>
  <si>
    <t>finY2Q3GAMigrationExp</t>
  </si>
  <si>
    <t>finY2Q3TrustExp</t>
  </si>
  <si>
    <t>finY2Q3Org62Exp</t>
  </si>
  <si>
    <t>finY2Q3StackExp</t>
  </si>
  <si>
    <t>finY2Q3PackagingPricingExp</t>
  </si>
  <si>
    <t>Y2Q3 Rev Write Down</t>
  </si>
  <si>
    <t>finY2Q3RevWriteDownExp</t>
  </si>
  <si>
    <t>Y2Q4 Revenue</t>
  </si>
  <si>
    <t>finY2Q4Rev</t>
  </si>
  <si>
    <t>Y2Q4 COS</t>
  </si>
  <si>
    <t>finY2Q4COS</t>
  </si>
  <si>
    <t>Y2Q4 M&amp;S</t>
  </si>
  <si>
    <t>finY2Q4MSExp</t>
  </si>
  <si>
    <t>Y2Q4 R&amp;D</t>
  </si>
  <si>
    <t>finY2Q4RDExp</t>
  </si>
  <si>
    <t>Y2Q4 G&amp;A</t>
  </si>
  <si>
    <t>finY2Q4GAExp</t>
  </si>
  <si>
    <t>finY2Q4HarmExp</t>
  </si>
  <si>
    <t>finY2Q4ITExp</t>
  </si>
  <si>
    <t>Y2Q4 Real Estate</t>
  </si>
  <si>
    <t>finY2Q4FullREExp</t>
  </si>
  <si>
    <t>finY2Q4GAMigrationExp</t>
  </si>
  <si>
    <t>finY2Q4TrustExp</t>
  </si>
  <si>
    <t>finY2Q4Org62Exp</t>
  </si>
  <si>
    <t>finY2Q4StackExp</t>
  </si>
  <si>
    <t>finY2Q4PackagingPricingExp</t>
  </si>
  <si>
    <t>Y2Q4 Rev Write Down</t>
  </si>
  <si>
    <t>finY2Q4RevWriteDownExp</t>
  </si>
  <si>
    <t>FinY2AnnualRev</t>
  </si>
  <si>
    <t>finY2AnnualMSExp</t>
  </si>
  <si>
    <t>finY2AnnualRDExp</t>
  </si>
  <si>
    <t>finY2AnnualGAExp</t>
  </si>
  <si>
    <t>finY2AnnualOpProfit</t>
  </si>
  <si>
    <t>finY2AnnualOpMargin</t>
  </si>
  <si>
    <t>finY2AnnualHarmExp</t>
  </si>
  <si>
    <t>finY2AnnualITExp</t>
  </si>
  <si>
    <t>finY2AnnualFullREExp</t>
  </si>
  <si>
    <t>finY2AnnualGAMigrationExp</t>
  </si>
  <si>
    <t>finY2AnnualTrustExp</t>
  </si>
  <si>
    <t>finY2AnnualOrg62Exp</t>
  </si>
  <si>
    <t>finY2AnnualStackExp</t>
  </si>
  <si>
    <t>finY2AnnualPackagingPricingExp</t>
  </si>
  <si>
    <t>finY2AnnualRevWriteDownExp</t>
  </si>
  <si>
    <t>finY2AnnualIntegratedOpProfit</t>
  </si>
  <si>
    <t>finY2AnnualIntegratedOpMargin</t>
  </si>
  <si>
    <t>finY2AnnualCOS</t>
  </si>
  <si>
    <t>Budget Left</t>
  </si>
  <si>
    <t>Total Budget</t>
  </si>
  <si>
    <t>Employee IT Integration</t>
  </si>
  <si>
    <t>Snowflake Sales Team</t>
  </si>
  <si>
    <t>Invest in Snowflake Sales Team</t>
  </si>
  <si>
    <t>ESAT</t>
  </si>
  <si>
    <t>datatblEmpIntegrationLevelImpact</t>
  </si>
  <si>
    <t>datatblExternalSalesImpact</t>
  </si>
  <si>
    <t>Level</t>
  </si>
  <si>
    <t>Events</t>
  </si>
  <si>
    <t>Org 62 Migration</t>
  </si>
  <si>
    <t>Employee Integration</t>
  </si>
  <si>
    <t>Org 62 Timeline</t>
  </si>
  <si>
    <t>datatblOrg62Timeline</t>
  </si>
  <si>
    <t>Attrition</t>
  </si>
  <si>
    <t>datatblNPSAttrition</t>
  </si>
  <si>
    <t>datatblNPSGrowth</t>
  </si>
  <si>
    <t>Site Infrastructure</t>
  </si>
  <si>
    <t>Integration Costs (Below)</t>
  </si>
  <si>
    <t>Choose</t>
  </si>
  <si>
    <t>Real Estate</t>
  </si>
  <si>
    <t>Risk Mitigation Expenses</t>
  </si>
  <si>
    <t>Total Costs</t>
  </si>
  <si>
    <t>calcFullIntegrationCosts</t>
  </si>
  <si>
    <t>External Sales Team Investment</t>
  </si>
  <si>
    <t>calcFullExternalSalesExp</t>
  </si>
  <si>
    <t>calcExternalSalesTimeline</t>
  </si>
  <si>
    <t>Q1 ExternalSales</t>
  </si>
  <si>
    <t>calcQ1ExternalSalesExp</t>
  </si>
  <si>
    <t>ExternalSales Left After Q1</t>
  </si>
  <si>
    <t>calcExternalSalesExpLeftPostQ1</t>
  </si>
  <si>
    <t>Q2 ExternalSales</t>
  </si>
  <si>
    <t>calcQ2ExternalSalesExp</t>
  </si>
  <si>
    <t>ExternalSales Left After Q2</t>
  </si>
  <si>
    <t>calcExternalSalesExpLeftPostQ2</t>
  </si>
  <si>
    <t>Q3 ExternalSales</t>
  </si>
  <si>
    <t>calcQ3ExternalSalesExp</t>
  </si>
  <si>
    <t>ExternalSales Left After Q3</t>
  </si>
  <si>
    <t>calcExternalSalesExpLeftPostQ3</t>
  </si>
  <si>
    <t>Q4 ExternalSales</t>
  </si>
  <si>
    <t>calcQ4ExternalSalesExp</t>
  </si>
  <si>
    <t>ExternalSales Left After Q4</t>
  </si>
  <si>
    <t>calcExternalSalesExpLeftPostQ4</t>
  </si>
  <si>
    <t>Y2Q1 ExternalSales</t>
  </si>
  <si>
    <t>calcY2Q1ExternalSalesExp</t>
  </si>
  <si>
    <t>ExternalSales Left After Y2Q1</t>
  </si>
  <si>
    <t>calcExternalSalesExpLeftPostY2Q1</t>
  </si>
  <si>
    <t>Y2Q2 ExternalSales</t>
  </si>
  <si>
    <t>calcY2Q2ExternalSalesExp</t>
  </si>
  <si>
    <t>ExternalSales Left After Y2Q2</t>
  </si>
  <si>
    <t>calcExternalSalesExpLeftPostY2Q2</t>
  </si>
  <si>
    <t>Y2Q3 ExternalSales</t>
  </si>
  <si>
    <t>calcY2Q3ExternalSalesExp</t>
  </si>
  <si>
    <t>ExternalSales Left After Y2Q3</t>
  </si>
  <si>
    <t>calcExternalSalesExpLeftPostY2Q3</t>
  </si>
  <si>
    <t>Y2Q4 ExternalSales</t>
  </si>
  <si>
    <t>calcY2Q4ExternalSalesExp</t>
  </si>
  <si>
    <t>ExternalSales Left After Y2Q4</t>
  </si>
  <si>
    <t>calcExternalSalesExpLeftPostY2Q4</t>
  </si>
  <si>
    <t>calcFullExternalSalesExpY2</t>
  </si>
  <si>
    <t>finQ1ExternalSalesExp</t>
  </si>
  <si>
    <t>finQ2ExternalSalesExp</t>
  </si>
  <si>
    <t>finQ3ExternalSalesExp</t>
  </si>
  <si>
    <t>finQ4ExternalSalesExp</t>
  </si>
  <si>
    <t>Annual ExternalSales</t>
  </si>
  <si>
    <t>finAnnualExternalSalesExp</t>
  </si>
  <si>
    <t>finY2Q1ExternalSalesExp</t>
  </si>
  <si>
    <t>finY2Q2ExternalSalesExp</t>
  </si>
  <si>
    <t>finY2Q3ExternalSalesExp</t>
  </si>
  <si>
    <t>finY2Q4ExternalSalesExp</t>
  </si>
  <si>
    <t>finY2AnnualExternalSalesExp</t>
  </si>
  <si>
    <t>Timelines</t>
  </si>
  <si>
    <t>Time-Dep</t>
  </si>
  <si>
    <t>Depreciation Timeline</t>
  </si>
  <si>
    <t>paramDepreciationTimeline</t>
  </si>
  <si>
    <t>Q4 Adjustment</t>
  </si>
  <si>
    <t>Q3 Adjustment</t>
  </si>
  <si>
    <t>Delay Adjustment</t>
  </si>
  <si>
    <t>Q2 Adjustment</t>
  </si>
  <si>
    <t>Q1 Adjustment</t>
  </si>
  <si>
    <t>Packaging/Pricing Adjustment</t>
  </si>
  <si>
    <t>calcPeopleTimeline</t>
  </si>
  <si>
    <t>Risk Management</t>
  </si>
  <si>
    <t>Y-1</t>
  </si>
  <si>
    <t>($Million)</t>
  </si>
  <si>
    <t>Quarterly Revenue</t>
  </si>
  <si>
    <t>New ACV</t>
  </si>
  <si>
    <t>Total Churn</t>
  </si>
  <si>
    <t>Baseline ACV Waterfall  Chart</t>
  </si>
  <si>
    <t>Y-2</t>
  </si>
  <si>
    <t>Subscription Additions</t>
  </si>
  <si>
    <t>dataY-1Q1Rev</t>
  </si>
  <si>
    <t>dataY-1Q2Rev</t>
  </si>
  <si>
    <t>dataY-1Q3Rev</t>
  </si>
  <si>
    <t>dataY-1Q4Rev</t>
  </si>
  <si>
    <t>dataY0Q1Rev</t>
  </si>
  <si>
    <t>dataY0Q2Rev</t>
  </si>
  <si>
    <t>dataY0Q3Rev</t>
  </si>
  <si>
    <t>dataY0Q4Rev</t>
  </si>
  <si>
    <t>dataY1Q1Rev</t>
  </si>
  <si>
    <t>dataY1Q2Rev</t>
  </si>
  <si>
    <t>dataY1Q3Rev</t>
  </si>
  <si>
    <t>dataY1Q4Rev</t>
  </si>
  <si>
    <t>dataY2Q1Rev</t>
  </si>
  <si>
    <t>dataY2Q2Rev</t>
  </si>
  <si>
    <t>dataY2Q3Rev</t>
  </si>
  <si>
    <t>dataY2Q4Rev</t>
  </si>
  <si>
    <t>Base Attrition</t>
  </si>
  <si>
    <t>Team Attrition Rate</t>
  </si>
  <si>
    <t>Difference</t>
  </si>
  <si>
    <t>calcQ1AttritionDifference</t>
  </si>
  <si>
    <t>New Revenue Adjustments</t>
  </si>
  <si>
    <t>Total Adjustment</t>
  </si>
  <si>
    <t>calcQ1RevenueAdjustment</t>
  </si>
  <si>
    <t>calcQ2AttritionDifference</t>
  </si>
  <si>
    <t>calcQ2RevenueAdjustment</t>
  </si>
  <si>
    <t>calcQ3AttritionDifference</t>
  </si>
  <si>
    <t>calcQ3RevenueAdjustment</t>
  </si>
  <si>
    <t>calcQ4AttritionDifference</t>
  </si>
  <si>
    <t>calcQ4RevenueAdjustment</t>
  </si>
  <si>
    <t>Y2 Revenue</t>
  </si>
  <si>
    <t>calcY2Q1AttritionDifference</t>
  </si>
  <si>
    <t>calcY2Q1RevenueAdjustment</t>
  </si>
  <si>
    <t>calcY2Q2AttritionDifference</t>
  </si>
  <si>
    <t>calcY2Q2RevenueAdjustment</t>
  </si>
  <si>
    <t>calcY2Q3AttritionDifference</t>
  </si>
  <si>
    <t>calcY2Q3RevenueAdjustment</t>
  </si>
  <si>
    <t>calcY2Q4AttritionDifference</t>
  </si>
  <si>
    <t>calcY2Q4RevenueAdjustment</t>
  </si>
  <si>
    <t>calcQ1RevenueY-2Q1</t>
  </si>
  <si>
    <t>calcQ1RevenueY-2Q3</t>
  </si>
  <si>
    <t>calcQ1RevenueY-2Q2</t>
  </si>
  <si>
    <t>calcQ1RevenueY-2Q4</t>
  </si>
  <si>
    <t>calcQ1RevenueY-1Q1</t>
  </si>
  <si>
    <t>calcQ1RevenueY-1Q2</t>
  </si>
  <si>
    <t>calcQ1RevenueY-1Q3</t>
  </si>
  <si>
    <t>calcQ1RevenueY-1Q4</t>
  </si>
  <si>
    <t>calcQ1RevenueY0Q1</t>
  </si>
  <si>
    <t>calcQ1RevenueY0Q2</t>
  </si>
  <si>
    <t>calcQ1RevenueY0Q3</t>
  </si>
  <si>
    <t>calcQ1RevenueY0Q4</t>
  </si>
  <si>
    <t>calcQ1RevenueY1Q1</t>
  </si>
  <si>
    <t>calcQ1RevenueY1Q2</t>
  </si>
  <si>
    <t>calcQ1RevenueY1Q3</t>
  </si>
  <si>
    <t>calcQ1RevenueY1Q4</t>
  </si>
  <si>
    <t>calcQ1RevenueY2Q1</t>
  </si>
  <si>
    <t>calcQ1RevenueY2Q2</t>
  </si>
  <si>
    <t>calcQ1RevenueY2Q3</t>
  </si>
  <si>
    <t>calcQ1RevenueY2Q4</t>
  </si>
  <si>
    <t>calcQ2RevenueY-2Q1</t>
  </si>
  <si>
    <t>calcQ2RevenueY-2Q2</t>
  </si>
  <si>
    <t>calcQ2RevenueY-2Q3</t>
  </si>
  <si>
    <t>calcQ2RevenueY-2Q4</t>
  </si>
  <si>
    <t>calcQ2RevenueY-1Q1</t>
  </si>
  <si>
    <t>calcQ2RevenueY-1Q2</t>
  </si>
  <si>
    <t>calcQ2RevenueY-1Q3</t>
  </si>
  <si>
    <t>calcQ2RevenueY-1Q4</t>
  </si>
  <si>
    <t>calcQ2RevenueY0Q1</t>
  </si>
  <si>
    <t>calcQ2RevenueY0Q2</t>
  </si>
  <si>
    <t>calcQ2RevenueY0Q3</t>
  </si>
  <si>
    <t>calcQ2RevenueY0Q4</t>
  </si>
  <si>
    <t>calcQ2RevenueY1Q1</t>
  </si>
  <si>
    <t>calcQ2RevenueY1Q2</t>
  </si>
  <si>
    <t>calcQ2RevenueY1Q3</t>
  </si>
  <si>
    <t>calcQ2RevenueY1Q4</t>
  </si>
  <si>
    <t>calcQ2RevenueY2Q1</t>
  </si>
  <si>
    <t>calcQ2RevenueY2Q2</t>
  </si>
  <si>
    <t>calcQ2RevenueY2Q3</t>
  </si>
  <si>
    <t>calcQ2RevenueY2Q4</t>
  </si>
  <si>
    <t>calcQ3RevenueY-2Q1</t>
  </si>
  <si>
    <t>calcQ3RevenueY-2Q2</t>
  </si>
  <si>
    <t>calcQ3RevenueY-2Q3</t>
  </si>
  <si>
    <t>calcQ3RevenueY-2Q4</t>
  </si>
  <si>
    <t>calcQ3RevenueY-1Q1</t>
  </si>
  <si>
    <t>calcQ3RevenueY-1Q2</t>
  </si>
  <si>
    <t>calcQ3RevenueY-1Q3</t>
  </si>
  <si>
    <t>calcQ3RevenueY-1Q4</t>
  </si>
  <si>
    <t>calcQ3RevenueY0Q1</t>
  </si>
  <si>
    <t>calcQ3RevenueY0Q2</t>
  </si>
  <si>
    <t>calcQ3RevenueY0Q3</t>
  </si>
  <si>
    <t>calcQ3RevenueY0Q4</t>
  </si>
  <si>
    <t>calcQ3RevenueY1Q1</t>
  </si>
  <si>
    <t>calcQ3RevenueY1Q2</t>
  </si>
  <si>
    <t>calcQ3RevenueY1Q3</t>
  </si>
  <si>
    <t>calcQ3RevenueY1Q4</t>
  </si>
  <si>
    <t>calcQ3RevenueY2Q1</t>
  </si>
  <si>
    <t>calcQ3RevenueY2Q2</t>
  </si>
  <si>
    <t>calcQ3RevenueY2Q3</t>
  </si>
  <si>
    <t>calcQ3RevenueY2Q4</t>
  </si>
  <si>
    <t>calcQ4RevenueY-2Q1</t>
  </si>
  <si>
    <t>calcQ4RevenueY-2Q2</t>
  </si>
  <si>
    <t>calcQ4RevenueY-2Q3</t>
  </si>
  <si>
    <t>calcQ4RevenueY-2Q4</t>
  </si>
  <si>
    <t>calcQ4RevenueY-1Q1</t>
  </si>
  <si>
    <t>calcQ4RevenueY-1Q2</t>
  </si>
  <si>
    <t>calcQ4RevenueY-1Q3</t>
  </si>
  <si>
    <t>calcQ4RevenueY-1Q4</t>
  </si>
  <si>
    <t>calcQ4RevenueY0Q1</t>
  </si>
  <si>
    <t>calcQ4RevenueY0Q2</t>
  </si>
  <si>
    <t>calcQ4RevenueY0Q3</t>
  </si>
  <si>
    <t>calcQ4RevenueY0Q4</t>
  </si>
  <si>
    <t>calcQ4RevenueY1Q1</t>
  </si>
  <si>
    <t>calcQ4RevenueY1Q2</t>
  </si>
  <si>
    <t>calcQ4RevenueY1Q3</t>
  </si>
  <si>
    <t>calcQ4RevenueY1Q4</t>
  </si>
  <si>
    <t>calcQ4RevenueY2Q1</t>
  </si>
  <si>
    <t>calcQ4RevenueY2Q2</t>
  </si>
  <si>
    <t>calcQ4RevenueY2Q3</t>
  </si>
  <si>
    <t>calcQ4RevenueY2Q4</t>
  </si>
  <si>
    <t>calcY2Q1RevenueY-2Q1</t>
  </si>
  <si>
    <t>calcY2Q1RevenueY-2Q2</t>
  </si>
  <si>
    <t>calcY2Q1RevenueY-2Q3</t>
  </si>
  <si>
    <t>calcY2Q1RevenueY-2Q4</t>
  </si>
  <si>
    <t>calcY2Q1RevenueY-1Q1</t>
  </si>
  <si>
    <t>calcY2Q1RevenueY-1Q2</t>
  </si>
  <si>
    <t>calcY2Q1RevenueY-1Q3</t>
  </si>
  <si>
    <t>calcY2Q1RevenueY-1Q4</t>
  </si>
  <si>
    <t>calcY2Q1RevenueY0Q1</t>
  </si>
  <si>
    <t>calcY2Q1RevenueY0Q2</t>
  </si>
  <si>
    <t>calcY2Q1RevenueY0Q3</t>
  </si>
  <si>
    <t>calcY2Q1RevenueY0Q4</t>
  </si>
  <si>
    <t>calcY2Q1RevenueY1Q1</t>
  </si>
  <si>
    <t>calcY2Q1RevenueY1Q2</t>
  </si>
  <si>
    <t>calcY2Q1RevenueY1Q3</t>
  </si>
  <si>
    <t>calcY2Q1RevenueY1Q4</t>
  </si>
  <si>
    <t>calcY2Q1RevenueY2Q1</t>
  </si>
  <si>
    <t>calcY2Q1RevenueY2Q2</t>
  </si>
  <si>
    <t>calcY2Q1RevenueY2Q3</t>
  </si>
  <si>
    <t>calcY2Q1RevenueY2Q4</t>
  </si>
  <si>
    <t>calcY2Q2RevenueY-2Q1</t>
  </si>
  <si>
    <t>calcY2Q2RevenueY-2Q2</t>
  </si>
  <si>
    <t>calcY2Q2RevenueY-2Q3</t>
  </si>
  <si>
    <t>calcY2Q2RevenueY-2Q4</t>
  </si>
  <si>
    <t>calcY2Q2RevenueY-1Q1</t>
  </si>
  <si>
    <t>calcY2Q2RevenueY-1Q2</t>
  </si>
  <si>
    <t>calcY2Q2RevenueY-1Q3</t>
  </si>
  <si>
    <t>calcY2Q2RevenueY-1Q4</t>
  </si>
  <si>
    <t>calcY2Q2RevenueY0Q1</t>
  </si>
  <si>
    <t>calcY2Q2RevenueY0Q2</t>
  </si>
  <si>
    <t>calcY2Q2RevenueY0Q3</t>
  </si>
  <si>
    <t>calcY2Q2RevenueY0Q4</t>
  </si>
  <si>
    <t>calcY2Q2RevenueY1Q1</t>
  </si>
  <si>
    <t>calcY2Q2RevenueY1Q2</t>
  </si>
  <si>
    <t>calcY2Q2RevenueY1Q3</t>
  </si>
  <si>
    <t>calcY2Q2RevenueY1Q4</t>
  </si>
  <si>
    <t>calcY2Q2RevenueY2Q1</t>
  </si>
  <si>
    <t>calcY2Q2RevenueY2Q2</t>
  </si>
  <si>
    <t>calcY2Q2RevenueY2Q3</t>
  </si>
  <si>
    <t>calcY2Q2RevenueY2Q4</t>
  </si>
  <si>
    <t>calcY2Q3RevenueY-2Q1</t>
  </si>
  <si>
    <t>calcY2Q3RevenueY-2Q2</t>
  </si>
  <si>
    <t>calcY2Q3RevenueY-2Q3</t>
  </si>
  <si>
    <t>calcY2Q3RevenueY-2Q4</t>
  </si>
  <si>
    <t>calcY2Q3RevenueY-1Q1</t>
  </si>
  <si>
    <t>calcY2Q3RevenueY-1Q2</t>
  </si>
  <si>
    <t>calcY2Q3RevenueY-1Q3</t>
  </si>
  <si>
    <t>calcY2Q3RevenueY-1Q4</t>
  </si>
  <si>
    <t>calcY2Q3RevenueY0Q1</t>
  </si>
  <si>
    <t>calcY2Q3RevenueY0Q2</t>
  </si>
  <si>
    <t>calcY2Q3RevenueY0Q3</t>
  </si>
  <si>
    <t>calcY2Q3RevenueY0Q4</t>
  </si>
  <si>
    <t>calcY2Q3RevenueY1Q1</t>
  </si>
  <si>
    <t>calcY2Q3RevenueY1Q2</t>
  </si>
  <si>
    <t>calcY2Q3RevenueY1Q3</t>
  </si>
  <si>
    <t>calcY2Q3RevenueY1Q4</t>
  </si>
  <si>
    <t>calcY2Q3RevenueY2Q1</t>
  </si>
  <si>
    <t>calcY2Q3RevenueY2Q2</t>
  </si>
  <si>
    <t>calcY2Q3RevenueY2Q3</t>
  </si>
  <si>
    <t>calcY2Q3RevenueY2Q4</t>
  </si>
  <si>
    <t>calcY2Q4RevenueY-2Q1</t>
  </si>
  <si>
    <t>calcY2Q4RevenueY-2Q2</t>
  </si>
  <si>
    <t>calcY2Q4RevenueY-2Q3</t>
  </si>
  <si>
    <t>calcY2Q4RevenueY-2Q4</t>
  </si>
  <si>
    <t>calcY2Q4RevenueY-1Q1</t>
  </si>
  <si>
    <t>calcY2Q4RevenueY-1Q2</t>
  </si>
  <si>
    <t>calcY2Q4RevenueY-1Q3</t>
  </si>
  <si>
    <t>calcY2Q4RevenueY-1Q4</t>
  </si>
  <si>
    <t>calcY2Q4RevenueY0Q1</t>
  </si>
  <si>
    <t>calcY2Q4RevenueY0Q2</t>
  </si>
  <si>
    <t>calcY2Q4RevenueY0Q3</t>
  </si>
  <si>
    <t>calcY2Q4RevenueY0Q4</t>
  </si>
  <si>
    <t>calcY2Q4RevenueY1Q1</t>
  </si>
  <si>
    <t>calcY2Q4RevenueY1Q2</t>
  </si>
  <si>
    <t>calcY2Q4RevenueY1Q3</t>
  </si>
  <si>
    <t>calcY2Q4RevenueY1Q4</t>
  </si>
  <si>
    <t>calcY2Q4RevenueY2Q1</t>
  </si>
  <si>
    <t>calcY2Q4RevenueY2Q2</t>
  </si>
  <si>
    <t>calcY2Q4RevenueY2Q3</t>
  </si>
  <si>
    <t>calcY2Q4RevenueY2Q4</t>
  </si>
  <si>
    <t>Resources</t>
  </si>
  <si>
    <t>Consolidated Operating Margin</t>
  </si>
  <si>
    <t>xxColorLocked</t>
  </si>
  <si>
    <t>New ACV Booked</t>
  </si>
  <si>
    <t>tlScenarios</t>
  </si>
  <si>
    <t>Insert description here.</t>
  </si>
  <si>
    <t>Quarter</t>
  </si>
  <si>
    <t>Customer Satisfaction</t>
  </si>
  <si>
    <t>CSat</t>
  </si>
  <si>
    <t>Risk Mitigation P0</t>
  </si>
  <si>
    <t>P0 Risk Mitigation</t>
  </si>
  <si>
    <t>datatblP0RiskMitigation</t>
  </si>
  <si>
    <t>P2 Risk Mitigation</t>
  </si>
  <si>
    <t>datatblP2RiskMitigation</t>
  </si>
  <si>
    <t>P1 Risk Mitigation</t>
  </si>
  <si>
    <t>datatblP1RiskMitigation</t>
  </si>
  <si>
    <t>Risk Mitigation P1</t>
  </si>
  <si>
    <t>Trust/Security</t>
  </si>
  <si>
    <t>decProductTimeline</t>
  </si>
  <si>
    <t>decITTimeline</t>
  </si>
  <si>
    <t>decSecurityTimeline</t>
  </si>
  <si>
    <t>Full Integration Timeline (Months)</t>
  </si>
  <si>
    <t>Integraton Budget ($000s)</t>
  </si>
  <si>
    <t>datatblPeopleTimeline</t>
  </si>
  <si>
    <t>Product Focus</t>
  </si>
  <si>
    <t>tlProductStackFocus</t>
  </si>
  <si>
    <t>decProductStackFocus</t>
  </si>
  <si>
    <t>Stack Focus</t>
  </si>
  <si>
    <t>Product Stack Focus</t>
  </si>
  <si>
    <t>datatblStackFocusImpact</t>
  </si>
  <si>
    <t>Base</t>
  </si>
  <si>
    <t>Incremental Difference</t>
  </si>
  <si>
    <t>Product Timeline</t>
  </si>
  <si>
    <t>calcProductTimeline</t>
  </si>
  <si>
    <t>Security Timeline</t>
  </si>
  <si>
    <t>calcSecurityTimeline</t>
  </si>
  <si>
    <t>Stack Focus Cost</t>
  </si>
  <si>
    <t>decV2MOMVision</t>
  </si>
  <si>
    <t>decV2MOMValue1Rank</t>
  </si>
  <si>
    <t>decV2MOMValue1Desc</t>
  </si>
  <si>
    <t>decV2MOMValue2Rank</t>
  </si>
  <si>
    <t>decV2MOMValue2Desc</t>
  </si>
  <si>
    <t>decV2MOMValue3Rank</t>
  </si>
  <si>
    <t>decV2MOMValue3Desc</t>
  </si>
  <si>
    <t>decV2MOMValue4Rank</t>
  </si>
  <si>
    <t>decV2MOMValue4Desc</t>
  </si>
  <si>
    <t>cbalV2MOMVision</t>
  </si>
  <si>
    <t>cbalV2MOMValue1Rank</t>
  </si>
  <si>
    <t>cbalV2MOMValue1Desc</t>
  </si>
  <si>
    <t>cbalV2MOMValue2Rank</t>
  </si>
  <si>
    <t>cbalV2MOMValue2Desc</t>
  </si>
  <si>
    <t>cbalV2MOMValue3Rank</t>
  </si>
  <si>
    <t>cbalV2MOMValue3Desc</t>
  </si>
  <si>
    <t>cbalV2MOMValue4Rank</t>
  </si>
  <si>
    <t>cbalV2MOMValue4Desc</t>
  </si>
  <si>
    <t>obalV2MOMVision</t>
  </si>
  <si>
    <t>obalV2MOMValue1Rank</t>
  </si>
  <si>
    <t>obalV2MOMValue1Desc</t>
  </si>
  <si>
    <t>obalV2MOMValue2Rank</t>
  </si>
  <si>
    <t>obalV2MOMValue2Desc</t>
  </si>
  <si>
    <t>obalV2MOMValue3Rank</t>
  </si>
  <si>
    <t>obalV2MOMValue3Desc</t>
  </si>
  <si>
    <t>obalV2MOMValue4Rank</t>
  </si>
  <si>
    <t>obalV2MOMValue4Desc</t>
  </si>
  <si>
    <t>fb1000ValueRank</t>
  </si>
  <si>
    <t>calcIntCostExternalSales</t>
  </si>
  <si>
    <t>calcIntCostHarm</t>
  </si>
  <si>
    <t>calcIntCostEmpIntegration</t>
  </si>
  <si>
    <t>calcIntCostRealEstate</t>
  </si>
  <si>
    <t>calcIntCostSiteInfra</t>
  </si>
  <si>
    <t>calcIntCostRiskMit</t>
  </si>
  <si>
    <t>calcIntCostOrg62</t>
  </si>
  <si>
    <t>calcIntCostStack</t>
  </si>
  <si>
    <t>calcIntCostEvents</t>
  </si>
  <si>
    <t>fb1000BudgetAllocation</t>
  </si>
  <si>
    <t>fb1000Engagement</t>
  </si>
  <si>
    <t>Comp Pay</t>
  </si>
  <si>
    <t>External Sales</t>
  </si>
  <si>
    <t>Unexpected</t>
  </si>
  <si>
    <t>calcEEKeyHarm</t>
  </si>
  <si>
    <t>calcEENonKeyHarm</t>
  </si>
  <si>
    <t>calcEEEmpIT</t>
  </si>
  <si>
    <t>calcEEExternalSales</t>
  </si>
  <si>
    <t>calcEERealEstate</t>
  </si>
  <si>
    <t>calcEESiteInfra</t>
  </si>
  <si>
    <t>calcEEStack</t>
  </si>
  <si>
    <t>calcEEOrg62</t>
  </si>
  <si>
    <t>calcEERiskMitP0</t>
  </si>
  <si>
    <t>calcEERiskMitP1</t>
  </si>
  <si>
    <t>calcEERiskMitP2</t>
  </si>
  <si>
    <t>calcEEEvents</t>
  </si>
  <si>
    <t>fb1000NPS</t>
  </si>
  <si>
    <t>fb1000Disruption</t>
  </si>
  <si>
    <t>fb1000RiskIndex</t>
  </si>
  <si>
    <t>fb1000OpMargin</t>
  </si>
  <si>
    <t>Y1 Operating Margin</t>
  </si>
  <si>
    <t>Y2 Operating Margin</t>
  </si>
  <si>
    <t>Disruption</t>
  </si>
  <si>
    <t>calcNPSStackFocus</t>
  </si>
  <si>
    <t>calcNPSExternalSales</t>
  </si>
  <si>
    <t>calcNPSOrg62</t>
  </si>
  <si>
    <t>calcNPSEvents</t>
  </si>
  <si>
    <t>calcExecVelocOrg62</t>
  </si>
  <si>
    <t>calcExecVelocHarmTimeline</t>
  </si>
  <si>
    <t>calcExecVelocRiskMitP0</t>
  </si>
  <si>
    <t>calcExecVelocRiskMitP1</t>
  </si>
  <si>
    <t>calcExecVelocRiskMitP2</t>
  </si>
  <si>
    <t>calcExecVelocEvents</t>
  </si>
  <si>
    <t>calcExecVelocRE</t>
  </si>
  <si>
    <t>calcRiskIndexRiskMitP0</t>
  </si>
  <si>
    <t>calcRiskIndexRiskMitP1</t>
  </si>
  <si>
    <t>calcRiskIndexRiskMitP2</t>
  </si>
  <si>
    <t>calcRiskIndexProdRestrictions</t>
  </si>
  <si>
    <t>calcRiskIndexStackFocus</t>
  </si>
  <si>
    <t>calcRiskIndexEmpIntegration</t>
  </si>
  <si>
    <t>calcRiskIndexSiteInfrastructure</t>
  </si>
  <si>
    <t>calcRiskIndexEvents</t>
  </si>
  <si>
    <t>Y3</t>
  </si>
  <si>
    <t>Enterprise</t>
  </si>
  <si>
    <t>Core Business</t>
  </si>
  <si>
    <t>Do Nothing</t>
  </si>
  <si>
    <t>Hire More AEs</t>
  </si>
  <si>
    <t>CoPrime</t>
  </si>
  <si>
    <t>Weighted Driver</t>
  </si>
  <si>
    <t>LeagueDriver4Weighted</t>
  </si>
  <si>
    <t>LeagueDriver4</t>
  </si>
  <si>
    <t>LeagueDriver3</t>
  </si>
  <si>
    <t>LeagueDriver3Weighted</t>
  </si>
  <si>
    <t>LeagueDriver2</t>
  </si>
  <si>
    <t>LeagueDriver2Weighted</t>
  </si>
  <si>
    <t>LeagueDriver1</t>
  </si>
  <si>
    <t>LeagueDriver1Weighted</t>
  </si>
  <si>
    <t>Total Score</t>
  </si>
  <si>
    <t>League_TotalScore</t>
  </si>
  <si>
    <t>League (Numbers)</t>
  </si>
  <si>
    <t>Acquimania!</t>
  </si>
  <si>
    <t>Exec Office Visit</t>
  </si>
  <si>
    <t>Post-Diligence Discoveries</t>
  </si>
  <si>
    <t>Security Breach</t>
  </si>
  <si>
    <t>Executive Sponsor Change of Heart</t>
  </si>
  <si>
    <t>Acquired CEO Goes Rogue</t>
  </si>
  <si>
    <t>Execution</t>
  </si>
  <si>
    <t>Curveball Name</t>
  </si>
  <si>
    <t>ACV</t>
  </si>
  <si>
    <t>(-)</t>
  </si>
  <si>
    <t>(+)</t>
  </si>
  <si>
    <t>Additional</t>
  </si>
  <si>
    <t>Please check on the Execution tab to see what was impacted.</t>
  </si>
  <si>
    <t>datatblSecurityTimeline</t>
  </si>
  <si>
    <t>datatblProductTimeline</t>
  </si>
  <si>
    <t>BackOffice Timeline</t>
  </si>
  <si>
    <t>datatblBackOfficeTimeline</t>
  </si>
  <si>
    <t>Risk Mitigation P2</t>
  </si>
  <si>
    <t>calcRiskIndexRE</t>
  </si>
  <si>
    <t>Lead to Cash Timeline</t>
  </si>
  <si>
    <t>Integration Expenses</t>
  </si>
  <si>
    <t>fb1000PnLY1</t>
  </si>
  <si>
    <t>Full Op Margin</t>
  </si>
  <si>
    <t>fb1000PnLY2</t>
  </si>
  <si>
    <t>fb1000ACVY1</t>
  </si>
  <si>
    <t>ACV Calcultation</t>
  </si>
  <si>
    <t>calcACVY1Q1</t>
  </si>
  <si>
    <t>calcACVY1Q2</t>
  </si>
  <si>
    <t>calcACVY1Q3</t>
  </si>
  <si>
    <t>calcACVY1Q4</t>
  </si>
  <si>
    <t>calcACVTotalY1</t>
  </si>
  <si>
    <t>Full Year</t>
  </si>
  <si>
    <t>calcACVY2Q1</t>
  </si>
  <si>
    <t>calcACVY2Q2</t>
  </si>
  <si>
    <t>calcACVY2Q3</t>
  </si>
  <si>
    <t>calcACVY2Q4</t>
  </si>
  <si>
    <t>calcACVTotalY2</t>
  </si>
  <si>
    <t>finACVY1Q1</t>
  </si>
  <si>
    <t>finACVY1Q2</t>
  </si>
  <si>
    <t>finACVY1Q3</t>
  </si>
  <si>
    <t>finACVY1Q4</t>
  </si>
  <si>
    <t>finACVTotalY1</t>
  </si>
  <si>
    <t>finACVY2Q1</t>
  </si>
  <si>
    <t>finACVY2Q2</t>
  </si>
  <si>
    <t>finACVY2Q3</t>
  </si>
  <si>
    <t>finACVY2Q4</t>
  </si>
  <si>
    <t>finACVTotalY2</t>
  </si>
  <si>
    <t>fb1000ACVY2</t>
  </si>
  <si>
    <t>datatblKeyHarmProp</t>
  </si>
  <si>
    <t>datatblNonKeyHarmProp</t>
  </si>
  <si>
    <t>Have ACV go up by this Percentage</t>
  </si>
  <si>
    <t>Assume 6 Month Ramp</t>
  </si>
  <si>
    <t>Hire More AEs means Q3,Q4 and Y2 Revenue will go up</t>
  </si>
  <si>
    <t>calcACVTotalY0</t>
  </si>
  <si>
    <t>Year 1</t>
  </si>
  <si>
    <t>Year 2</t>
  </si>
  <si>
    <t>DB_arrayDash1Y2Names</t>
  </si>
  <si>
    <t>DB_arrayDash1Y2Values</t>
  </si>
  <si>
    <t>Dashboard 1 Y2</t>
  </si>
  <si>
    <t>DB_Dashboard1Y2</t>
  </si>
  <si>
    <t>right application.caller,1</t>
  </si>
  <si>
    <t>Trust Integration Timeline</t>
  </si>
  <si>
    <t>calcTrustIntegrationTimelineImpact</t>
  </si>
  <si>
    <t>BackOffice Integration Timeline</t>
  </si>
  <si>
    <t>calcBackOfficeIntegrationTimelineImpact</t>
  </si>
  <si>
    <t>Product Integration Timeline</t>
  </si>
  <si>
    <t>calcProductIntegrationTimelineImpact</t>
  </si>
  <si>
    <t>Specific Timeline Impacts</t>
  </si>
  <si>
    <t>Disrtuption Matrix</t>
  </si>
  <si>
    <t>Disruption Impact</t>
  </si>
  <si>
    <t>calcDisruptionTimelineImpact</t>
  </si>
  <si>
    <t>xxScenario1Run</t>
  </si>
  <si>
    <t>xxScenario8Run</t>
  </si>
  <si>
    <t>xxScenario7Run</t>
  </si>
  <si>
    <t>xxScenario6Run</t>
  </si>
  <si>
    <t>xxScenario5Run</t>
  </si>
  <si>
    <t>xxScenario4Run</t>
  </si>
  <si>
    <t>xxScenario3Run</t>
  </si>
  <si>
    <t>xxScenario2Run</t>
  </si>
  <si>
    <t>Compensation Adjustment</t>
  </si>
  <si>
    <t>finY2AnnualGrossProfit</t>
  </si>
  <si>
    <t>finY2AnnualGrossMargin</t>
  </si>
  <si>
    <t>League (Weighted Scorecard)</t>
  </si>
  <si>
    <t>CSAT</t>
  </si>
  <si>
    <t>All Other Talent</t>
  </si>
  <si>
    <t>Executive Talent</t>
  </si>
  <si>
    <t>Executive</t>
  </si>
  <si>
    <t>NonKey</t>
  </si>
  <si>
    <t>calcEEKeyHarmTime</t>
  </si>
  <si>
    <t>calcEENonKeyHarmTime</t>
  </si>
  <si>
    <t>Macro-financial Issues</t>
  </si>
  <si>
    <t>Module Lock Cells Button</t>
  </si>
  <si>
    <t>Cells to Lock</t>
  </si>
  <si>
    <t>Range Name</t>
  </si>
  <si>
    <t>Conditional</t>
  </si>
  <si>
    <t>Sheet</t>
  </si>
  <si>
    <t>ModuleLockCells01Lock</t>
  </si>
  <si>
    <t>ModuleLockCells01LockCount</t>
  </si>
  <si>
    <t>Locked Cell Color</t>
  </si>
  <si>
    <t>ModuleLockCells01LockColor</t>
  </si>
  <si>
    <t>xxDecisionsSubmit</t>
  </si>
  <si>
    <t>tlProduct</t>
  </si>
  <si>
    <t>tlGTM</t>
  </si>
  <si>
    <t>tlIT</t>
  </si>
  <si>
    <t>tlPeople</t>
  </si>
  <si>
    <t>ModuleUnLockCells01LockColor</t>
  </si>
  <si>
    <t>ModuleUnLockCells01UnLockCount</t>
  </si>
  <si>
    <t>ModuleUnLockCells01UnLock</t>
  </si>
  <si>
    <t>UnLocked Cell Color</t>
  </si>
  <si>
    <t>Lead to Cash Migration</t>
  </si>
  <si>
    <t>calcIntCostExternalSalesY2</t>
  </si>
  <si>
    <t>calcIntCostStackY2</t>
  </si>
  <si>
    <t>calcIntCostOrg62Y2</t>
  </si>
  <si>
    <t>calcIntCostRiskMitY2</t>
  </si>
  <si>
    <t>calcIntCostSiteInfraY2</t>
  </si>
  <si>
    <t>calcIntCostRealEstateY2</t>
  </si>
  <si>
    <t>calcIntCostEmpIntegrationY2</t>
  </si>
  <si>
    <t>calcIntCostHarmY2</t>
  </si>
  <si>
    <t>calcIntCostEventsY2</t>
  </si>
  <si>
    <t>calcFullIntegrationCostsY2</t>
  </si>
  <si>
    <t>Quarter Overlap</t>
  </si>
  <si>
    <t>League (Unweighted Scorecard)</t>
  </si>
  <si>
    <t>Y2 Integration Costs (Below)</t>
  </si>
  <si>
    <t>Y1 Cost</t>
  </si>
  <si>
    <t>Y2 Cost</t>
  </si>
  <si>
    <t>Budget Events</t>
  </si>
  <si>
    <t>Options</t>
  </si>
  <si>
    <t>Full Cost</t>
  </si>
  <si>
    <t>Full Costs</t>
  </si>
  <si>
    <t>paramScenarioCostY1</t>
  </si>
  <si>
    <t>paramScenarioCostY2</t>
  </si>
  <si>
    <t>Cost Y1</t>
  </si>
  <si>
    <t>Cost Y2</t>
  </si>
  <si>
    <t>paramDisruption</t>
  </si>
  <si>
    <t>Index-Disruption</t>
  </si>
  <si>
    <t>Growth-Stack</t>
  </si>
  <si>
    <t>Stack Growth</t>
  </si>
  <si>
    <t>paramACVGrowthStack</t>
  </si>
  <si>
    <t>LeagueTieBreakers</t>
  </si>
  <si>
    <t>Y1 Integration Budget</t>
  </si>
  <si>
    <t>Y2 Integration Budget</t>
  </si>
  <si>
    <t>Curveballs</t>
  </si>
  <si>
    <t>Y1 Budget Left</t>
  </si>
  <si>
    <t>Cost (For Risk Mit)</t>
  </si>
  <si>
    <t>A1:M26</t>
  </si>
  <si>
    <t>Time-Delay</t>
  </si>
  <si>
    <t>DelayImpact</t>
  </si>
  <si>
    <t>Delay Impact (Last Wobbler)</t>
  </si>
  <si>
    <t>Delay Impact</t>
  </si>
  <si>
    <t>paramDelayImpact</t>
  </si>
  <si>
    <t>calcDelayImpact</t>
  </si>
  <si>
    <t>calcDelayImpactTrust</t>
  </si>
  <si>
    <t>calcDelayImpactBackOffice</t>
  </si>
  <si>
    <t>calcDelayImpactProduct</t>
  </si>
  <si>
    <t>calcDelayImpactHarm</t>
  </si>
  <si>
    <t>calcDelayImpactOrg62</t>
  </si>
  <si>
    <t>Lost Budget from Delay</t>
  </si>
  <si>
    <t>Lost Budget from Delays</t>
  </si>
  <si>
    <t>calcIntCostEmpIntegrationY2Delay</t>
  </si>
  <si>
    <t>calcIntCostRealEstateY2Delay</t>
  </si>
  <si>
    <t>calcIntCostSiteInfraY2Delay</t>
  </si>
  <si>
    <t>calcIntCostRiskMitY2Delay</t>
  </si>
  <si>
    <t>calcIntCostOrg62Y2Delay</t>
  </si>
  <si>
    <t>calcIntCostStackY2Delay</t>
  </si>
  <si>
    <t>calcIntCostHarmY2Delay</t>
  </si>
  <si>
    <t>calcIntCostBudgetDelayY2</t>
  </si>
  <si>
    <t>External Sales Cost</t>
  </si>
  <si>
    <t>External Sales Impact</t>
  </si>
  <si>
    <t>Time-Lead</t>
  </si>
  <si>
    <t>Lead to Cash Impact</t>
  </si>
  <si>
    <t>paramOrg62Impacts</t>
  </si>
  <si>
    <t>obalIntegrationBudgetY2</t>
  </si>
  <si>
    <t>cbalIntegrationBudgetY2</t>
  </si>
  <si>
    <t>Hurdle Ranks</t>
  </si>
  <si>
    <t>Disqualified</t>
  </si>
  <si>
    <t>Your integration budget for Y1 is too expensive</t>
  </si>
  <si>
    <t>Your integration budget for Y2 is too expensive</t>
  </si>
  <si>
    <t>Y2 Budget Left</t>
  </si>
  <si>
    <t>LeagueRankScores</t>
  </si>
  <si>
    <t>Balanced</t>
  </si>
  <si>
    <t>datatblNPSScore</t>
  </si>
  <si>
    <t>Time-Org62</t>
  </si>
  <si>
    <t>Operating Income</t>
  </si>
  <si>
    <t>End Systems</t>
  </si>
  <si>
    <t>calcExecVelocTrustTimeline</t>
  </si>
  <si>
    <t>calcRiskIndexTrustTimeline</t>
  </si>
  <si>
    <t>Insert rationale.</t>
  </si>
  <si>
    <t>Insert your vision.</t>
  </si>
  <si>
    <t>Risks</t>
  </si>
  <si>
    <t>What are three possible risks with the strategy you have created?</t>
  </si>
  <si>
    <t>Please write your response here.</t>
  </si>
  <si>
    <t>Risk 2</t>
  </si>
  <si>
    <t>Risk 3</t>
  </si>
  <si>
    <t>Risk 1</t>
  </si>
  <si>
    <t>decV2MOMRisk1</t>
  </si>
  <si>
    <t>decV2MOMRisk2</t>
  </si>
  <si>
    <t>decV2MOMRisk3</t>
  </si>
  <si>
    <t>Timeline for Finishing Trust Integration</t>
  </si>
  <si>
    <t>Timeline to Start Lead to Cash Integration</t>
  </si>
  <si>
    <t>tlValuesSubmitted</t>
  </si>
  <si>
    <t>Timeline for Back Office Int Completion</t>
  </si>
  <si>
    <t>Budget Delta</t>
  </si>
  <si>
    <t>Impact</t>
  </si>
  <si>
    <t>Forced to Move to Cloud or face harsher consequences</t>
  </si>
  <si>
    <t>Forced to Emp IT Integration of 4 or face harsher consequences</t>
  </si>
  <si>
    <t>dataCurveballImpactTable</t>
  </si>
  <si>
    <t>(-)*</t>
  </si>
  <si>
    <t>Lead Pass</t>
  </si>
  <si>
    <t>decGTMLeadPass</t>
  </si>
  <si>
    <t>Decisions Added Post-Pilot</t>
  </si>
  <si>
    <t>Integration Specifics</t>
  </si>
  <si>
    <t>dataHarmLevels</t>
  </si>
  <si>
    <t>CSG</t>
  </si>
  <si>
    <t>CSG (Post Sales)</t>
  </si>
  <si>
    <t>CSG Post Sales</t>
  </si>
  <si>
    <t>decGTMCSGPostSales</t>
  </si>
  <si>
    <t>cbalGTMCSGPostSales</t>
  </si>
  <si>
    <t>obalGTMCSGPostSales</t>
  </si>
  <si>
    <t>datatblCSGPostSales</t>
  </si>
  <si>
    <t>CSG Investment</t>
  </si>
  <si>
    <t>calcFullCSGExp</t>
  </si>
  <si>
    <t>calcQ1CSGExp</t>
  </si>
  <si>
    <t>calcQ4CSGExp</t>
  </si>
  <si>
    <t>calcQ3CSGExp</t>
  </si>
  <si>
    <t>calcQ2CSGExp</t>
  </si>
  <si>
    <t>calcIntCostCSG</t>
  </si>
  <si>
    <t>finQ1CSGExp</t>
  </si>
  <si>
    <t>Annual</t>
  </si>
  <si>
    <t>finQ2CSGExp</t>
  </si>
  <si>
    <t>finQ3CSGExp</t>
  </si>
  <si>
    <t>finQ4CSGExp</t>
  </si>
  <si>
    <t>finY1CSGExp</t>
  </si>
  <si>
    <t>Integration Plan Strategy</t>
  </si>
  <si>
    <t>Allow Lead-Pass</t>
  </si>
  <si>
    <t>calcCSGTimeline</t>
  </si>
  <si>
    <t>CSG Timeline</t>
  </si>
  <si>
    <t>Q1 CSG</t>
  </si>
  <si>
    <t>CSG Left After Q1</t>
  </si>
  <si>
    <t>calcCSGExpLeftPostQ1</t>
  </si>
  <si>
    <t>Q2 CSG</t>
  </si>
  <si>
    <t>CSG Left After Q2</t>
  </si>
  <si>
    <t>calcCSGExpLeftPostQ2</t>
  </si>
  <si>
    <t>Q3 CSG</t>
  </si>
  <si>
    <t>CSG Left After Q3</t>
  </si>
  <si>
    <t>calcCSGExpLeftPostQ3</t>
  </si>
  <si>
    <t>Q4 CSG</t>
  </si>
  <si>
    <t>CSG Left After Q4</t>
  </si>
  <si>
    <t>calcCSGExpLeftPostQ4</t>
  </si>
  <si>
    <t>Ending CSG Integration Cost</t>
  </si>
  <si>
    <t>calcFullCSGExpY2</t>
  </si>
  <si>
    <t>Y2Q1 CSG</t>
  </si>
  <si>
    <t>calcY2Q1CSGExp</t>
  </si>
  <si>
    <t>CSG Left After Y2Q1</t>
  </si>
  <si>
    <t>calcCSGExpLeftPostY2Q1</t>
  </si>
  <si>
    <t>Y2Q2 CSG</t>
  </si>
  <si>
    <t>calcY2Q2CSGExp</t>
  </si>
  <si>
    <t>CSG Left After Y2Q2</t>
  </si>
  <si>
    <t>calcCSGExpLeftPostY2Q2</t>
  </si>
  <si>
    <t>Y2Q3 CSG</t>
  </si>
  <si>
    <t>calcY2Q3CSGExp</t>
  </si>
  <si>
    <t>CSG Left After Y2Q3</t>
  </si>
  <si>
    <t>calcCSGExpLeftPostY2Q3</t>
  </si>
  <si>
    <t>Y2Q4 CSG</t>
  </si>
  <si>
    <t>calcY2Q4CSGExp</t>
  </si>
  <si>
    <t>CSG Left After Y2Q4</t>
  </si>
  <si>
    <t>calcCSGExpLeftPostY2Q4</t>
  </si>
  <si>
    <t>CSG Integration</t>
  </si>
  <si>
    <t>finY2Q1CSGExp</t>
  </si>
  <si>
    <t>finY2Q2CSGExp</t>
  </si>
  <si>
    <t>finY2Q3CSGExp</t>
  </si>
  <si>
    <t>finY2Q4CSGExp</t>
  </si>
  <si>
    <t>Annual CSG</t>
  </si>
  <si>
    <t>finY2AnnualCSGExp</t>
  </si>
  <si>
    <t>Yes</t>
  </si>
  <si>
    <t>datatblLeadPass</t>
  </si>
  <si>
    <t>calcNPSCSGPostSales</t>
  </si>
  <si>
    <t>calcExecVelocCSG</t>
  </si>
  <si>
    <t>calcExecVelocLeadPass</t>
  </si>
  <si>
    <t>calcExecVelocTimeline</t>
  </si>
  <si>
    <t>Lead Pass Activate</t>
  </si>
  <si>
    <t>calcLeadPassActivate</t>
  </si>
  <si>
    <t>calcIntCostLeadPass</t>
  </si>
  <si>
    <t>calcIntCostLeadPassY2</t>
  </si>
  <si>
    <t>calcIntCostCSGY2</t>
  </si>
  <si>
    <t>LeadPass Investment</t>
  </si>
  <si>
    <t>calcFullLeadPassExp</t>
  </si>
  <si>
    <t>Q1 LeadPass</t>
  </si>
  <si>
    <t>calcQ1LeadPassExp</t>
  </si>
  <si>
    <t>LeadPass Left After Q1</t>
  </si>
  <si>
    <t>calcLeadPassExpLeftPostQ1</t>
  </si>
  <si>
    <t>Q2 LeadPass</t>
  </si>
  <si>
    <t>calcQ2LeadPassExp</t>
  </si>
  <si>
    <t>LeadPass Left After Q2</t>
  </si>
  <si>
    <t>calcLeadPassExpLeftPostQ2</t>
  </si>
  <si>
    <t>Q3 LeadPass</t>
  </si>
  <si>
    <t>calcQ3LeadPassExp</t>
  </si>
  <si>
    <t>LeadPass Left After Q3</t>
  </si>
  <si>
    <t>calcLeadPassExpLeftPostQ3</t>
  </si>
  <si>
    <t>Q4 LeadPass</t>
  </si>
  <si>
    <t>calcQ4LeadPassExp</t>
  </si>
  <si>
    <t>LeadPass Left After Q4</t>
  </si>
  <si>
    <t>calcLeadPassExpLeftPostQ4</t>
  </si>
  <si>
    <t>Ending LeadPass Integration Cost</t>
  </si>
  <si>
    <t>calcFullLeadPassExpY2</t>
  </si>
  <si>
    <t>Y2Q1 LeadPass</t>
  </si>
  <si>
    <t>calcY2Q1LeadPassExp</t>
  </si>
  <si>
    <t>LeadPass Left After Y2Q1</t>
  </si>
  <si>
    <t>calcLeadPassExpLeftPostY2Q1</t>
  </si>
  <si>
    <t>Y2Q2 LeadPass</t>
  </si>
  <si>
    <t>calcY2Q2LeadPassExp</t>
  </si>
  <si>
    <t>LeadPass Left After Y2Q2</t>
  </si>
  <si>
    <t>calcLeadPassExpLeftPostY2Q2</t>
  </si>
  <si>
    <t>Y2Q3 LeadPass</t>
  </si>
  <si>
    <t>calcY2Q3LeadPassExp</t>
  </si>
  <si>
    <t>LeadPass Left After Y2Q3</t>
  </si>
  <si>
    <t>calcLeadPassExpLeftPostY2Q3</t>
  </si>
  <si>
    <t>Y2Q4 LeadPass</t>
  </si>
  <si>
    <t>calcY2Q4LeadPassExp</t>
  </si>
  <si>
    <t>LeadPass Left After Y2Q4</t>
  </si>
  <si>
    <t>calcLeadPassExpLeftPostY2Q4</t>
  </si>
  <si>
    <t>calcLeadPassTimeline</t>
  </si>
  <si>
    <t>LeadPass</t>
  </si>
  <si>
    <t>finQ1LeadPassExp</t>
  </si>
  <si>
    <t>finQ2LeadPassExp</t>
  </si>
  <si>
    <t>finQ3LeadPassExp</t>
  </si>
  <si>
    <t>finQ4LeadPassExp</t>
  </si>
  <si>
    <t>finY1LeadPassExp</t>
  </si>
  <si>
    <t>LeadPass Integration</t>
  </si>
  <si>
    <t>finY2Q1LeadPassExp</t>
  </si>
  <si>
    <t>finY2Q2LeadPassExp</t>
  </si>
  <si>
    <t>finY2Q3LeadPassExp</t>
  </si>
  <si>
    <t>finY2Q4LeadPassExp</t>
  </si>
  <si>
    <t>Annual LeadPass</t>
  </si>
  <si>
    <t>finY2AnnualLeadPassExp</t>
  </si>
  <si>
    <t>dataY3Q1Rev</t>
  </si>
  <si>
    <t>dataY3Q2Rev</t>
  </si>
  <si>
    <t>dataY3Q3Rev</t>
  </si>
  <si>
    <t>dataY3Q4Rev</t>
  </si>
  <si>
    <t>Y4</t>
  </si>
  <si>
    <t>dataY4Q1Rev</t>
  </si>
  <si>
    <t>dataY4Q2Rev</t>
  </si>
  <si>
    <t>dataY4Q3Rev</t>
  </si>
  <si>
    <t>dataY4Q4Rev</t>
  </si>
  <si>
    <t>Y5</t>
  </si>
  <si>
    <t>dataY5Q1Rev</t>
  </si>
  <si>
    <t>dataY5Q2Rev</t>
  </si>
  <si>
    <t>dataY5Q3Rev</t>
  </si>
  <si>
    <t>dataY5Q4Rev</t>
  </si>
  <si>
    <t>calcQ1RevenueY3Q1</t>
  </si>
  <si>
    <t>calcQ1RevenueY3Q2</t>
  </si>
  <si>
    <t>calcQ1RevenueY3Q3</t>
  </si>
  <si>
    <t>calcQ1RevenueY3Q4</t>
  </si>
  <si>
    <t>calcQ1RevenueY4Q1</t>
  </si>
  <si>
    <t>calcQ1RevenueY4Q2</t>
  </si>
  <si>
    <t>calcQ1RevenueY4Q3</t>
  </si>
  <si>
    <t>calcQ1RevenueY4Q4</t>
  </si>
  <si>
    <t>calcQ1RevenueY5Q1</t>
  </si>
  <si>
    <t>calcQ1RevenueY5Q2</t>
  </si>
  <si>
    <t>calcQ1RevenueY5Q3</t>
  </si>
  <si>
    <t>calcQ1RevenueY5Q4</t>
  </si>
  <si>
    <t>calcQ2RevenueY3Q1</t>
  </si>
  <si>
    <t>calcQ2RevenueY3Q2</t>
  </si>
  <si>
    <t>calcQ2RevenueY3Q3</t>
  </si>
  <si>
    <t>calcQ2RevenueY3Q4</t>
  </si>
  <si>
    <t>calcQ2RevenueY4Q1</t>
  </si>
  <si>
    <t>calcQ2RevenueY4Q2</t>
  </si>
  <si>
    <t>calcQ2RevenueY4Q3</t>
  </si>
  <si>
    <t>calcQ2RevenueY4Q4</t>
  </si>
  <si>
    <t>calcQ2RevenueY5Q1</t>
  </si>
  <si>
    <t>calcQ2RevenueY5Q2</t>
  </si>
  <si>
    <t>calcQ2RevenueY5Q3</t>
  </si>
  <si>
    <t>calcQ2RevenueY5Q4</t>
  </si>
  <si>
    <t>calcQ3RevenueY3Q1</t>
  </si>
  <si>
    <t>calcQ3RevenueY3Q2</t>
  </si>
  <si>
    <t>calcQ3RevenueY3Q3</t>
  </si>
  <si>
    <t>calcQ3RevenueY3Q4</t>
  </si>
  <si>
    <t>calcQ3RevenueY4Q1</t>
  </si>
  <si>
    <t>calcQ3RevenueY4Q2</t>
  </si>
  <si>
    <t>calcQ3RevenueY4Q3</t>
  </si>
  <si>
    <t>calcQ3RevenueY4Q4</t>
  </si>
  <si>
    <t>calcQ3RevenueY5Q1</t>
  </si>
  <si>
    <t>calcQ3RevenueY5Q2</t>
  </si>
  <si>
    <t>calcQ3RevenueY5Q3</t>
  </si>
  <si>
    <t>calcQ3RevenueY5Q4</t>
  </si>
  <si>
    <t>calcQ4RevenueY3Q1</t>
  </si>
  <si>
    <t>calcQ4RevenueY3Q2</t>
  </si>
  <si>
    <t>calcQ4RevenueY3Q3</t>
  </si>
  <si>
    <t>calcQ4RevenueY3Q4</t>
  </si>
  <si>
    <t>calcQ4RevenueY4Q1</t>
  </si>
  <si>
    <t>calcQ4RevenueY4Q2</t>
  </si>
  <si>
    <t>calcQ4RevenueY4Q3</t>
  </si>
  <si>
    <t>calcQ4RevenueY4Q4</t>
  </si>
  <si>
    <t>calcQ4RevenueY5Q1</t>
  </si>
  <si>
    <t>calcQ4RevenueY5Q2</t>
  </si>
  <si>
    <t>calcQ4RevenueY5Q3</t>
  </si>
  <si>
    <t>calcQ4RevenueY5Q4</t>
  </si>
  <si>
    <t>calcY2Q1RevenueY3Q1</t>
  </si>
  <si>
    <t>calcY2Q1RevenueY3Q2</t>
  </si>
  <si>
    <t>calcY2Q1RevenueY3Q3</t>
  </si>
  <si>
    <t>calcY2Q1RevenueY3Q4</t>
  </si>
  <si>
    <t>calcY2Q1RevenueY4Q1</t>
  </si>
  <si>
    <t>calcY2Q1RevenueY4Q2</t>
  </si>
  <si>
    <t>calcY2Q1RevenueY4Q3</t>
  </si>
  <si>
    <t>calcY2Q1RevenueY4Q4</t>
  </si>
  <si>
    <t>calcY2Q1RevenueY5Q1</t>
  </si>
  <si>
    <t>calcY2Q1RevenueY5Q2</t>
  </si>
  <si>
    <t>calcY2Q1RevenueY5Q3</t>
  </si>
  <si>
    <t>calcY2Q1RevenueY5Q4</t>
  </si>
  <si>
    <t>calcY2Q2RevenueY3Q1</t>
  </si>
  <si>
    <t>calcY2Q2RevenueY3Q2</t>
  </si>
  <si>
    <t>calcY2Q2RevenueY3Q3</t>
  </si>
  <si>
    <t>calcY2Q2RevenueY3Q4</t>
  </si>
  <si>
    <t>calcY2Q2RevenueY4Q1</t>
  </si>
  <si>
    <t>calcY2Q2RevenueY4Q2</t>
  </si>
  <si>
    <t>calcY2Q2RevenueY4Q3</t>
  </si>
  <si>
    <t>calcY2Q2RevenueY4Q4</t>
  </si>
  <si>
    <t>calcY2Q2RevenueY5Q1</t>
  </si>
  <si>
    <t>calcY2Q2RevenueY5Q2</t>
  </si>
  <si>
    <t>calcY2Q2RevenueY5Q3</t>
  </si>
  <si>
    <t>calcY2Q2RevenueY5Q4</t>
  </si>
  <si>
    <t>calcY2Q3RevenueY3Q1</t>
  </si>
  <si>
    <t>calcY2Q3RevenueY3Q2</t>
  </si>
  <si>
    <t>calcY2Q3RevenueY3Q3</t>
  </si>
  <si>
    <t>calcY2Q3RevenueY3Q4</t>
  </si>
  <si>
    <t>calcY2Q3RevenueY4Q1</t>
  </si>
  <si>
    <t>calcY2Q3RevenueY4Q2</t>
  </si>
  <si>
    <t>calcY2Q3RevenueY4Q3</t>
  </si>
  <si>
    <t>calcY2Q3RevenueY4Q4</t>
  </si>
  <si>
    <t>calcY2Q3RevenueY5Q1</t>
  </si>
  <si>
    <t>calcY2Q3RevenueY5Q2</t>
  </si>
  <si>
    <t>calcY2Q3RevenueY5Q3</t>
  </si>
  <si>
    <t>calcY2Q3RevenueY5Q4</t>
  </si>
  <si>
    <t>calcY2Q4RevenueY3Q1</t>
  </si>
  <si>
    <t>calcY2Q4RevenueY3Q2</t>
  </si>
  <si>
    <t>calcY2Q4RevenueY3Q3</t>
  </si>
  <si>
    <t>calcY2Q4RevenueY3Q4</t>
  </si>
  <si>
    <t>calcY2Q4RevenueY4Q1</t>
  </si>
  <si>
    <t>calcY2Q4RevenueY4Q2</t>
  </si>
  <si>
    <t>calcY2Q4RevenueY4Q3</t>
  </si>
  <si>
    <t>calcY2Q4RevenueY4Q4</t>
  </si>
  <si>
    <t>calcY2Q4RevenueY5Q1</t>
  </si>
  <si>
    <t>calcY2Q4RevenueY5Q2</t>
  </si>
  <si>
    <t>calcY2Q4RevenueY5Q3</t>
  </si>
  <si>
    <t>calcY2Q4RevenueY5Q4</t>
  </si>
  <si>
    <t>Revenue Waterfall</t>
  </si>
  <si>
    <t>calcY3Q1AttritionDifference</t>
  </si>
  <si>
    <t>calcY3Q1RevenueAdjustment</t>
  </si>
  <si>
    <t>calcY3Q1RevenueY-2Q1</t>
  </si>
  <si>
    <t>calcY3Q1RevenueY-2Q2</t>
  </si>
  <si>
    <t>calcY3Q1RevenueY-2Q3</t>
  </si>
  <si>
    <t>calcY3Q1RevenueY-2Q4</t>
  </si>
  <si>
    <t>calcY3Q1RevenueY-1Q1</t>
  </si>
  <si>
    <t>calcY3Q1RevenueY-1Q2</t>
  </si>
  <si>
    <t>calcY3Q1RevenueY-1Q3</t>
  </si>
  <si>
    <t>calcY3Q1RevenueY-1Q4</t>
  </si>
  <si>
    <t>calcY3Q1RevenueY0Q1</t>
  </si>
  <si>
    <t>calcY3Q1RevenueY0Q2</t>
  </si>
  <si>
    <t>calcY3Q1RevenueY0Q3</t>
  </si>
  <si>
    <t>calcY3Q1RevenueY0Q4</t>
  </si>
  <si>
    <t>calcY3Q1RevenueY1Q1</t>
  </si>
  <si>
    <t>calcY3Q1RevenueY1Q2</t>
  </si>
  <si>
    <t>calcY3Q1RevenueY1Q3</t>
  </si>
  <si>
    <t>calcY3Q1RevenueY1Q4</t>
  </si>
  <si>
    <t>calcY3Q1RevenueY3Q1</t>
  </si>
  <si>
    <t>calcY3Q1RevenueY2Q2</t>
  </si>
  <si>
    <t>calcY3Q1RevenueY2Q3</t>
  </si>
  <si>
    <t>calcY3Q1RevenueY2Q4</t>
  </si>
  <si>
    <t>calcY3Q1RevenueY3Q2</t>
  </si>
  <si>
    <t>calcY3Q1RevenueY3Q3</t>
  </si>
  <si>
    <t>calcY3Q1RevenueY3Q4</t>
  </si>
  <si>
    <t>calcY3Q1RevenueY4Q1</t>
  </si>
  <si>
    <t>calcY3Q1RevenueY4Q2</t>
  </si>
  <si>
    <t>calcY3Q1RevenueY4Q3</t>
  </si>
  <si>
    <t>calcY3Q1RevenueY4Q4</t>
  </si>
  <si>
    <t>calcY3Q1RevenueY5Q1</t>
  </si>
  <si>
    <t>calcY3Q1RevenueY5Q2</t>
  </si>
  <si>
    <t>calcY3Q1RevenueY5Q3</t>
  </si>
  <si>
    <t>calcY3Q1RevenueY5Q4</t>
  </si>
  <si>
    <t>calcY3Q1Rev</t>
  </si>
  <si>
    <t>calcACVY3Q1</t>
  </si>
  <si>
    <t>calcY3Q2AttritionDifference</t>
  </si>
  <si>
    <t>calcY3Q2RevenueAdjustment</t>
  </si>
  <si>
    <t>calcY3Q2RevenueY-2Q1</t>
  </si>
  <si>
    <t>calcY3Q2RevenueY-2Q2</t>
  </si>
  <si>
    <t>calcY3Q2RevenueY-2Q3</t>
  </si>
  <si>
    <t>calcY3Q2RevenueY-2Q4</t>
  </si>
  <si>
    <t>calcY3Q2RevenueY-1Q1</t>
  </si>
  <si>
    <t>calcY3Q2RevenueY-1Q2</t>
  </si>
  <si>
    <t>calcY3Q2RevenueY-1Q3</t>
  </si>
  <si>
    <t>calcY3Q2RevenueY-1Q4</t>
  </si>
  <si>
    <t>calcY3Q2RevenueY0Q1</t>
  </si>
  <si>
    <t>calcY3Q2RevenueY0Q2</t>
  </si>
  <si>
    <t>calcY3Q2RevenueY0Q3</t>
  </si>
  <si>
    <t>calcY3Q2RevenueY0Q4</t>
  </si>
  <si>
    <t>calcY3Q2RevenueY1Q1</t>
  </si>
  <si>
    <t>calcY3Q2RevenueY1Q2</t>
  </si>
  <si>
    <t>calcY3Q2RevenueY1Q3</t>
  </si>
  <si>
    <t>calcY3Q2RevenueY1Q4</t>
  </si>
  <si>
    <t>calcY3Q2RevenueY3Q1</t>
  </si>
  <si>
    <t>calcY3Q2RevenueY3Q2</t>
  </si>
  <si>
    <t>calcY3Q2RevenueY2Q3</t>
  </si>
  <si>
    <t>calcY3Q2RevenueY2Q4</t>
  </si>
  <si>
    <t>calcY3Q2RevenueY3Q3</t>
  </si>
  <si>
    <t>calcY3Q2RevenueY3Q4</t>
  </si>
  <si>
    <t>calcY3Q2RevenueY4Q1</t>
  </si>
  <si>
    <t>calcY3Q2RevenueY4Q2</t>
  </si>
  <si>
    <t>calcY3Q2RevenueY4Q3</t>
  </si>
  <si>
    <t>calcY3Q2RevenueY4Q4</t>
  </si>
  <si>
    <t>calcY3Q2RevenueY5Q1</t>
  </si>
  <si>
    <t>calcY3Q2RevenueY5Q2</t>
  </si>
  <si>
    <t>calcY3Q2RevenueY5Q3</t>
  </si>
  <si>
    <t>calcY3Q2RevenueY5Q4</t>
  </si>
  <si>
    <t>calcY3Q2Rev</t>
  </si>
  <si>
    <t>calcACVY3Q2</t>
  </si>
  <si>
    <t>calcY3Q3AttritionDifference</t>
  </si>
  <si>
    <t>calcY3Q3RevenueAdjustment</t>
  </si>
  <si>
    <t>calcY3Q3RevenueY-2Q1</t>
  </si>
  <si>
    <t>calcY3Q3RevenueY-2Q2</t>
  </si>
  <si>
    <t>calcY3Q3RevenueY-2Q3</t>
  </si>
  <si>
    <t>calcY3Q3RevenueY-2Q4</t>
  </si>
  <si>
    <t>calcY3Q3RevenueY-1Q1</t>
  </si>
  <si>
    <t>calcY3Q3RevenueY-1Q2</t>
  </si>
  <si>
    <t>calcY3Q3RevenueY-1Q3</t>
  </si>
  <si>
    <t>calcY3Q3RevenueY-1Q4</t>
  </si>
  <si>
    <t>calcY3Q3RevenueY0Q1</t>
  </si>
  <si>
    <t>calcY3Q3RevenueY0Q2</t>
  </si>
  <si>
    <t>calcY3Q3RevenueY0Q3</t>
  </si>
  <si>
    <t>calcY3Q3RevenueY0Q4</t>
  </si>
  <si>
    <t>calcY3Q3RevenueY1Q1</t>
  </si>
  <si>
    <t>calcY3Q3RevenueY1Q2</t>
  </si>
  <si>
    <t>calcY3Q3RevenueY1Q3</t>
  </si>
  <si>
    <t>calcY3Q3RevenueY1Q4</t>
  </si>
  <si>
    <t>calcY3Q3RevenueY3Q1</t>
  </si>
  <si>
    <t>calcY3Q3RevenueY3Q2</t>
  </si>
  <si>
    <t>calcY3Q3RevenueY3Q3</t>
  </si>
  <si>
    <t>calcY3Q3RevenueY2Q4</t>
  </si>
  <si>
    <t>calcY3Q3RevenueY3Q4</t>
  </si>
  <si>
    <t>calcY3Q3RevenueY4Q1</t>
  </si>
  <si>
    <t>calcY3Q3RevenueY4Q2</t>
  </si>
  <si>
    <t>calcY3Q3RevenueY4Q3</t>
  </si>
  <si>
    <t>calcY3Q3RevenueY4Q4</t>
  </si>
  <si>
    <t>calcY3Q3RevenueY5Q1</t>
  </si>
  <si>
    <t>calcY3Q3RevenueY5Q2</t>
  </si>
  <si>
    <t>calcY3Q3RevenueY5Q3</t>
  </si>
  <si>
    <t>calcY3Q3RevenueY5Q4</t>
  </si>
  <si>
    <t>calcY3Q3Rev</t>
  </si>
  <si>
    <t>calcACVY3Q3</t>
  </si>
  <si>
    <t>calcY3Q4AttritionDifference</t>
  </si>
  <si>
    <t>calcY3Q4RevenueAdjustment</t>
  </si>
  <si>
    <t>calcY3Q4RevenueY-2Q1</t>
  </si>
  <si>
    <t>calcY3Q4RevenueY-2Q2</t>
  </si>
  <si>
    <t>calcY3Q4RevenueY-2Q3</t>
  </si>
  <si>
    <t>calcY3Q4RevenueY-2Q4</t>
  </si>
  <si>
    <t>calcY3Q4RevenueY-1Q1</t>
  </si>
  <si>
    <t>calcY3Q4RevenueY-1Q2</t>
  </si>
  <si>
    <t>calcY3Q4RevenueY-1Q3</t>
  </si>
  <si>
    <t>calcY3Q4RevenueY-1Q4</t>
  </si>
  <si>
    <t>calcY3Q4RevenueY0Q1</t>
  </si>
  <si>
    <t>calcY3Q4RevenueY0Q2</t>
  </si>
  <si>
    <t>calcY3Q4RevenueY0Q3</t>
  </si>
  <si>
    <t>calcY3Q4RevenueY0Q4</t>
  </si>
  <si>
    <t>calcY3Q4RevenueY1Q1</t>
  </si>
  <si>
    <t>calcY3Q4RevenueY1Q2</t>
  </si>
  <si>
    <t>calcY3Q4RevenueY1Q3</t>
  </si>
  <si>
    <t>calcY3Q4RevenueY1Q4</t>
  </si>
  <si>
    <t>calcY3Q4RevenueY3Q1</t>
  </si>
  <si>
    <t>calcY3Q4RevenueY3Q2</t>
  </si>
  <si>
    <t>calcY3Q4RevenueY3Q3</t>
  </si>
  <si>
    <t>calcY3Q4RevenueY3Q4</t>
  </si>
  <si>
    <t>calcY3Q4RevenueY4Q1</t>
  </si>
  <si>
    <t>calcY3Q4RevenueY4Q2</t>
  </si>
  <si>
    <t>calcY3Q4RevenueY4Q3</t>
  </si>
  <si>
    <t>calcY3Q4RevenueY4Q4</t>
  </si>
  <si>
    <t>calcY3Q4RevenueY5Q1</t>
  </si>
  <si>
    <t>calcY3Q4RevenueY5Q2</t>
  </si>
  <si>
    <t>calcY3Q4RevenueY5Q3</t>
  </si>
  <si>
    <t>calcY3Q4RevenueY5Q4</t>
  </si>
  <si>
    <t>calcY3Q4Rev</t>
  </si>
  <si>
    <t>calcACVY3Q4</t>
  </si>
  <si>
    <t>calcACVTotalY3</t>
  </si>
  <si>
    <t>calcY3Q1RevenueY2Q1</t>
  </si>
  <si>
    <t>calcY3Q2RevenueY2Q1</t>
  </si>
  <si>
    <t>calcY3Q2RevenueY2Q2</t>
  </si>
  <si>
    <t>calcY3Q3RevenueY2Q1</t>
  </si>
  <si>
    <t>calcY3Q3RevenueY2Q2</t>
  </si>
  <si>
    <t>calcY3Q3RevenueY2Q3</t>
  </si>
  <si>
    <t>calcY3Q4RevenueY2Q1</t>
  </si>
  <si>
    <t>calcY3Q4RevenueY2Q2</t>
  </si>
  <si>
    <t>calcY3Q4RevenueY2Q3</t>
  </si>
  <si>
    <t>calcY3Q4RevenueY2Q4</t>
  </si>
  <si>
    <t>calcY4Q1AttritionDifference</t>
  </si>
  <si>
    <t>calcY4Q1RevenueAdjustment</t>
  </si>
  <si>
    <t>calcY4Q1RevenueY-2Q1</t>
  </si>
  <si>
    <t>calcY4Q1RevenueY-2Q2</t>
  </si>
  <si>
    <t>calcY4Q1RevenueY-2Q3</t>
  </si>
  <si>
    <t>calcY4Q1RevenueY-2Q4</t>
  </si>
  <si>
    <t>calcY4Q1RevenueY-1Q1</t>
  </si>
  <si>
    <t>calcY4Q1RevenueY-1Q2</t>
  </si>
  <si>
    <t>calcY4Q1RevenueY-1Q3</t>
  </si>
  <si>
    <t>calcY4Q1RevenueY-1Q4</t>
  </si>
  <si>
    <t>calcY4Q1RevenueY0Q1</t>
  </si>
  <si>
    <t>calcY4Q1RevenueY0Q2</t>
  </si>
  <si>
    <t>calcY4Q1RevenueY0Q3</t>
  </si>
  <si>
    <t>calcY4Q1RevenueY0Q4</t>
  </si>
  <si>
    <t>calcY4Q1RevenueY1Q1</t>
  </si>
  <si>
    <t>calcY4Q1RevenueY1Q2</t>
  </si>
  <si>
    <t>calcY4Q1RevenueY1Q3</t>
  </si>
  <si>
    <t>calcY4Q1RevenueY1Q4</t>
  </si>
  <si>
    <t>calcY4Q1RevenueY2Q1</t>
  </si>
  <si>
    <t>calcY4Q1RevenueY2Q2</t>
  </si>
  <si>
    <t>calcY4Q1RevenueY2Q3</t>
  </si>
  <si>
    <t>calcY4Q1RevenueY2Q4</t>
  </si>
  <si>
    <t>calcY4Q1RevenueY3Q1</t>
  </si>
  <si>
    <t>calcY4Q1RevenueY3Q2</t>
  </si>
  <si>
    <t>calcY4Q1RevenueY3Q3</t>
  </si>
  <si>
    <t>calcY4Q1RevenueY3Q4</t>
  </si>
  <si>
    <t>calcY4Q1RevenueY4Q1</t>
  </si>
  <si>
    <t>calcY4Q1RevenueY4Q2</t>
  </si>
  <si>
    <t>calcY4Q1RevenueY4Q3</t>
  </si>
  <si>
    <t>calcY4Q1RevenueY4Q4</t>
  </si>
  <si>
    <t>calcY4Q1RevenueY5Q1</t>
  </si>
  <si>
    <t>calcY4Q1RevenueY5Q2</t>
  </si>
  <si>
    <t>calcY4Q1RevenueY5Q3</t>
  </si>
  <si>
    <t>calcY4Q1RevenueY5Q4</t>
  </si>
  <si>
    <t>calcY4Q1Rev</t>
  </si>
  <si>
    <t>calcY4Q2AttritionDifference</t>
  </si>
  <si>
    <t>calcY4Q2RevenueAdjustment</t>
  </si>
  <si>
    <t>calcY4Q2RevenueY-2Q1</t>
  </si>
  <si>
    <t>calcY4Q2RevenueY-2Q2</t>
  </si>
  <si>
    <t>calcY4Q2RevenueY-2Q3</t>
  </si>
  <si>
    <t>calcY4Q2RevenueY-2Q4</t>
  </si>
  <si>
    <t>calcY4Q2RevenueY-1Q1</t>
  </si>
  <si>
    <t>calcY4Q2RevenueY-1Q2</t>
  </si>
  <si>
    <t>calcY4Q2RevenueY-1Q3</t>
  </si>
  <si>
    <t>calcY4Q2RevenueY-1Q4</t>
  </si>
  <si>
    <t>calcY4Q2RevenueY0Q1</t>
  </si>
  <si>
    <t>calcY4Q2RevenueY0Q2</t>
  </si>
  <si>
    <t>calcY4Q2RevenueY0Q3</t>
  </si>
  <si>
    <t>calcY4Q2RevenueY0Q4</t>
  </si>
  <si>
    <t>calcY4Q2RevenueY1Q1</t>
  </si>
  <si>
    <t>calcY4Q2RevenueY1Q2</t>
  </si>
  <si>
    <t>calcY4Q2RevenueY1Q3</t>
  </si>
  <si>
    <t>calcY4Q2RevenueY1Q4</t>
  </si>
  <si>
    <t>calcY4Q2RevenueY2Q1</t>
  </si>
  <si>
    <t>calcY4Q2RevenueY2Q2</t>
  </si>
  <si>
    <t>calcY4Q2RevenueY2Q3</t>
  </si>
  <si>
    <t>calcY4Q2RevenueY2Q4</t>
  </si>
  <si>
    <t>calcY4Q2RevenueY3Q1</t>
  </si>
  <si>
    <t>calcY4Q2RevenueY3Q2</t>
  </si>
  <si>
    <t>calcY4Q2RevenueY3Q3</t>
  </si>
  <si>
    <t>calcY4Q2RevenueY3Q4</t>
  </si>
  <si>
    <t>calcY4Q2RevenueY4Q1</t>
  </si>
  <si>
    <t>calcY4Q2RevenueY4Q2</t>
  </si>
  <si>
    <t>calcY4Q2RevenueY4Q3</t>
  </si>
  <si>
    <t>calcY4Q2RevenueY4Q4</t>
  </si>
  <si>
    <t>calcY4Q2RevenueY5Q1</t>
  </si>
  <si>
    <t>calcY4Q2RevenueY5Q2</t>
  </si>
  <si>
    <t>calcY4Q2RevenueY5Q3</t>
  </si>
  <si>
    <t>calcY4Q2RevenueY5Q4</t>
  </si>
  <si>
    <t>calcY4Q2Rev</t>
  </si>
  <si>
    <t>calcY4Q3AttritionDifference</t>
  </si>
  <si>
    <t>calcY4Q3RevenueAdjustment</t>
  </si>
  <si>
    <t>calcY4Q3RevenueY-2Q1</t>
  </si>
  <si>
    <t>calcY4Q3RevenueY-2Q2</t>
  </si>
  <si>
    <t>calcY4Q3RevenueY-2Q3</t>
  </si>
  <si>
    <t>calcY4Q3RevenueY-2Q4</t>
  </si>
  <si>
    <t>calcY4Q3RevenueY-1Q1</t>
  </si>
  <si>
    <t>calcY4Q3RevenueY-1Q2</t>
  </si>
  <si>
    <t>calcY4Q3RevenueY-1Q3</t>
  </si>
  <si>
    <t>calcY4Q3RevenueY-1Q4</t>
  </si>
  <si>
    <t>calcY4Q3RevenueY0Q1</t>
  </si>
  <si>
    <t>calcY4Q3RevenueY0Q2</t>
  </si>
  <si>
    <t>calcY4Q3RevenueY0Q3</t>
  </si>
  <si>
    <t>calcY4Q3RevenueY0Q4</t>
  </si>
  <si>
    <t>calcY4Q3RevenueY1Q1</t>
  </si>
  <si>
    <t>calcY4Q3RevenueY1Q2</t>
  </si>
  <si>
    <t>calcY4Q3RevenueY1Q3</t>
  </si>
  <si>
    <t>calcY4Q3RevenueY1Q4</t>
  </si>
  <si>
    <t>calcY4Q3RevenueY2Q1</t>
  </si>
  <si>
    <t>calcY4Q3RevenueY2Q2</t>
  </si>
  <si>
    <t>calcY4Q3RevenueY2Q3</t>
  </si>
  <si>
    <t>calcY4Q3RevenueY2Q4</t>
  </si>
  <si>
    <t>calcY4Q3RevenueY3Q1</t>
  </si>
  <si>
    <t>calcY4Q3RevenueY3Q2</t>
  </si>
  <si>
    <t>calcY4Q3RevenueY3Q3</t>
  </si>
  <si>
    <t>calcY4Q3RevenueY3Q4</t>
  </si>
  <si>
    <t>calcY4Q3RevenueY4Q1</t>
  </si>
  <si>
    <t>calcY4Q3RevenueY4Q2</t>
  </si>
  <si>
    <t>calcY4Q3RevenueY4Q3</t>
  </si>
  <si>
    <t>calcY4Q3RevenueY4Q4</t>
  </si>
  <si>
    <t>calcY4Q3RevenueY5Q1</t>
  </si>
  <si>
    <t>calcY4Q3RevenueY5Q2</t>
  </si>
  <si>
    <t>calcY4Q3RevenueY5Q3</t>
  </si>
  <si>
    <t>calcY4Q3RevenueY5Q4</t>
  </si>
  <si>
    <t>calcY4Q3Rev</t>
  </si>
  <si>
    <t>calcY4Q4AttritionDifference</t>
  </si>
  <si>
    <t>calcY4Q4RevenueAdjustment</t>
  </si>
  <si>
    <t>calcY4Q4RevenueY-2Q1</t>
  </si>
  <si>
    <t>calcY4Q4RevenueY-2Q2</t>
  </si>
  <si>
    <t>calcY4Q4RevenueY-2Q3</t>
  </si>
  <si>
    <t>calcY4Q4RevenueY-2Q4</t>
  </si>
  <si>
    <t>calcY4Q4RevenueY-1Q1</t>
  </si>
  <si>
    <t>calcY4Q4RevenueY-1Q2</t>
  </si>
  <si>
    <t>calcY4Q4RevenueY-1Q3</t>
  </si>
  <si>
    <t>calcY4Q4RevenueY-1Q4</t>
  </si>
  <si>
    <t>calcY4Q4RevenueY0Q1</t>
  </si>
  <si>
    <t>calcY4Q4RevenueY0Q2</t>
  </si>
  <si>
    <t>calcY4Q4RevenueY0Q3</t>
  </si>
  <si>
    <t>calcY4Q4RevenueY0Q4</t>
  </si>
  <si>
    <t>calcY4Q4RevenueY1Q1</t>
  </si>
  <si>
    <t>calcY4Q4RevenueY1Q2</t>
  </si>
  <si>
    <t>calcY4Q4RevenueY1Q3</t>
  </si>
  <si>
    <t>calcY4Q4RevenueY1Q4</t>
  </si>
  <si>
    <t>calcY4Q4RevenueY2Q1</t>
  </si>
  <si>
    <t>calcY4Q4RevenueY2Q2</t>
  </si>
  <si>
    <t>calcY4Q4RevenueY2Q3</t>
  </si>
  <si>
    <t>calcY4Q4RevenueY2Q4</t>
  </si>
  <si>
    <t>calcY4Q4RevenueY3Q1</t>
  </si>
  <si>
    <t>calcY4Q4RevenueY3Q2</t>
  </si>
  <si>
    <t>calcY4Q4RevenueY3Q3</t>
  </si>
  <si>
    <t>calcY4Q4RevenueY3Q4</t>
  </si>
  <si>
    <t>calcY4Q4RevenueY4Q1</t>
  </si>
  <si>
    <t>calcY4Q4RevenueY4Q2</t>
  </si>
  <si>
    <t>calcY4Q4RevenueY4Q3</t>
  </si>
  <si>
    <t>calcY4Q4RevenueY4Q4</t>
  </si>
  <si>
    <t>calcY4Q4RevenueY5Q1</t>
  </si>
  <si>
    <t>calcY4Q4RevenueY5Q2</t>
  </si>
  <si>
    <t>calcY4Q4RevenueY5Q3</t>
  </si>
  <si>
    <t>calcY4Q4RevenueY5Q4</t>
  </si>
  <si>
    <t>calcY4Q4Rev</t>
  </si>
  <si>
    <t>calcY5Q4AttritionDifference</t>
  </si>
  <si>
    <t>calcY5Q4RevenueAdjustment</t>
  </si>
  <si>
    <t>calcY5Q4RevenueY-2Q1</t>
  </si>
  <si>
    <t>calcY5Q4RevenueY-2Q2</t>
  </si>
  <si>
    <t>calcY5Q4RevenueY-2Q3</t>
  </si>
  <si>
    <t>calcY5Q4RevenueY-2Q4</t>
  </si>
  <si>
    <t>calcY5Q4RevenueY-1Q1</t>
  </si>
  <si>
    <t>calcY5Q4RevenueY-1Q2</t>
  </si>
  <si>
    <t>calcY5Q4RevenueY-1Q3</t>
  </si>
  <si>
    <t>calcY5Q4RevenueY-1Q4</t>
  </si>
  <si>
    <t>calcY5Q4RevenueY0Q1</t>
  </si>
  <si>
    <t>calcY5Q4RevenueY0Q2</t>
  </si>
  <si>
    <t>calcY5Q4RevenueY0Q3</t>
  </si>
  <si>
    <t>calcY5Q4RevenueY0Q4</t>
  </si>
  <si>
    <t>calcY5Q4RevenueY1Q1</t>
  </si>
  <si>
    <t>calcY5Q4RevenueY1Q2</t>
  </si>
  <si>
    <t>calcY5Q4RevenueY1Q3</t>
  </si>
  <si>
    <t>calcY5Q4RevenueY1Q4</t>
  </si>
  <si>
    <t>calcY5Q4RevenueY2Q1</t>
  </si>
  <si>
    <t>calcY5Q4RevenueY2Q2</t>
  </si>
  <si>
    <t>calcY5Q4RevenueY2Q3</t>
  </si>
  <si>
    <t>calcY5Q4RevenueY2Q4</t>
  </si>
  <si>
    <t>calcY5Q4RevenueY3Q1</t>
  </si>
  <si>
    <t>calcY5Q4RevenueY3Q2</t>
  </si>
  <si>
    <t>calcY5Q4RevenueY3Q3</t>
  </si>
  <si>
    <t>calcY5Q4RevenueY3Q4</t>
  </si>
  <si>
    <t>calcY5Q4RevenueY4Q1</t>
  </si>
  <si>
    <t>calcY5Q4RevenueY4Q2</t>
  </si>
  <si>
    <t>calcY5Q4RevenueY4Q3</t>
  </si>
  <si>
    <t>calcY5Q4RevenueY4Q4</t>
  </si>
  <si>
    <t>calcY5Q4RevenueY5Q1</t>
  </si>
  <si>
    <t>calcY5Q4RevenueY5Q2</t>
  </si>
  <si>
    <t>calcY5Q4RevenueY5Q3</t>
  </si>
  <si>
    <t>calcY5Q4RevenueY5Q4</t>
  </si>
  <si>
    <t>calcY5Q4Rev</t>
  </si>
  <si>
    <t>calcY5Q3AttritionDifference</t>
  </si>
  <si>
    <t>calcY5Q3RevenueAdjustment</t>
  </si>
  <si>
    <t>calcY5Q3RevenueY-2Q1</t>
  </si>
  <si>
    <t>calcY5Q3RevenueY-2Q2</t>
  </si>
  <si>
    <t>calcY5Q3RevenueY-2Q3</t>
  </si>
  <si>
    <t>calcY5Q3RevenueY-2Q4</t>
  </si>
  <si>
    <t>calcY5Q3RevenueY-1Q1</t>
  </si>
  <si>
    <t>calcY5Q3RevenueY-1Q2</t>
  </si>
  <si>
    <t>calcY5Q3RevenueY-1Q3</t>
  </si>
  <si>
    <t>calcY5Q3RevenueY-1Q4</t>
  </si>
  <si>
    <t>calcY5Q3RevenueY0Q1</t>
  </si>
  <si>
    <t>calcY5Q3RevenueY0Q2</t>
  </si>
  <si>
    <t>calcY5Q3RevenueY0Q3</t>
  </si>
  <si>
    <t>calcY5Q3RevenueY0Q4</t>
  </si>
  <si>
    <t>calcY5Q3RevenueY1Q1</t>
  </si>
  <si>
    <t>calcY5Q3RevenueY1Q2</t>
  </si>
  <si>
    <t>calcY5Q3RevenueY1Q3</t>
  </si>
  <si>
    <t>calcY5Q3RevenueY1Q4</t>
  </si>
  <si>
    <t>calcY5Q3RevenueY2Q1</t>
  </si>
  <si>
    <t>calcY5Q3RevenueY2Q2</t>
  </si>
  <si>
    <t>calcY5Q3RevenueY2Q3</t>
  </si>
  <si>
    <t>calcY5Q3RevenueY2Q4</t>
  </si>
  <si>
    <t>calcY5Q3RevenueY3Q1</t>
  </si>
  <si>
    <t>calcY5Q3RevenueY3Q2</t>
  </si>
  <si>
    <t>calcY5Q3RevenueY3Q3</t>
  </si>
  <si>
    <t>calcY5Q3RevenueY3Q4</t>
  </si>
  <si>
    <t>calcY5Q3RevenueY4Q1</t>
  </si>
  <si>
    <t>calcY5Q3RevenueY4Q2</t>
  </si>
  <si>
    <t>calcY5Q3RevenueY4Q3</t>
  </si>
  <si>
    <t>calcY5Q3RevenueY4Q4</t>
  </si>
  <si>
    <t>calcY5Q3RevenueY5Q1</t>
  </si>
  <si>
    <t>calcY5Q3RevenueY5Q2</t>
  </si>
  <si>
    <t>calcY5Q3RevenueY5Q3</t>
  </si>
  <si>
    <t>calcY5Q3RevenueY5Q4</t>
  </si>
  <si>
    <t>calcY5Q3Rev</t>
  </si>
  <si>
    <t>calcY5Q2AttritionDifference</t>
  </si>
  <si>
    <t>calcY5Q2RevenueAdjustment</t>
  </si>
  <si>
    <t>calcY5Q2RevenueY-2Q1</t>
  </si>
  <si>
    <t>calcY5Q2RevenueY-2Q2</t>
  </si>
  <si>
    <t>calcY5Q2RevenueY-2Q3</t>
  </si>
  <si>
    <t>calcY5Q2RevenueY-2Q4</t>
  </si>
  <si>
    <t>calcY5Q2RevenueY-1Q1</t>
  </si>
  <si>
    <t>calcY5Q2RevenueY-1Q2</t>
  </si>
  <si>
    <t>calcY5Q2RevenueY-1Q3</t>
  </si>
  <si>
    <t>calcY5Q2RevenueY-1Q4</t>
  </si>
  <si>
    <t>calcY5Q2RevenueY0Q1</t>
  </si>
  <si>
    <t>calcY5Q2RevenueY0Q2</t>
  </si>
  <si>
    <t>calcY5Q2RevenueY0Q3</t>
  </si>
  <si>
    <t>calcY5Q2RevenueY0Q4</t>
  </si>
  <si>
    <t>calcY5Q2RevenueY1Q1</t>
  </si>
  <si>
    <t>calcY5Q2RevenueY1Q2</t>
  </si>
  <si>
    <t>calcY5Q2RevenueY1Q3</t>
  </si>
  <si>
    <t>calcY5Q2RevenueY1Q4</t>
  </si>
  <si>
    <t>calcY5Q2RevenueY2Q1</t>
  </si>
  <si>
    <t>calcY5Q2RevenueY2Q2</t>
  </si>
  <si>
    <t>calcY5Q2RevenueY2Q3</t>
  </si>
  <si>
    <t>calcY5Q2RevenueY2Q4</t>
  </si>
  <si>
    <t>calcY5Q2RevenueY3Q1</t>
  </si>
  <si>
    <t>calcY5Q2RevenueY3Q2</t>
  </si>
  <si>
    <t>calcY5Q2RevenueY3Q3</t>
  </si>
  <si>
    <t>calcY5Q2RevenueY3Q4</t>
  </si>
  <si>
    <t>calcY5Q2RevenueY4Q1</t>
  </si>
  <si>
    <t>calcY5Q2RevenueY4Q2</t>
  </si>
  <si>
    <t>calcY5Q2RevenueY4Q3</t>
  </si>
  <si>
    <t>calcY5Q2RevenueY4Q4</t>
  </si>
  <si>
    <t>calcY5Q2RevenueY5Q1</t>
  </si>
  <si>
    <t>calcY5Q2RevenueY5Q2</t>
  </si>
  <si>
    <t>calcY5Q2RevenueY5Q3</t>
  </si>
  <si>
    <t>calcY5Q2RevenueY5Q4</t>
  </si>
  <si>
    <t>calcY5Q2Rev</t>
  </si>
  <si>
    <t>calcY5Q1AttritionDifference</t>
  </si>
  <si>
    <t>calcY5Q1RevenueAdjustment</t>
  </si>
  <si>
    <t>calcY5Q1RevenueY-2Q1</t>
  </si>
  <si>
    <t>calcY5Q1RevenueY-2Q2</t>
  </si>
  <si>
    <t>calcY5Q1RevenueY-2Q3</t>
  </si>
  <si>
    <t>calcY5Q1RevenueY-2Q4</t>
  </si>
  <si>
    <t>calcY5Q1RevenueY-1Q1</t>
  </si>
  <si>
    <t>calcY5Q1RevenueY-1Q2</t>
  </si>
  <si>
    <t>calcY5Q1RevenueY-1Q3</t>
  </si>
  <si>
    <t>calcY5Q1RevenueY-1Q4</t>
  </si>
  <si>
    <t>calcY5Q1RevenueY0Q1</t>
  </si>
  <si>
    <t>calcY5Q1RevenueY0Q2</t>
  </si>
  <si>
    <t>calcY5Q1RevenueY0Q3</t>
  </si>
  <si>
    <t>calcY5Q1RevenueY0Q4</t>
  </si>
  <si>
    <t>calcY5Q1RevenueY1Q1</t>
  </si>
  <si>
    <t>calcY5Q1RevenueY1Q2</t>
  </si>
  <si>
    <t>calcY5Q1RevenueY1Q3</t>
  </si>
  <si>
    <t>calcY5Q1RevenueY1Q4</t>
  </si>
  <si>
    <t>calcY5Q1RevenueY2Q1</t>
  </si>
  <si>
    <t>calcY5Q1RevenueY2Q2</t>
  </si>
  <si>
    <t>calcY5Q1RevenueY2Q3</t>
  </si>
  <si>
    <t>calcY5Q1RevenueY2Q4</t>
  </si>
  <si>
    <t>calcY5Q1RevenueY3Q1</t>
  </si>
  <si>
    <t>calcY5Q1RevenueY3Q2</t>
  </si>
  <si>
    <t>calcY5Q1RevenueY3Q3</t>
  </si>
  <si>
    <t>calcY5Q1RevenueY3Q4</t>
  </si>
  <si>
    <t>calcY5Q1RevenueY4Q1</t>
  </si>
  <si>
    <t>calcY5Q1RevenueY4Q2</t>
  </si>
  <si>
    <t>calcY5Q1RevenueY4Q3</t>
  </si>
  <si>
    <t>calcY5Q1RevenueY4Q4</t>
  </si>
  <si>
    <t>calcY5Q1RevenueY5Q1</t>
  </si>
  <si>
    <t>calcY5Q1RevenueY5Q2</t>
  </si>
  <si>
    <t>calcY5Q1RevenueY5Q3</t>
  </si>
  <si>
    <t>calcY5Q1RevenueY5Q4</t>
  </si>
  <si>
    <t>calcY5Q1Rev</t>
  </si>
  <si>
    <t>calcACVY4Q1</t>
  </si>
  <si>
    <t>calcACVY4Q2</t>
  </si>
  <si>
    <t>calcACVY4Q3</t>
  </si>
  <si>
    <t>calcACVY4Q4</t>
  </si>
  <si>
    <t>calcACVTotalY4</t>
  </si>
  <si>
    <t>calcACVY5Q1</t>
  </si>
  <si>
    <t>calcACVY5Q2</t>
  </si>
  <si>
    <t>calcACVY5Q3</t>
  </si>
  <si>
    <t>calcACVY5Q4</t>
  </si>
  <si>
    <t>calcACVTotalY5</t>
  </si>
  <si>
    <t>Y5Q1 Revenue</t>
  </si>
  <si>
    <t>finY5Q1Rev</t>
  </si>
  <si>
    <t>Y5Q2 Revenue</t>
  </si>
  <si>
    <t>finY5Q2Rev</t>
  </si>
  <si>
    <t>Y5Q3 Revenue</t>
  </si>
  <si>
    <t>finY5Q3Rev</t>
  </si>
  <si>
    <t>Y5Q4 Revenue</t>
  </si>
  <si>
    <t>finY5Q4Rev</t>
  </si>
  <si>
    <t>FinY5AnnualRev</t>
  </si>
  <si>
    <t>Y5Q1 COS</t>
  </si>
  <si>
    <t>finY5Q1COS</t>
  </si>
  <si>
    <t>Y5Q2 COS</t>
  </si>
  <si>
    <t>finY5Q2COS</t>
  </si>
  <si>
    <t>Y5Q3 COS</t>
  </si>
  <si>
    <t>finY5Q3COS</t>
  </si>
  <si>
    <t>Y5Q4 COS</t>
  </si>
  <si>
    <t>finY5Q4COS</t>
  </si>
  <si>
    <t>finY5AnnualCOS</t>
  </si>
  <si>
    <t>finY5AnnualGrossProfit</t>
  </si>
  <si>
    <t>finY5AnnualGrossMargin</t>
  </si>
  <si>
    <t>Y5Q1 M&amp;S</t>
  </si>
  <si>
    <t>finY5Q1MSExp</t>
  </si>
  <si>
    <t>Y5Q2 M&amp;S</t>
  </si>
  <si>
    <t>finY5Q2MSExp</t>
  </si>
  <si>
    <t>Y5Q3 M&amp;S</t>
  </si>
  <si>
    <t>finY5Q3MSExp</t>
  </si>
  <si>
    <t>Y5Q4 M&amp;S</t>
  </si>
  <si>
    <t>finY5Q4MSExp</t>
  </si>
  <si>
    <t>finY5AnnualMSExp</t>
  </si>
  <si>
    <t>Y5Q1 R&amp;D</t>
  </si>
  <si>
    <t>finY5Q1RDExp</t>
  </si>
  <si>
    <t>Y5Q2 R&amp;D</t>
  </si>
  <si>
    <t>finY5Q2RDExp</t>
  </si>
  <si>
    <t>Y5Q3 R&amp;D</t>
  </si>
  <si>
    <t>finY5Q3RDExp</t>
  </si>
  <si>
    <t>Y5Q4 R&amp;D</t>
  </si>
  <si>
    <t>finY5Q4RDExp</t>
  </si>
  <si>
    <t>finY5AnnualRDExp</t>
  </si>
  <si>
    <t>Y5Q1 G&amp;A</t>
  </si>
  <si>
    <t>finY5Q1GAExp</t>
  </si>
  <si>
    <t>Y5Q2 G&amp;A</t>
  </si>
  <si>
    <t>finY5Q2GAExp</t>
  </si>
  <si>
    <t>Y5Q3 G&amp;A</t>
  </si>
  <si>
    <t>finY5Q3GAExp</t>
  </si>
  <si>
    <t>Y5Q4 G&amp;A</t>
  </si>
  <si>
    <t>finY5Q4GAExp</t>
  </si>
  <si>
    <t>finY5AnnualGAExp</t>
  </si>
  <si>
    <t>finY5AnnualOpProfit</t>
  </si>
  <si>
    <t>finY5AnnualOpMargin</t>
  </si>
  <si>
    <t>Y5Q1</t>
  </si>
  <si>
    <t>calcY5Q1MSExp</t>
  </si>
  <si>
    <t>Y5Q2</t>
  </si>
  <si>
    <t>calcY5Q2MSExp</t>
  </si>
  <si>
    <t>Y5Q3</t>
  </si>
  <si>
    <t>calcY5Q3MSExp</t>
  </si>
  <si>
    <t>Y5Q4</t>
  </si>
  <si>
    <t>calcY5Q4MSExp</t>
  </si>
  <si>
    <t>calcY5Q1RDExp</t>
  </si>
  <si>
    <t>calcY5Q2RDExp</t>
  </si>
  <si>
    <t>calcY5Q3RDExp</t>
  </si>
  <si>
    <t>calcY5Q4RDExp</t>
  </si>
  <si>
    <t>calcY5Q1GAExp</t>
  </si>
  <si>
    <t>calcY5Q2GAExp</t>
  </si>
  <si>
    <t>calcY5Q3GAExp</t>
  </si>
  <si>
    <t>calcY5Q4GAExp</t>
  </si>
  <si>
    <t>calcY5Q1COSPerc</t>
  </si>
  <si>
    <t>calcY5Q2COSPerc</t>
  </si>
  <si>
    <t>calcY5Q3COSPerc</t>
  </si>
  <si>
    <t>calcY5Q4COSPerc</t>
  </si>
  <si>
    <t>A1:T42</t>
  </si>
  <si>
    <t>A1:T40</t>
  </si>
  <si>
    <t>A1:T35</t>
  </si>
  <si>
    <t>A1:T32</t>
  </si>
  <si>
    <t>Y5 Revenue</t>
  </si>
  <si>
    <t>CAGR</t>
  </si>
  <si>
    <t>Revenue CAGR</t>
  </si>
  <si>
    <t>paramDelayImpact*0.5</t>
  </si>
  <si>
    <t>Commercial</t>
  </si>
  <si>
    <t>ESMB</t>
  </si>
  <si>
    <t>Customers</t>
  </si>
  <si>
    <t>calcESAT</t>
  </si>
  <si>
    <t>Index-ESAT1</t>
  </si>
  <si>
    <t>Emp Engagement Theoretical</t>
  </si>
  <si>
    <t>paramESAT_1</t>
  </si>
  <si>
    <t>calcESATBeforeTheoretical</t>
  </si>
  <si>
    <t>Fire Acquired CEO</t>
  </si>
  <si>
    <t>calcEEEvents_1</t>
  </si>
  <si>
    <t>Y1 Op Margin</t>
  </si>
  <si>
    <t>LeagueDriver5</t>
  </si>
  <si>
    <t>LeagueDriver5Weighted</t>
  </si>
  <si>
    <t>Tie Breaker</t>
  </si>
  <si>
    <t>League_TieBreaker</t>
  </si>
  <si>
    <t>Stack Focus Chart</t>
  </si>
  <si>
    <t>fb1000Y5Rev</t>
  </si>
  <si>
    <t>decV2MOMValue5Rank</t>
  </si>
  <si>
    <t>decV2MOMValue5Desc</t>
  </si>
  <si>
    <t>cbalV2MOMValue5Rank</t>
  </si>
  <si>
    <t>cbalV2MOMValue5Desc</t>
  </si>
  <si>
    <t>obalV2MOMValue5Rank</t>
  </si>
  <si>
    <t>obalV2MOMValue5Desc</t>
  </si>
  <si>
    <t>Revenue Growth</t>
  </si>
  <si>
    <t>Back Office Timeline</t>
  </si>
  <si>
    <t>Back Office Strategy</t>
  </si>
  <si>
    <t>calcExecVelocITTimeline</t>
  </si>
  <si>
    <t>calcExecVelocEmpIntegration</t>
  </si>
  <si>
    <t>Write your vision statement here.</t>
  </si>
  <si>
    <t>A1:I35</t>
  </si>
  <si>
    <t>xxStratAlignPercValidation</t>
  </si>
  <si>
    <t>Timeline to Finish Product Integration</t>
  </si>
  <si>
    <t>Total Cost</t>
  </si>
  <si>
    <t>($5 Million)</t>
  </si>
  <si>
    <t xml:space="preserve">Over the past several months, a torrent of M&amp;A activity in the greater Beantown vicinity will force CLOUD to revisit its Integration Plan for Snowflake as well as CLOUD’s broader Beantown real estate strategy. While satellite offices make sense when the employee base is small, with over 1,000 CLOUD employees in and around Beantown, the company needs to make a decision that considers the costs and benefits of maintaining a consistent employee experience, real estate strategy, and security standards. If you did not choose to relocate to CLOUD offices, revisit your Real Estate strategy and other related decisions.
</t>
  </si>
  <si>
    <t xml:space="preserve">Financial pressure (i.e. a bookings miss) leads to budget cuts across the company.  Some of the “easiest” ways to find savings are to delay hiring, reduce T&amp;E, and reduce integration budgets.  Regardless of your integration plan, Snowflake's integration budget is now reduced by $5M. Although budget reductions may delay integration milestones, and jeopardize the success of the acquisition, you still need to make tough cuts to remain within your reduced budget. </t>
  </si>
  <si>
    <t>As the GTM integration leads learned more about Snowflake, they discovered that Snowflake’s product provisioning is so complex that it makes a quick and comprehensive integration nearly impossible.  Teams that already had an Integration Plan of 50% stack focus or higher are not impacted. The impact for teams that chose to focus less than 50% on stack and  invested in features is a slight softening to ACV.  All teams should discuss GTM and Product strategies. If your ACV was reduced, what trade-offs will you make to fuel top line growth?</t>
  </si>
  <si>
    <t xml:space="preserve">While CLOUD thought that Snowflake’s CEO would be a great cultural fit within Sales Cloud, the CEO’s inability to work collaboratively inside a large organization, flex management style, and find common ground among many divergent interests has posed a major challenge.  After various strategies and development conversations were attempted, it was agreed that Snowflake's CEO would leave the company. The negative impact on Employee Engagement will be more severe for teams that do not invest in this area. </t>
  </si>
  <si>
    <t>Despite the support of the initial integration plan, CLOUD’s CEO has decided after close that the integration plan needs to include an expedited Lead-to-Cash integration. The CEO’s desire to double ACV expectations by fully integrating Snowflake into the AE product portfolio will be hard to manage, especially given recent discovery, budget challenges, and other execution hiccups. Revisit your Lead-to-Cash timeline; does it align with the CEO’s evolving integration strategy?</t>
  </si>
  <si>
    <t>Despite known risks, Snowflake’s network experienced a major security breach that could damage CLOUD’s reputation. If you have not fully invested in all P0, P1 and P2 priorities, you are a victim of this security breach. What do you do to respond to the breach and prevent future trust and security issues from occurring? What implications does this reshuffling of priorities have on your in-year operating margin?  What trade-offs will you make to ensure customer data remains safe?</t>
  </si>
  <si>
    <t>GTM Strategy</t>
  </si>
  <si>
    <t>calcExecVelocProductTimeline</t>
  </si>
  <si>
    <t>calcIntegrationBudgetLeftY1</t>
  </si>
  <si>
    <t>calcIntegrationBudgetY2</t>
  </si>
  <si>
    <t>calcIntegrationBudgetLeftY2</t>
  </si>
  <si>
    <t>xxBudgetLeftValidation</t>
  </si>
  <si>
    <t>calcEEBackOfficeTimeline</t>
  </si>
  <si>
    <t>Employee Integration/Timeline</t>
  </si>
  <si>
    <t>Back Office timeline</t>
  </si>
  <si>
    <t>calcRiskIndexBackOfficeTimeline</t>
  </si>
  <si>
    <t>``</t>
  </si>
  <si>
    <t>Timeline to Start Comp Adjustment</t>
  </si>
  <si>
    <t>Brand Integration</t>
  </si>
  <si>
    <t>datatblBrandIntegration</t>
  </si>
  <si>
    <t>calcFullBrandIntExp</t>
  </si>
  <si>
    <t>decGTMBrandIntegration</t>
  </si>
  <si>
    <t>calcQ1BrandIntExp</t>
  </si>
  <si>
    <t>calcBrandIntExpLeftPostQ1</t>
  </si>
  <si>
    <t>calcQ2BrandIntExp</t>
  </si>
  <si>
    <t>calcBrandIntExpLeftPostQ2</t>
  </si>
  <si>
    <t>calcQ3BrandIntExp</t>
  </si>
  <si>
    <t>calcBrandIntExpLeftPostQ3</t>
  </si>
  <si>
    <t>calcQ4BrandIntExp</t>
  </si>
  <si>
    <t>calcBrandIntExpLeftPostQ4</t>
  </si>
  <si>
    <t>calcFullBrandIntExpY2</t>
  </si>
  <si>
    <t>calcY2Q1BrandIntExp</t>
  </si>
  <si>
    <t>calcBrandIntExpLeftPostY2Q1</t>
  </si>
  <si>
    <t>calcY2Q2BrandIntExp</t>
  </si>
  <si>
    <t>calcBrandIntExpLeftPostY2Q2</t>
  </si>
  <si>
    <t>calcY2Q3BrandIntExp</t>
  </si>
  <si>
    <t>calcBrandIntExpLeftPostY2Q3</t>
  </si>
  <si>
    <t>calcY2Q4BrandIntExp</t>
  </si>
  <si>
    <t>calcBrandIntExpLeftPostY2Q4</t>
  </si>
  <si>
    <t>finQ1BrandIntExp</t>
  </si>
  <si>
    <t>finQ2BrandIntExp</t>
  </si>
  <si>
    <t>finQ3BrandIntExp</t>
  </si>
  <si>
    <t>finQ4BrandIntExp</t>
  </si>
  <si>
    <t>finY1BrandIntExp</t>
  </si>
  <si>
    <t>finY2Q1BrandIntExp</t>
  </si>
  <si>
    <t>finY2Q2BrandIntExp</t>
  </si>
  <si>
    <t>finY2Q3BrandIntExp</t>
  </si>
  <si>
    <t>finY2Q4BrandIntExp</t>
  </si>
  <si>
    <t>finY2AnnualBrandIntExp</t>
  </si>
  <si>
    <t>calcNPSBrandIntegration</t>
  </si>
  <si>
    <t>calcExecVelocBrandIntegration</t>
  </si>
  <si>
    <t>calcBrandIntegrationTimeline</t>
  </si>
  <si>
    <t>Q1 Brand Integration</t>
  </si>
  <si>
    <t>Brand Integration Left After Q1</t>
  </si>
  <si>
    <t>Q2 Brand Integration</t>
  </si>
  <si>
    <t>Brand Integration Left After Q2</t>
  </si>
  <si>
    <t>Q3 Brand Integration</t>
  </si>
  <si>
    <t>Brand Integration Left After Q3</t>
  </si>
  <si>
    <t>Q4 Brand Integration</t>
  </si>
  <si>
    <t>Brand Integration Left After Q4</t>
  </si>
  <si>
    <t>Ending Brand Integration Integration Cost</t>
  </si>
  <si>
    <t>Y2Q1 Brand Integration</t>
  </si>
  <si>
    <t>Brand Integration Left After Y2Q1</t>
  </si>
  <si>
    <t>Y2Q2 Brand Integration</t>
  </si>
  <si>
    <t>Brand Integration Left After Y2Q2</t>
  </si>
  <si>
    <t>Y2Q3 Brand Integration</t>
  </si>
  <si>
    <t>Brand Integration Left After Y2Q3</t>
  </si>
  <si>
    <t>Y2Q4 Brand Integration</t>
  </si>
  <si>
    <t>Brand Integration Left After Y2Q4</t>
  </si>
  <si>
    <t>Timeline to Initiate Brand Integration</t>
  </si>
  <si>
    <t>BrandInt Post Sales</t>
  </si>
  <si>
    <t>calcIntCostBrandInt</t>
  </si>
  <si>
    <t>calcIntCostBrandIntY2</t>
  </si>
  <si>
    <t>BrandInt</t>
  </si>
  <si>
    <t>calcTeamNum</t>
  </si>
  <si>
    <t>LeagueRanks</t>
  </si>
  <si>
    <t>Input Number of Teams</t>
  </si>
  <si>
    <t>Sim - Reset Simulation</t>
  </si>
  <si>
    <t>Keep Separate</t>
  </si>
  <si>
    <t>cbalQ1Rev</t>
  </si>
  <si>
    <t>cbalQ2Rev</t>
  </si>
  <si>
    <t>cbalQ3Rev</t>
  </si>
  <si>
    <t>cbalQ4Rev</t>
  </si>
  <si>
    <t>cbalAnnualRev</t>
  </si>
  <si>
    <t>cbalQ1COS</t>
  </si>
  <si>
    <t>cbalQ2COS</t>
  </si>
  <si>
    <t>cbalQ3COS</t>
  </si>
  <si>
    <t>cbalQ4COS</t>
  </si>
  <si>
    <t>cbalAnnualCOS</t>
  </si>
  <si>
    <t>cbalAnnualGrossProfit</t>
  </si>
  <si>
    <t>cbalAnnualGrossMargin</t>
  </si>
  <si>
    <t>cbalQ1MSExp</t>
  </si>
  <si>
    <t>cbalQ2MSExp</t>
  </si>
  <si>
    <t>cbalQ3MSExp</t>
  </si>
  <si>
    <t>cbalQ4MSExp</t>
  </si>
  <si>
    <t>cbalAnnualMSExp</t>
  </si>
  <si>
    <t>cbalQ1RDExp</t>
  </si>
  <si>
    <t>cbalQ2RDExp</t>
  </si>
  <si>
    <t>cbalQ3RDExp</t>
  </si>
  <si>
    <t>cbalQ4RDExp</t>
  </si>
  <si>
    <t>cbalAnnualRDExp</t>
  </si>
  <si>
    <t>cbalQ1GAExp</t>
  </si>
  <si>
    <t>cbalQ2GAExp</t>
  </si>
  <si>
    <t>cbalQ3GAExp</t>
  </si>
  <si>
    <t>cbalQ4GAExp</t>
  </si>
  <si>
    <t>cbalAnnualGAExp</t>
  </si>
  <si>
    <t>cbalAnnualOpProfit</t>
  </si>
  <si>
    <t>cbalAnnualOpMargin</t>
  </si>
  <si>
    <t>cbalQ1HarmExp</t>
  </si>
  <si>
    <t>cbalQ2HarmExp</t>
  </si>
  <si>
    <t>cbalQ3HarmExp</t>
  </si>
  <si>
    <t>cbalQ4HarmExp</t>
  </si>
  <si>
    <t>cbalAnnualHarmExp</t>
  </si>
  <si>
    <t>cbalQ1ITExp</t>
  </si>
  <si>
    <t>cbalQ2ITExp</t>
  </si>
  <si>
    <t>cbalQ3ITExp</t>
  </si>
  <si>
    <t>cbalQ4ITExp</t>
  </si>
  <si>
    <t>cbalAnnualITExp</t>
  </si>
  <si>
    <t>cbalQ1FullREExp</t>
  </si>
  <si>
    <t>cbalQ2FullREExp</t>
  </si>
  <si>
    <t>cbalQ3FullREExp</t>
  </si>
  <si>
    <t>cbalQ4FullREExp</t>
  </si>
  <si>
    <t>cbalAnnualFullREExp</t>
  </si>
  <si>
    <t>cbalQ1GAMigrationExp</t>
  </si>
  <si>
    <t>cbalQ2GAMigrationExp</t>
  </si>
  <si>
    <t>cbalQ3GAMigrationExp</t>
  </si>
  <si>
    <t>cbalQ4GAMigrationExp</t>
  </si>
  <si>
    <t>cbalAnnualGAMigrationExp</t>
  </si>
  <si>
    <t>cbalQ1TrustExp</t>
  </si>
  <si>
    <t>cbalQ2TrustExp</t>
  </si>
  <si>
    <t>cbalQ3TrustExp</t>
  </si>
  <si>
    <t>cbalQ4TrustExp</t>
  </si>
  <si>
    <t>cbalAnnualTrustExp</t>
  </si>
  <si>
    <t>cbalQ1CSGExp</t>
  </si>
  <si>
    <t>cbalQ2CSGExp</t>
  </si>
  <si>
    <t>cbalQ3CSGExp</t>
  </si>
  <si>
    <t>cbalQ4CSGExp</t>
  </si>
  <si>
    <t>cbalY1CSGExp</t>
  </si>
  <si>
    <t>cbalQ1BrandIntExp</t>
  </si>
  <si>
    <t>cbalQ2BrandIntExp</t>
  </si>
  <si>
    <t>cbalQ3BrandIntExp</t>
  </si>
  <si>
    <t>cbalQ4BrandIntExp</t>
  </si>
  <si>
    <t>cbalY1BrandIntExp</t>
  </si>
  <si>
    <t>cbalQ1LeadPassExp</t>
  </si>
  <si>
    <t>cbalQ2LeadPassExp</t>
  </si>
  <si>
    <t>cbalQ3LeadPassExp</t>
  </si>
  <si>
    <t>cbalQ4LeadPassExp</t>
  </si>
  <si>
    <t>cbalY1LeadPassExp</t>
  </si>
  <si>
    <t>cbalQ1Org62Exp</t>
  </si>
  <si>
    <t>cbalQ2Org62Exp</t>
  </si>
  <si>
    <t>cbalQ3Org62Exp</t>
  </si>
  <si>
    <t>cbalQ4Org62Exp</t>
  </si>
  <si>
    <t>cbalAnnualOrg62Exp</t>
  </si>
  <si>
    <t>cbalQ1StackExp</t>
  </si>
  <si>
    <t>cbalQ2StackExp</t>
  </si>
  <si>
    <t>cbalQ3StackExp</t>
  </si>
  <si>
    <t>cbalQ4StackExp</t>
  </si>
  <si>
    <t>cbalAnnualStackExp</t>
  </si>
  <si>
    <t>cbalQ1PackagingPricingExp</t>
  </si>
  <si>
    <t>cbalQ2PackagingPricingExp</t>
  </si>
  <si>
    <t>cbalQ3PackagingPricingExp</t>
  </si>
  <si>
    <t>cbalQ4PackagingPricingExp</t>
  </si>
  <si>
    <t>cbalAnnualPackagingPricingExp</t>
  </si>
  <si>
    <t>cbalQ1ExternalSalesExp</t>
  </si>
  <si>
    <t>cbalQ2ExternalSalesExp</t>
  </si>
  <si>
    <t>cbalQ3ExternalSalesExp</t>
  </si>
  <si>
    <t>cbalQ4ExternalSalesExp</t>
  </si>
  <si>
    <t>cbalAnnualExternalSalesExp</t>
  </si>
  <si>
    <t>cbalQ1RevWriteDownExp</t>
  </si>
  <si>
    <t>cbalQ2RevWriteDownExp</t>
  </si>
  <si>
    <t>cbalQ3RevWriteDownExp</t>
  </si>
  <si>
    <t>cbalQ4RevWriteDownExp</t>
  </si>
  <si>
    <t>cbalAnnualRevWriteDownExp</t>
  </si>
  <si>
    <t>cbalAnnualIntegratedOpProfit</t>
  </si>
  <si>
    <t>cbalAnnualIntegratedOpMargin</t>
  </si>
  <si>
    <t>cbalY2Q1Rev</t>
  </si>
  <si>
    <t>cbalY2Q2Rev</t>
  </si>
  <si>
    <t>cbalY2Q3Rev</t>
  </si>
  <si>
    <t>cbalY2Q4Rev</t>
  </si>
  <si>
    <t>cbalY2AnnualRev</t>
  </si>
  <si>
    <t>cbalY2Q1COS</t>
  </si>
  <si>
    <t>cbalY2Q2COS</t>
  </si>
  <si>
    <t>cbalY2Q3COS</t>
  </si>
  <si>
    <t>cbalY2Q4COS</t>
  </si>
  <si>
    <t>cbalY2AnnualCOS</t>
  </si>
  <si>
    <t>cbalY2AnnualGrossProfit</t>
  </si>
  <si>
    <t>cbalY2AnnualGrossMargin</t>
  </si>
  <si>
    <t>cbalY2Q1MSExp</t>
  </si>
  <si>
    <t>cbalY2Q2MSExp</t>
  </si>
  <si>
    <t>cbalY2Q3MSExp</t>
  </si>
  <si>
    <t>cbalY2Q4MSExp</t>
  </si>
  <si>
    <t>cbalY2AnnualMSExp</t>
  </si>
  <si>
    <t>cbalY2Q1RDExp</t>
  </si>
  <si>
    <t>cbalY2Q2RDExp</t>
  </si>
  <si>
    <t>cbalY2Q3RDExp</t>
  </si>
  <si>
    <t>cbalY2Q4RDExp</t>
  </si>
  <si>
    <t>cbalY2AnnualRDExp</t>
  </si>
  <si>
    <t>cbalY2Q1GAExp</t>
  </si>
  <si>
    <t>cbalY2Q2GAExp</t>
  </si>
  <si>
    <t>cbalY2Q3GAExp</t>
  </si>
  <si>
    <t>cbalY2Q4GAExp</t>
  </si>
  <si>
    <t>cbalY2AnnualGAExp</t>
  </si>
  <si>
    <t>cbalY2AnnualOpProfit</t>
  </si>
  <si>
    <t>cbalY2AnnualOpMargin</t>
  </si>
  <si>
    <t>cbalY2Q1HarmExp</t>
  </si>
  <si>
    <t>cbalY2Q2HarmExp</t>
  </si>
  <si>
    <t>cbalY2Q3HarmExp</t>
  </si>
  <si>
    <t>cbalY2Q4HarmExp</t>
  </si>
  <si>
    <t>cbalY2AnnualHarmExp</t>
  </si>
  <si>
    <t>cbalY2Q1ITExp</t>
  </si>
  <si>
    <t>cbalY2Q2ITExp</t>
  </si>
  <si>
    <t>cbalY2Q3ITExp</t>
  </si>
  <si>
    <t>cbalY2Q4ITExp</t>
  </si>
  <si>
    <t>cbalY2AnnualITExp</t>
  </si>
  <si>
    <t>cbalY2Q1FullREExp</t>
  </si>
  <si>
    <t>cbalY2Q2FullREExp</t>
  </si>
  <si>
    <t>cbalY2Q3FullREExp</t>
  </si>
  <si>
    <t>cbalY2Q4FullREExp</t>
  </si>
  <si>
    <t>cbalY2AnnualFullREExp</t>
  </si>
  <si>
    <t>cbalY2Q1GAMigrationExp</t>
  </si>
  <si>
    <t>cbalY2Q2GAMigrationExp</t>
  </si>
  <si>
    <t>cbalY2Q3GAMigrationExp</t>
  </si>
  <si>
    <t>cbalY2Q4GAMigrationExp</t>
  </si>
  <si>
    <t>cbalY2AnnualGAMigrationExp</t>
  </si>
  <si>
    <t>cbalY2Q1TrustExp</t>
  </si>
  <si>
    <t>cbalY2Q2TrustExp</t>
  </si>
  <si>
    <t>cbalY2Q3TrustExp</t>
  </si>
  <si>
    <t>cbalY2Q4TrustExp</t>
  </si>
  <si>
    <t>cbalY2AnnualTrustExp</t>
  </si>
  <si>
    <t>cbalY2Q1Org62Exp</t>
  </si>
  <si>
    <t>cbalY2Q2Org62Exp</t>
  </si>
  <si>
    <t>cbalY2Q3Org62Exp</t>
  </si>
  <si>
    <t>cbalY2Q4Org62Exp</t>
  </si>
  <si>
    <t>cbalY2AnnualOrg62Exp</t>
  </si>
  <si>
    <t>cbalY2Q1StackExp</t>
  </si>
  <si>
    <t>cbalY2Q2StackExp</t>
  </si>
  <si>
    <t>cbalY2Q3StackExp</t>
  </si>
  <si>
    <t>cbalY2Q4StackExp</t>
  </si>
  <si>
    <t>cbalY2AnnualStackExp</t>
  </si>
  <si>
    <t>cbalY2Q1CSGExp</t>
  </si>
  <si>
    <t>cbalY2Q2CSGExp</t>
  </si>
  <si>
    <t>cbalY2Q3CSGExp</t>
  </si>
  <si>
    <t>cbalY2Q4CSGExp</t>
  </si>
  <si>
    <t>cbalY2AnnualCSGExp</t>
  </si>
  <si>
    <t>cbalY2Q1BrandIntExp</t>
  </si>
  <si>
    <t>cbalY2Q2BrandIntExp</t>
  </si>
  <si>
    <t>cbalY2Q3BrandIntExp</t>
  </si>
  <si>
    <t>cbalY2Q4BrandIntExp</t>
  </si>
  <si>
    <t>cbalY2AnnualBrandIntExp</t>
  </si>
  <si>
    <t>cbalY2Q1LeadPassExp</t>
  </si>
  <si>
    <t>cbalY2Q2LeadPassExp</t>
  </si>
  <si>
    <t>cbalY2Q3LeadPassExp</t>
  </si>
  <si>
    <t>cbalY2Q4LeadPassExp</t>
  </si>
  <si>
    <t>cbalY2AnnualLeadPassExp</t>
  </si>
  <si>
    <t>cbalY2Q1PackagingPricingExp</t>
  </si>
  <si>
    <t>cbalY2Q2PackagingPricingExp</t>
  </si>
  <si>
    <t>cbalY2Q3PackagingPricingExp</t>
  </si>
  <si>
    <t>cbalY2Q4PackagingPricingExp</t>
  </si>
  <si>
    <t>cbalY2AnnualPackagingPricingExp</t>
  </si>
  <si>
    <t>cbalY2Q1ExternalSalesExp</t>
  </si>
  <si>
    <t>cbalY2Q2ExternalSalesExp</t>
  </si>
  <si>
    <t>cbalY2Q3ExternalSalesExp</t>
  </si>
  <si>
    <t>cbalY2Q4ExternalSalesExp</t>
  </si>
  <si>
    <t>cbalY2AnnualExternalSalesExp</t>
  </si>
  <si>
    <t>cbalY2Q1RevWriteDownExp</t>
  </si>
  <si>
    <t>cbalY2Q2RevWriteDownExp</t>
  </si>
  <si>
    <t>cbalY2Q3RevWriteDownExp</t>
  </si>
  <si>
    <t>cbalY2Q4RevWriteDownExp</t>
  </si>
  <si>
    <t>cbalY2AnnualRevWriteDownExp</t>
  </si>
  <si>
    <t>cbalY2AnnualIntegratedOpProfit</t>
  </si>
  <si>
    <t>cbalY2AnnualIntegratedOpMargin</t>
  </si>
  <si>
    <t>cbalACVY1Q1</t>
  </si>
  <si>
    <t>cbalACVY1Q2</t>
  </si>
  <si>
    <t>cbalACVY1Q3</t>
  </si>
  <si>
    <t>cbalACVY1Q4</t>
  </si>
  <si>
    <t>cbalACVTotalY1</t>
  </si>
  <si>
    <t>cbalACVY2Q1</t>
  </si>
  <si>
    <t>cbalACVY2Q2</t>
  </si>
  <si>
    <t>cbalACVY2Q3</t>
  </si>
  <si>
    <t>cbalACVY2Q4</t>
  </si>
  <si>
    <t>cbalACVTotalY2</t>
  </si>
  <si>
    <t>cbalY5Q1Rev</t>
  </si>
  <si>
    <t>cbalY5Q2Rev</t>
  </si>
  <si>
    <t>cbalY5Q3Rev</t>
  </si>
  <si>
    <t>cbalY5Q4Rev</t>
  </si>
  <si>
    <t>cbalY5AnnualRev</t>
  </si>
  <si>
    <t>cbalY5Q1COS</t>
  </si>
  <si>
    <t>cbalY5Q2COS</t>
  </si>
  <si>
    <t>cbalY5Q3COS</t>
  </si>
  <si>
    <t>cbalY5Q4COS</t>
  </si>
  <si>
    <t>cbalY5AnnualCOS</t>
  </si>
  <si>
    <t>cbalY5AnnualGrossProfit</t>
  </si>
  <si>
    <t>cbalY5AnnualGrossMargin</t>
  </si>
  <si>
    <t>cbalY5Q1MSExp</t>
  </si>
  <si>
    <t>cbalY5Q2MSExp</t>
  </si>
  <si>
    <t>cbalY5Q3MSExp</t>
  </si>
  <si>
    <t>cbalY5Q4MSExp</t>
  </si>
  <si>
    <t>cbalY5AnnualMSExp</t>
  </si>
  <si>
    <t>cbalY5Q1RDExp</t>
  </si>
  <si>
    <t>cbalY5Q2RDExp</t>
  </si>
  <si>
    <t>cbalY5Q3RDExp</t>
  </si>
  <si>
    <t>cbalY5Q4RDExp</t>
  </si>
  <si>
    <t>cbalY5AnnualRDExp</t>
  </si>
  <si>
    <t>cbalY5Q1GAExp</t>
  </si>
  <si>
    <t>cbalY5Q2GAExp</t>
  </si>
  <si>
    <t>cbalY5Q3GAExp</t>
  </si>
  <si>
    <t>cbalY5Q4GAExp</t>
  </si>
  <si>
    <t>cbalY5AnnualGAExp</t>
  </si>
  <si>
    <t>cbalY5AnnualOpProfit</t>
  </si>
  <si>
    <t>cbalY5AnnualOpMargin</t>
  </si>
  <si>
    <t>obalQ1Rev</t>
  </si>
  <si>
    <t>obalQ2Rev</t>
  </si>
  <si>
    <t>obalQ3Rev</t>
  </si>
  <si>
    <t>obalQ4Rev</t>
  </si>
  <si>
    <t>obalAnnualRev</t>
  </si>
  <si>
    <t>obalQ1COS</t>
  </si>
  <si>
    <t>obalQ2COS</t>
  </si>
  <si>
    <t>obalQ3COS</t>
  </si>
  <si>
    <t>obalQ4COS</t>
  </si>
  <si>
    <t>obalAnnualCOS</t>
  </si>
  <si>
    <t>obalAnnualGrossProfit</t>
  </si>
  <si>
    <t>obalAnnualGrossMargin</t>
  </si>
  <si>
    <t>obalQ1MSExp</t>
  </si>
  <si>
    <t>obalQ2MSExp</t>
  </si>
  <si>
    <t>obalQ3MSExp</t>
  </si>
  <si>
    <t>obalQ4MSExp</t>
  </si>
  <si>
    <t>obalAnnualMSExp</t>
  </si>
  <si>
    <t>obalQ1RDExp</t>
  </si>
  <si>
    <t>obalQ2RDExp</t>
  </si>
  <si>
    <t>obalQ3RDExp</t>
  </si>
  <si>
    <t>obalQ4RDExp</t>
  </si>
  <si>
    <t>obalAnnualRDExp</t>
  </si>
  <si>
    <t>obalQ1GAExp</t>
  </si>
  <si>
    <t>obalQ2GAExp</t>
  </si>
  <si>
    <t>obalQ3GAExp</t>
  </si>
  <si>
    <t>obalQ4GAExp</t>
  </si>
  <si>
    <t>obalAnnualGAExp</t>
  </si>
  <si>
    <t>obalAnnualOpProfit</t>
  </si>
  <si>
    <t>obalAnnualOpMargin</t>
  </si>
  <si>
    <t>obalQ1HarmExp</t>
  </si>
  <si>
    <t>obalQ2HarmExp</t>
  </si>
  <si>
    <t>obalQ3HarmExp</t>
  </si>
  <si>
    <t>obalQ4HarmExp</t>
  </si>
  <si>
    <t>obalAnnualHarmExp</t>
  </si>
  <si>
    <t>obalQ1ITExp</t>
  </si>
  <si>
    <t>obalQ2ITExp</t>
  </si>
  <si>
    <t>obalQ3ITExp</t>
  </si>
  <si>
    <t>obalQ4ITExp</t>
  </si>
  <si>
    <t>obalAnnualITExp</t>
  </si>
  <si>
    <t>obalQ1FullREExp</t>
  </si>
  <si>
    <t>obalQ2FullREExp</t>
  </si>
  <si>
    <t>obalQ3FullREExp</t>
  </si>
  <si>
    <t>obalQ4FullREExp</t>
  </si>
  <si>
    <t>obalAnnualFullREExp</t>
  </si>
  <si>
    <t>obalQ1GAMigrationExp</t>
  </si>
  <si>
    <t>obalQ2GAMigrationExp</t>
  </si>
  <si>
    <t>obalQ3GAMigrationExp</t>
  </si>
  <si>
    <t>obalQ4GAMigrationExp</t>
  </si>
  <si>
    <t>obalAnnualGAMigrationExp</t>
  </si>
  <si>
    <t>obalQ1TrustExp</t>
  </si>
  <si>
    <t>obalQ2TrustExp</t>
  </si>
  <si>
    <t>obalQ3TrustExp</t>
  </si>
  <si>
    <t>obalQ4TrustExp</t>
  </si>
  <si>
    <t>obalAnnualTrustExp</t>
  </si>
  <si>
    <t>obalQ1CSGExp</t>
  </si>
  <si>
    <t>obalQ2CSGExp</t>
  </si>
  <si>
    <t>obalQ3CSGExp</t>
  </si>
  <si>
    <t>obalQ4CSGExp</t>
  </si>
  <si>
    <t>obalY1CSGExp</t>
  </si>
  <si>
    <t>obalQ1BrandIntExp</t>
  </si>
  <si>
    <t>obalQ2BrandIntExp</t>
  </si>
  <si>
    <t>obalQ3BrandIntExp</t>
  </si>
  <si>
    <t>obalQ4BrandIntExp</t>
  </si>
  <si>
    <t>obalY1BrandIntExp</t>
  </si>
  <si>
    <t>obalQ1LeadPassExp</t>
  </si>
  <si>
    <t>obalQ2LeadPassExp</t>
  </si>
  <si>
    <t>obalQ3LeadPassExp</t>
  </si>
  <si>
    <t>obalQ4LeadPassExp</t>
  </si>
  <si>
    <t>obalY1LeadPassExp</t>
  </si>
  <si>
    <t>obalQ1Org62Exp</t>
  </si>
  <si>
    <t>obalQ2Org62Exp</t>
  </si>
  <si>
    <t>obalQ3Org62Exp</t>
  </si>
  <si>
    <t>obalQ4Org62Exp</t>
  </si>
  <si>
    <t>obalAnnualOrg62Exp</t>
  </si>
  <si>
    <t>obalQ1StackExp</t>
  </si>
  <si>
    <t>obalQ2StackExp</t>
  </si>
  <si>
    <t>obalQ3StackExp</t>
  </si>
  <si>
    <t>obalQ4StackExp</t>
  </si>
  <si>
    <t>obalAnnualStackExp</t>
  </si>
  <si>
    <t>obalQ1PackagingPricingExp</t>
  </si>
  <si>
    <t>obalQ2PackagingPricingExp</t>
  </si>
  <si>
    <t>obalQ3PackagingPricingExp</t>
  </si>
  <si>
    <t>obalQ4PackagingPricingExp</t>
  </si>
  <si>
    <t>obalAnnualPackagingPricingExp</t>
  </si>
  <si>
    <t>obalQ1ExternalSalesExp</t>
  </si>
  <si>
    <t>obalQ2ExternalSalesExp</t>
  </si>
  <si>
    <t>obalQ3ExternalSalesExp</t>
  </si>
  <si>
    <t>obalQ4ExternalSalesExp</t>
  </si>
  <si>
    <t>obalAnnualExternalSalesExp</t>
  </si>
  <si>
    <t>obalQ1RevWriteDownExp</t>
  </si>
  <si>
    <t>obalQ2RevWriteDownExp</t>
  </si>
  <si>
    <t>obalQ3RevWriteDownExp</t>
  </si>
  <si>
    <t>obalQ4RevWriteDownExp</t>
  </si>
  <si>
    <t>obalAnnualRevWriteDownExp</t>
  </si>
  <si>
    <t>obalAnnualIntegratedOpProfit</t>
  </si>
  <si>
    <t>obalAnnualIntegratedOpMargin</t>
  </si>
  <si>
    <t>obalY2Q1Rev</t>
  </si>
  <si>
    <t>obalY2Q2Rev</t>
  </si>
  <si>
    <t>obalY2Q3Rev</t>
  </si>
  <si>
    <t>obalY2Q4Rev</t>
  </si>
  <si>
    <t>obalY2AnnualRev</t>
  </si>
  <si>
    <t>obalY2Q1COS</t>
  </si>
  <si>
    <t>obalY2Q2COS</t>
  </si>
  <si>
    <t>obalY2Q3COS</t>
  </si>
  <si>
    <t>obalY2Q4COS</t>
  </si>
  <si>
    <t>obalY2AnnualCOS</t>
  </si>
  <si>
    <t>obalY2AnnualGrossProfit</t>
  </si>
  <si>
    <t>obalY2AnnualGrossMargin</t>
  </si>
  <si>
    <t>obalY2Q1MSExp</t>
  </si>
  <si>
    <t>obalY2Q2MSExp</t>
  </si>
  <si>
    <t>obalY2Q3MSExp</t>
  </si>
  <si>
    <t>obalY2Q4MSExp</t>
  </si>
  <si>
    <t>obalY2AnnualMSExp</t>
  </si>
  <si>
    <t>obalY2Q1RDExp</t>
  </si>
  <si>
    <t>obalY2Q2RDExp</t>
  </si>
  <si>
    <t>obalY2Q3RDExp</t>
  </si>
  <si>
    <t>obalY2Q4RDExp</t>
  </si>
  <si>
    <t>obalY2AnnualRDExp</t>
  </si>
  <si>
    <t>obalY2Q1GAExp</t>
  </si>
  <si>
    <t>obalY2Q2GAExp</t>
  </si>
  <si>
    <t>obalY2Q3GAExp</t>
  </si>
  <si>
    <t>obalY2Q4GAExp</t>
  </si>
  <si>
    <t>obalY2AnnualGAExp</t>
  </si>
  <si>
    <t>obalY2AnnualOpProfit</t>
  </si>
  <si>
    <t>obalY2AnnualOpMargin</t>
  </si>
  <si>
    <t>obalY2Q1HarmExp</t>
  </si>
  <si>
    <t>obalY2Q2HarmExp</t>
  </si>
  <si>
    <t>obalY2Q3HarmExp</t>
  </si>
  <si>
    <t>obalY2Q4HarmExp</t>
  </si>
  <si>
    <t>obalY2AnnualHarmExp</t>
  </si>
  <si>
    <t>obalY2Q1ITExp</t>
  </si>
  <si>
    <t>obalY2Q2ITExp</t>
  </si>
  <si>
    <t>obalY2Q3ITExp</t>
  </si>
  <si>
    <t>obalY2Q4ITExp</t>
  </si>
  <si>
    <t>obalY2AnnualITExp</t>
  </si>
  <si>
    <t>obalY2Q1FullREExp</t>
  </si>
  <si>
    <t>obalY2Q2FullREExp</t>
  </si>
  <si>
    <t>obalY2Q3FullREExp</t>
  </si>
  <si>
    <t>obalY2Q4FullREExp</t>
  </si>
  <si>
    <t>obalY2AnnualFullREExp</t>
  </si>
  <si>
    <t>obalY2Q1GAMigrationExp</t>
  </si>
  <si>
    <t>obalY2Q2GAMigrationExp</t>
  </si>
  <si>
    <t>obalY2Q3GAMigrationExp</t>
  </si>
  <si>
    <t>obalY2Q4GAMigrationExp</t>
  </si>
  <si>
    <t>obalY2AnnualGAMigrationExp</t>
  </si>
  <si>
    <t>obalY2Q1TrustExp</t>
  </si>
  <si>
    <t>obalY2Q2TrustExp</t>
  </si>
  <si>
    <t>obalY2Q3TrustExp</t>
  </si>
  <si>
    <t>obalY2Q4TrustExp</t>
  </si>
  <si>
    <t>obalY2AnnualTrustExp</t>
  </si>
  <si>
    <t>obalY2Q1Org62Exp</t>
  </si>
  <si>
    <t>obalY2Q2Org62Exp</t>
  </si>
  <si>
    <t>obalY2Q3Org62Exp</t>
  </si>
  <si>
    <t>obalY2Q4Org62Exp</t>
  </si>
  <si>
    <t>obalY2AnnualOrg62Exp</t>
  </si>
  <si>
    <t>obalY2Q1StackExp</t>
  </si>
  <si>
    <t>obalY2Q2StackExp</t>
  </si>
  <si>
    <t>obalY2Q3StackExp</t>
  </si>
  <si>
    <t>obalY2Q4StackExp</t>
  </si>
  <si>
    <t>obalY2AnnualStackExp</t>
  </si>
  <si>
    <t>obalY2Q1CSGExp</t>
  </si>
  <si>
    <t>obalY2Q2CSGExp</t>
  </si>
  <si>
    <t>obalY2Q3CSGExp</t>
  </si>
  <si>
    <t>obalY2Q4CSGExp</t>
  </si>
  <si>
    <t>obalY2AnnualCSGExp</t>
  </si>
  <si>
    <t>obalY2Q1BrandIntExp</t>
  </si>
  <si>
    <t>obalY2Q2BrandIntExp</t>
  </si>
  <si>
    <t>obalY2Q3BrandIntExp</t>
  </si>
  <si>
    <t>obalY2Q4BrandIntExp</t>
  </si>
  <si>
    <t>obalY2AnnualBrandIntExp</t>
  </si>
  <si>
    <t>obalY2Q1LeadPassExp</t>
  </si>
  <si>
    <t>obalY2Q2LeadPassExp</t>
  </si>
  <si>
    <t>obalY2Q3LeadPassExp</t>
  </si>
  <si>
    <t>obalY2Q4LeadPassExp</t>
  </si>
  <si>
    <t>obalY2AnnualLeadPassExp</t>
  </si>
  <si>
    <t>obalY2Q1PackagingPricingExp</t>
  </si>
  <si>
    <t>obalY2Q2PackagingPricingExp</t>
  </si>
  <si>
    <t>obalY2Q3PackagingPricingExp</t>
  </si>
  <si>
    <t>obalY2Q4PackagingPricingExp</t>
  </si>
  <si>
    <t>obalY2AnnualPackagingPricingExp</t>
  </si>
  <si>
    <t>obalY2Q1ExternalSalesExp</t>
  </si>
  <si>
    <t>obalY2Q2ExternalSalesExp</t>
  </si>
  <si>
    <t>obalY2Q3ExternalSalesExp</t>
  </si>
  <si>
    <t>obalY2Q4ExternalSalesExp</t>
  </si>
  <si>
    <t>obalY2AnnualExternalSalesExp</t>
  </si>
  <si>
    <t>obalY2Q1RevWriteDownExp</t>
  </si>
  <si>
    <t>obalY2Q2RevWriteDownExp</t>
  </si>
  <si>
    <t>obalY2Q3RevWriteDownExp</t>
  </si>
  <si>
    <t>obalY2Q4RevWriteDownExp</t>
  </si>
  <si>
    <t>obalY2AnnualRevWriteDownExp</t>
  </si>
  <si>
    <t>obalY2AnnualIntegratedOpProfit</t>
  </si>
  <si>
    <t>obalY2AnnualIntegratedOpMargin</t>
  </si>
  <si>
    <t>obalACVY1Q1</t>
  </si>
  <si>
    <t>obalACVY1Q2</t>
  </si>
  <si>
    <t>obalACVY1Q3</t>
  </si>
  <si>
    <t>obalACVY1Q4</t>
  </si>
  <si>
    <t>obalACVTotalY1</t>
  </si>
  <si>
    <t>obalACVY2Q1</t>
  </si>
  <si>
    <t>obalACVY2Q2</t>
  </si>
  <si>
    <t>obalACVY2Q3</t>
  </si>
  <si>
    <t>obalACVY2Q4</t>
  </si>
  <si>
    <t>obalACVTotalY2</t>
  </si>
  <si>
    <t>obalY5Q1Rev</t>
  </si>
  <si>
    <t>obalY5Q2Rev</t>
  </si>
  <si>
    <t>obalY5Q3Rev</t>
  </si>
  <si>
    <t>obalY5Q4Rev</t>
  </si>
  <si>
    <t>obalY5AnnualRev</t>
  </si>
  <si>
    <t>obalY5Q1COS</t>
  </si>
  <si>
    <t>obalY5Q2COS</t>
  </si>
  <si>
    <t>obalY5Q3COS</t>
  </si>
  <si>
    <t>obalY5Q4COS</t>
  </si>
  <si>
    <t>obalY5AnnualCOS</t>
  </si>
  <si>
    <t>obalY5AnnualGrossProfit</t>
  </si>
  <si>
    <t>obalY5AnnualGrossMargin</t>
  </si>
  <si>
    <t>obalY5Q1MSExp</t>
  </si>
  <si>
    <t>obalY5Q2MSExp</t>
  </si>
  <si>
    <t>obalY5Q3MSExp</t>
  </si>
  <si>
    <t>obalY5Q4MSExp</t>
  </si>
  <si>
    <t>obalY5AnnualMSExp</t>
  </si>
  <si>
    <t>obalY5Q1RDExp</t>
  </si>
  <si>
    <t>obalY5Q2RDExp</t>
  </si>
  <si>
    <t>obalY5Q3RDExp</t>
  </si>
  <si>
    <t>obalY5Q4RDExp</t>
  </si>
  <si>
    <t>obalY5AnnualRDExp</t>
  </si>
  <si>
    <t>obalY5Q1GAExp</t>
  </si>
  <si>
    <t>obalY5Q2GAExp</t>
  </si>
  <si>
    <t>obalY5Q3GAExp</t>
  </si>
  <si>
    <t>obalY5Q4GAExp</t>
  </si>
  <si>
    <t>obalY5AnnualGAExp</t>
  </si>
  <si>
    <t>obalY5AnnualOpProfit</t>
  </si>
  <si>
    <t>obalY5AnnualOpMargin</t>
  </si>
  <si>
    <t>The League</t>
  </si>
  <si>
    <t>Analysis</t>
  </si>
  <si>
    <t>Scale Effect</t>
  </si>
  <si>
    <t>Cost-ScaleEffect</t>
  </si>
  <si>
    <t>paramScaleEffect</t>
  </si>
  <si>
    <t>calcQ1MSExp*((calcY2Q1Rev/calcQ1Rev))</t>
  </si>
  <si>
    <t>SUM(Q729:Q730)</t>
  </si>
  <si>
    <t>calcY2Q2Rev*calcEndingMSPerc</t>
  </si>
  <si>
    <t>SUM(Q733:Q734)</t>
  </si>
  <si>
    <t>calcY2Q3Rev*calcEndingMSPerc</t>
  </si>
  <si>
    <t>SUM(Q737:Q738)</t>
  </si>
  <si>
    <t>calcY2Q4Rev*calcEndingMSPerc</t>
  </si>
  <si>
    <t>SUM(Q741:Q742)</t>
  </si>
  <si>
    <t>calcY2Q1Rev*calcEndingRDPerc</t>
  </si>
  <si>
    <t>SUM(Q746:Q747)</t>
  </si>
  <si>
    <t>calcY2Q2Rev*calcEndingRDPerc</t>
  </si>
  <si>
    <t>SUM(Q750:Q751)</t>
  </si>
  <si>
    <t>calcY2Q3Rev*calcEndingRDPerc</t>
  </si>
  <si>
    <t>SUM(Q754:Q755)</t>
  </si>
  <si>
    <t>calcY2Q4Rev*calcEndingRDPerc</t>
  </si>
  <si>
    <t>SUM(Q758:Q759)</t>
  </si>
  <si>
    <t>calcY2Q1Rev*calcEndingGAPerc</t>
  </si>
  <si>
    <t>SUM(Q763:Q764)</t>
  </si>
  <si>
    <t>calcY2Q2Rev*calcEndingGAPerc</t>
  </si>
  <si>
    <t>SUM(Q767:Q768)</t>
  </si>
  <si>
    <t>calcY2Q3Rev*calcEndingGAPerc</t>
  </si>
  <si>
    <t>SUM(Q771:Q772)</t>
  </si>
  <si>
    <t>calcY2Q4Rev*calcEndingGAPerc</t>
  </si>
  <si>
    <t>SUM(Q775:Q776)</t>
  </si>
  <si>
    <t>calcY5Q1Rev*calcEndingMSPerc</t>
  </si>
  <si>
    <t>SUM(Q780:Q781)</t>
  </si>
  <si>
    <t>calcY5Q2Rev*calcEndingMSPerc</t>
  </si>
  <si>
    <t>SUM(Q784:Q785)</t>
  </si>
  <si>
    <t>calcY5Q3Rev*calcEndingMSPerc</t>
  </si>
  <si>
    <t>SUM(Q788:Q789)</t>
  </si>
  <si>
    <t>calcY5Q4Rev*calcEndingMSPerc</t>
  </si>
  <si>
    <t>SUM(Q792:Q793)</t>
  </si>
  <si>
    <t>calcY5Q1Rev*calcEndingRDPerc</t>
  </si>
  <si>
    <t>SUM(Q797:Q798)</t>
  </si>
  <si>
    <t>calcY5Q2Rev*calcEndingRDPerc</t>
  </si>
  <si>
    <t>SUM(Q801:Q802)</t>
  </si>
  <si>
    <t>calcY5Q3Rev*calcEndingRDPerc</t>
  </si>
  <si>
    <t>SUM(Q805:Q806)</t>
  </si>
  <si>
    <t>calcY5Q4Rev*calcEndingRDPerc</t>
  </si>
  <si>
    <t>SUM(Q809:Q810)</t>
  </si>
  <si>
    <t>calcY5Q1Rev*calcEndingGAPerc</t>
  </si>
  <si>
    <t>SUM(Q814:Q815)</t>
  </si>
  <si>
    <t>calcY5Q2Rev*calcEndingGAPerc</t>
  </si>
  <si>
    <t>SUM(Q818:Q819)</t>
  </si>
  <si>
    <t>calcY5Q3Rev*calcEndingGAPerc</t>
  </si>
  <si>
    <t>SUM(Q822:Q823)</t>
  </si>
  <si>
    <t>calcY5Q4Rev*calcEndingGAPerc</t>
  </si>
  <si>
    <t>SUM(Q826:Q827)</t>
  </si>
  <si>
    <t>Without full risk mitigation (100% for P0-P2), decrease in trust</t>
  </si>
  <si>
    <t>LtC Integration of Q1 or Q2 of face harsher consequences</t>
  </si>
  <si>
    <t>Stack Focus &lt;50% reduced ACV and Csat</t>
  </si>
  <si>
    <t>Engagement</t>
  </si>
  <si>
    <t>ACV (000s)</t>
  </si>
  <si>
    <t>What is the rationale for your prioritization?</t>
  </si>
  <si>
    <t>Sim - Import Decisions</t>
  </si>
  <si>
    <t>DecImportDecisions</t>
  </si>
  <si>
    <t>Ranks</t>
  </si>
  <si>
    <t>tlInputGTMBrandIntegration</t>
  </si>
  <si>
    <t>tlInputPeopleTimeline</t>
  </si>
  <si>
    <t>tlInputPeopleHarmonizationLevel</t>
  </si>
  <si>
    <t>tlInputPeopleNonKeyHarmonizationLevel</t>
  </si>
  <si>
    <t>tlInputITTimeline</t>
  </si>
  <si>
    <t>tlInputITIntegrationLevel</t>
  </si>
  <si>
    <t>tlInputITOfficePlan</t>
  </si>
  <si>
    <t>tlInputSecurityTimeline</t>
  </si>
  <si>
    <t>tlInputSecurityP0RiskMitigation</t>
  </si>
  <si>
    <t>tlInputSecurityP1RiskMitigation</t>
  </si>
  <si>
    <t>tlInputSecurityP2RiskMitigation</t>
  </si>
  <si>
    <t>tlInputSecurityBuildSiteInfrastructure</t>
  </si>
  <si>
    <t>tlInputSecurityProductRestrictions</t>
  </si>
  <si>
    <t>tlInputGTMLeadPass</t>
  </si>
  <si>
    <t>tlInputGTMCSGPostSales</t>
  </si>
  <si>
    <t>tlInputGTMOrg62Timeline</t>
  </si>
  <si>
    <t>tlInputGTMExternalSales</t>
  </si>
  <si>
    <t>tlInputProductTimeline</t>
  </si>
  <si>
    <t>Error Checks</t>
  </si>
  <si>
    <t>Y1 Budget</t>
  </si>
  <si>
    <t>Y1 Costs</t>
  </si>
  <si>
    <t>calcY1BudgetErrorCheck</t>
  </si>
  <si>
    <t>Error Check</t>
  </si>
  <si>
    <t>Y2 Budget</t>
  </si>
  <si>
    <t>Y2 Costs</t>
  </si>
  <si>
    <t>calcY2BudgetErrorCheck</t>
  </si>
  <si>
    <t>Financial Scorecard: Y5 Revenue</t>
  </si>
  <si>
    <t>Disruption &amp; Budget: Disruption</t>
  </si>
  <si>
    <t>Non-Financial Scorecard: CSat</t>
  </si>
  <si>
    <t>tlOutputSecurityP2Cost</t>
  </si>
  <si>
    <t>tlOutputSecurityP1Cost</t>
  </si>
  <si>
    <t>tlOutputSecurityP0Cost</t>
  </si>
  <si>
    <t>MS Exp</t>
  </si>
  <si>
    <t>RD</t>
  </si>
  <si>
    <t>GA Exp</t>
  </si>
  <si>
    <t>COGs</t>
  </si>
  <si>
    <t>tlOutputTimelineY5COGs</t>
  </si>
  <si>
    <t>tlOutputTimelineY2COGs</t>
  </si>
  <si>
    <t>tlOutputTimelineY1COGs</t>
  </si>
  <si>
    <t>tlOutputTimelineQ4COGs</t>
  </si>
  <si>
    <t>tlOutputTimelineQ3COGs</t>
  </si>
  <si>
    <t>tlOutputTimelineQ2COGs</t>
  </si>
  <si>
    <t>tlOutputTimelineQ1COGs</t>
  </si>
  <si>
    <t>tlOutputTimelineQ1MSExp</t>
  </si>
  <si>
    <t>tlOutputTimelineQ1RDExp</t>
  </si>
  <si>
    <t>tlOutputTimelineQ1GAExp</t>
  </si>
  <si>
    <t>tlOutputTimelineQ2MSExp</t>
  </si>
  <si>
    <t>tlOutputTimelineQ2RDExp</t>
  </si>
  <si>
    <t>tlOutputTimelineQ2GAExp</t>
  </si>
  <si>
    <t>tlOutputTimelineQ3MSExp</t>
  </si>
  <si>
    <t>tlOutputTimelineQ3RDExp</t>
  </si>
  <si>
    <t>tlOutputTimelineQ3GAExp</t>
  </si>
  <si>
    <t>tlOutputTimelineQ4MSExp</t>
  </si>
  <si>
    <t>tlOutputTimelineQ4RDExp</t>
  </si>
  <si>
    <t>tlOutputTimelineQ4GAExp</t>
  </si>
  <si>
    <t>tlOutputTimelineY1MSExp</t>
  </si>
  <si>
    <t>tlOutputTimelineY1RDExp</t>
  </si>
  <si>
    <t>tlOutputTimelineY1GAExp</t>
  </si>
  <si>
    <t>tlOutputTimelineY2MSExp</t>
  </si>
  <si>
    <t>tlOutputTimelineY2RDExp</t>
  </si>
  <si>
    <t>tlOutputTimelineY2GAExp</t>
  </si>
  <si>
    <t>tlOutputTimelineY5MSExp</t>
  </si>
  <si>
    <t>tlOutputTimelineY5RDExp</t>
  </si>
  <si>
    <t>tlOutputTimelineY5GAExp</t>
  </si>
  <si>
    <t>Integrated Operating Budgets</t>
  </si>
  <si>
    <t>finQ1IntegrationBudget</t>
  </si>
  <si>
    <t>finQ2IntegrationBudget</t>
  </si>
  <si>
    <t>finQ3IntegrationBudget</t>
  </si>
  <si>
    <t>finQ4IntegrationBudget</t>
  </si>
  <si>
    <t>finY2Q1IntegrationBudget</t>
  </si>
  <si>
    <t>finY2Q2IntegrationBudget</t>
  </si>
  <si>
    <t>finY2Q3IntegrationBudget</t>
  </si>
  <si>
    <t>finY2Q4IntegrationBudget</t>
  </si>
  <si>
    <t>finY2IntegrationBudget</t>
  </si>
  <si>
    <t>finY1IntegrationBudget</t>
  </si>
  <si>
    <t>tlInputWobbler2</t>
  </si>
  <si>
    <t>tlInputWobbler1</t>
  </si>
  <si>
    <t>tlInputWobbler3</t>
  </si>
  <si>
    <t>tlInputWobbler4</t>
  </si>
  <si>
    <t>tlInputWobbler5</t>
  </si>
  <si>
    <t>tlInputWobbler6</t>
  </si>
  <si>
    <t>tlInputWobbler7</t>
  </si>
  <si>
    <t>tlInputWobbler8</t>
  </si>
  <si>
    <t>tlInputWobbler9</t>
  </si>
  <si>
    <t>tlInputWobbler10</t>
  </si>
  <si>
    <t>DataOfficeIntegrationPrice</t>
  </si>
  <si>
    <t>InfoButton</t>
  </si>
  <si>
    <t xml:space="preserve">  Cell must be linked to another worksheet.</t>
  </si>
  <si>
    <t>Color Inputs</t>
  </si>
  <si>
    <t>Info Button Color</t>
  </si>
  <si>
    <t>InfoButtonColor</t>
  </si>
  <si>
    <t>Button Inputs</t>
  </si>
  <si>
    <t>Window Title</t>
  </si>
  <si>
    <t>Toggle Button</t>
  </si>
  <si>
    <t>InfoButtonTitle</t>
  </si>
  <si>
    <t>Toggle Button Text</t>
  </si>
  <si>
    <t>Show</t>
  </si>
  <si>
    <t>Show Info</t>
  </si>
  <si>
    <t>InfoButtonToggleShow</t>
  </si>
  <si>
    <t>Hide</t>
  </si>
  <si>
    <t>Hide Info</t>
  </si>
  <si>
    <t>InfoButtonToggleHide</t>
  </si>
  <si>
    <t>Info Button Number</t>
  </si>
  <si>
    <t>Text</t>
  </si>
  <si>
    <t>Sheet Location</t>
  </si>
  <si>
    <r>
      <t xml:space="preserve">Button </t>
    </r>
    <r>
      <rPr>
        <sz val="11"/>
        <color theme="1"/>
        <rFont val="Verdana"/>
        <family val="2"/>
      </rPr>
      <t>(CUT and Paste to Sheet)</t>
    </r>
  </si>
  <si>
    <t>InfoButtonNum</t>
  </si>
  <si>
    <t>InfoButtonText</t>
  </si>
  <si>
    <t>InfoButtonSht</t>
  </si>
  <si>
    <t>Current Status</t>
  </si>
  <si>
    <t>1 = Visible, 0 =Not</t>
  </si>
  <si>
    <t>InfoButtonStatus</t>
  </si>
  <si>
    <t>Text for Toggle Button</t>
  </si>
  <si>
    <t>Hide/Show Text</t>
  </si>
  <si>
    <t>InfoButtonToggleLabel</t>
  </si>
  <si>
    <t>Choose the length of time until harmonization of benefits and compensation have been started.</t>
  </si>
  <si>
    <t>Choose the proportion of compensation/benefits new employees will receive compared to the old structure.</t>
  </si>
  <si>
    <t>Choose the length of time until Employee IT Integration and the RE transition is finished.</t>
  </si>
  <si>
    <t>Decide the level of integration appropriate for new employees.  Check the Target User Access section below to see what this means in terms of access.</t>
  </si>
  <si>
    <t>Decide whether to bring the new entity into a current cloud building, or to keep the current office.</t>
  </si>
  <si>
    <t>Choose the length of time until the Trust investments are finished.</t>
  </si>
  <si>
    <t>Choose the amount of each level of risk you would like to mitigate as part of integration.</t>
  </si>
  <si>
    <t>If you choose to keep the current office building, you will need to decide whether or not to upgrade the infrastructure of the building to cloud standards immediately or not.</t>
  </si>
  <si>
    <t>Limit the countries and customers the entity can work with to those approved for Cloud standards.</t>
  </si>
  <si>
    <t>Decide how quickly to initiate the investment to get products onto the LtC system for access to all sales channels.</t>
  </si>
  <si>
    <t>Choose how quickly to involve CSG in alrigning to customer needs.</t>
  </si>
  <si>
    <t>Decice when you want to start a Re-brand Snowflake as a specific part of Sales Cloud</t>
  </si>
  <si>
    <t>Choose to invest in growing Snowflake's sales team, equipping them to upsell customers with other Cloud products as well.  This investment happens immediately.</t>
  </si>
  <si>
    <t>If you start LtC Integration after Q1, you can choose to implement Lead Pass as part of your strategy or not.  Impacts will show aftet LtC decision is made.</t>
  </si>
  <si>
    <t>Decide how quickly to integrate to stack or add feature enhancements.</t>
  </si>
  <si>
    <t>Decide the level of investment to put into continued feature enhancements of Snowflake's products.</t>
  </si>
  <si>
    <t>Decide the focus you would like to put towards integrating Snowflake's products onto the Cloud stack or into continued feature enhancements of Snowflake's products..</t>
  </si>
  <si>
    <t>Additional Description</t>
  </si>
  <si>
    <t>Inputs to Export</t>
  </si>
  <si>
    <t>Outputs to Export</t>
  </si>
  <si>
    <t>tlInputV2MOMVision</t>
  </si>
  <si>
    <t>tlInputV2MOMValue1Rank</t>
  </si>
  <si>
    <t>tlInputV2MOMValue1Desc</t>
  </si>
  <si>
    <t>tlInputV2MOMValue2Rank</t>
  </si>
  <si>
    <t>tlInputV2MOMValue2Desc</t>
  </si>
  <si>
    <t>tlInputV2MOMValue3Rank</t>
  </si>
  <si>
    <t>tlInputV2MOMValue3Desc</t>
  </si>
  <si>
    <t>tlInputV2MOMValue4Rank</t>
  </si>
  <si>
    <t>tlInputV2MOMValue4Desc</t>
  </si>
  <si>
    <t>tlInputV2MOMValue5Rank</t>
  </si>
  <si>
    <t>tlInputV2MOMValue5Desc</t>
  </si>
  <si>
    <t>tlInputV2MOMRisk1</t>
  </si>
  <si>
    <t>tlInputV2MOMRisk2</t>
  </si>
  <si>
    <t>tlInputV2MOMRisk3</t>
  </si>
  <si>
    <t>tlInputProductStackFocus</t>
  </si>
  <si>
    <t>tlInputRound</t>
  </si>
  <si>
    <t xml:space="preserve">Snowflake’s Executive Sponsor is spending a significant amount of time on site during the integration and has not been too pleased with the back office experience. Although integration plans that included a Move to Cloud offices, or an investment in building out Snowflake’s existing space, will be met more favorably than others, the exec is still expecting some big improvements.  Additionally, the Executive Sponsor is focused on an expedited IT and back office integration timeline.  Review and adjust the timeline and scope of decisions on the Back Office page to align with the new Executive directive. 
</t>
  </si>
  <si>
    <t>tlOutputBudgetValidationY1</t>
  </si>
  <si>
    <t>tlOutputBudgetValidationY2</t>
  </si>
  <si>
    <t>SimpleCSVConverter - Configuration</t>
  </si>
  <si>
    <t>Processing Instructions</t>
  </si>
  <si>
    <r>
      <t xml:space="preserve">This tool can be used to convert CSV files into data that can be generating into graphs in Excel. Please see the steps below for processing assistance:
</t>
    </r>
    <r>
      <rPr>
        <u/>
        <sz val="11"/>
        <color theme="1"/>
        <rFont val="Calibri"/>
        <family val="2"/>
        <scheme val="minor"/>
      </rPr>
      <t xml:space="preserve">Processing Steps
</t>
    </r>
    <r>
      <rPr>
        <sz val="11"/>
        <color theme="1"/>
        <rFont val="Verdana"/>
        <family val="2"/>
      </rPr>
      <t xml:space="preserve">
1. Under the setup heading below (on this tab), enter the number of teams that are participating in the session
2. Click on the calibrate tool button
3. Open the CSV file from BTS Digital
4. In the CSV file, click on the box between the Row 1 and Column A headers to select the entire sheet
5. Copy the selection
6. Toggle back to the CSV converter tool
7. Go to the SimpleCSV_Import tab
8. Click into cell A1 (highlighted in yellow)
9. Click the left-most icon under the Paste Special Heading
10. Select the Home tab on the ribbon
11. Click the arrow beneath the Paste button
12. Select the leftmost icon under the Paste Values heading
13. Repeat steps 4-13 for Round 2 and Round 3 processing</t>
    </r>
    <r>
      <rPr>
        <u/>
        <sz val="11"/>
        <color theme="1"/>
        <rFont val="Calibri"/>
        <family val="2"/>
        <scheme val="minor"/>
      </rPr>
      <t xml:space="preserve">
</t>
    </r>
  </si>
  <si>
    <t>Setup</t>
  </si>
  <si>
    <t>**link to xxNumOfTeams</t>
  </si>
  <si>
    <t>Number of Admins</t>
  </si>
  <si>
    <t>Email</t>
  </si>
  <si>
    <t>admin</t>
  </si>
  <si>
    <t>SimpleCSVConverter - Round 1 Decisions</t>
  </si>
  <si>
    <t>SimpleCSVCalibrateR1Data</t>
  </si>
  <si>
    <t>Outputs / Calculations</t>
  </si>
  <si>
    <t>Decision / Metric Name</t>
  </si>
  <si>
    <t>Decision / Metric Lookup Code</t>
  </si>
  <si>
    <t>LookupNumber</t>
  </si>
  <si>
    <t>SimpleCSVR1LookupNumber</t>
  </si>
  <si>
    <t>TeamNumber</t>
  </si>
  <si>
    <t>TeamName</t>
  </si>
  <si>
    <t>Full Name</t>
  </si>
  <si>
    <t>Control Room</t>
  </si>
  <si>
    <t>sfdcma</t>
  </si>
  <si>
    <t>xxPreName</t>
  </si>
  <si>
    <t>VisionStatement</t>
  </si>
  <si>
    <t>ValuePercentageRevGrowth</t>
  </si>
  <si>
    <t>ValuePercentageCSAT</t>
  </si>
  <si>
    <t>ValuePercentageESAT</t>
  </si>
  <si>
    <t>ValuePercentageTrust</t>
  </si>
  <si>
    <t>ValuePercentageOpMargin</t>
  </si>
  <si>
    <t>ValueRationaleRevGrowth</t>
  </si>
  <si>
    <t>ValueRationaleCSAT</t>
  </si>
  <si>
    <t>ValueRationaleESAT</t>
  </si>
  <si>
    <t>ValueRationaleTrust</t>
  </si>
  <si>
    <t>ValueRationaleOpMargin</t>
  </si>
  <si>
    <t>PeopleTimeline</t>
  </si>
  <si>
    <t>KeyTalentPercentage</t>
  </si>
  <si>
    <t>NonKeyTalentPercentage</t>
  </si>
  <si>
    <t>ITTimeline</t>
  </si>
  <si>
    <t>IntegrationLevel</t>
  </si>
  <si>
    <t>RealEstateStrategy</t>
  </si>
  <si>
    <t>RiskTimeline</t>
  </si>
  <si>
    <t>P0RiskMitigation</t>
  </si>
  <si>
    <t>P1RiskMitigation</t>
  </si>
  <si>
    <t>P2RiskMitigation</t>
  </si>
  <si>
    <t>BuildOutSiteInfrastructure</t>
  </si>
  <si>
    <t>ProductRestrictions</t>
  </si>
  <si>
    <t>ORg62MigrationTimeline</t>
  </si>
  <si>
    <t>ExternalSalesTeam</t>
  </si>
  <si>
    <t>CSGPostSales</t>
  </si>
  <si>
    <t>BrandIntegration</t>
  </si>
  <si>
    <t>ProductTimeline</t>
  </si>
  <si>
    <t>sfdcma1</t>
  </si>
  <si>
    <t>tlInputTeamNumber</t>
  </si>
  <si>
    <t>tlInputTeamName</t>
  </si>
  <si>
    <t>TLInputV2MOMValue1Desc</t>
  </si>
  <si>
    <t>TLInputV2MOMValue2Desc</t>
  </si>
  <si>
    <t>TLInputV2MOMValue3Desc</t>
  </si>
  <si>
    <t>TLInputV2MOMValue4Desc</t>
  </si>
  <si>
    <t>TLInputV2MOMValue5Desc</t>
  </si>
  <si>
    <t>TlInputV2MOMVision</t>
  </si>
  <si>
    <t>sfdcma2</t>
  </si>
  <si>
    <t>sfdcma3</t>
  </si>
  <si>
    <t>sfdcma4</t>
  </si>
  <si>
    <t>sfdcma5</t>
  </si>
  <si>
    <t>sfdcma6</t>
  </si>
  <si>
    <t>sfdcma7</t>
  </si>
  <si>
    <t>sfdcma8</t>
  </si>
  <si>
    <t>sfdcma9</t>
  </si>
  <si>
    <t>sfdcma10</t>
  </si>
  <si>
    <t>sfdcma11</t>
  </si>
  <si>
    <t>sfdcma12</t>
  </si>
  <si>
    <t>sfdcma13</t>
  </si>
  <si>
    <t>sfdcma14</t>
  </si>
  <si>
    <t>sfdcma15</t>
  </si>
  <si>
    <t>sfdcma16</t>
  </si>
  <si>
    <t>sfdcma17</t>
  </si>
  <si>
    <t>sfdcma18</t>
  </si>
  <si>
    <t>sfdcma19</t>
  </si>
  <si>
    <t>sfdcma20</t>
  </si>
  <si>
    <t>StackFeatureFocus</t>
  </si>
  <si>
    <t>tlInputTimeOptions</t>
  </si>
  <si>
    <t>tlInputTimeValues</t>
  </si>
  <si>
    <t>tlOutputTotalRanks</t>
  </si>
  <si>
    <t>Ajay Chhaya</t>
  </si>
  <si>
    <t>ajay.chhaya@bts.com</t>
  </si>
  <si>
    <t>Alex Mitchell</t>
  </si>
  <si>
    <t>Alex.Mitchell@bts.com</t>
  </si>
  <si>
    <t>Amey More</t>
  </si>
  <si>
    <t>amey.more@bts.com</t>
  </si>
  <si>
    <t>Anuja Mestry</t>
  </si>
  <si>
    <t>Anuja.Mestry@bts.com</t>
  </si>
  <si>
    <t>Beena Jha</t>
  </si>
  <si>
    <t>Beena.Jha@bts.com</t>
  </si>
  <si>
    <t>Bikas Nath</t>
  </si>
  <si>
    <t>bikas.nath@bts.com</t>
  </si>
  <si>
    <t>Devendra Shangari</t>
  </si>
  <si>
    <t>devendra.shangari@bts.com</t>
  </si>
  <si>
    <t>Dhaval Maniar</t>
  </si>
  <si>
    <t>dhaval.maniar@bts.com</t>
  </si>
  <si>
    <t>Donet Mathew</t>
  </si>
  <si>
    <t>Donet.Mathew@bts.com</t>
  </si>
  <si>
    <t>Jayashree Gokhale</t>
  </si>
  <si>
    <t>Jayashree.Gokhale@bts.com</t>
  </si>
  <si>
    <t>Jonathan Chen</t>
  </si>
  <si>
    <t>Jonathan.Chen@bts.com</t>
  </si>
  <si>
    <t>Kalyani Kocherla</t>
  </si>
  <si>
    <t>Kalyani.Kocherla@bts.com</t>
  </si>
  <si>
    <t>Kinjal Gadani</t>
  </si>
  <si>
    <t>Kinjal.Gadani@bts.com</t>
  </si>
  <si>
    <t>Neha Seth</t>
  </si>
  <si>
    <t>neha.seth@bts.com</t>
  </si>
  <si>
    <t>Pieter Kreyns</t>
  </si>
  <si>
    <t>Pieter.Kreyns@bts.com</t>
  </si>
  <si>
    <t>Prajakta Sagade</t>
  </si>
  <si>
    <t>Prajakta.Sagade@bts.com</t>
  </si>
  <si>
    <t>Prashant Kutty</t>
  </si>
  <si>
    <t>Prashant.Kutty@bts.com</t>
  </si>
  <si>
    <t>Puneeta Chugh</t>
  </si>
  <si>
    <t>Puneeta.Chugh@bts.com</t>
  </si>
  <si>
    <t>Rachit Gaikwad</t>
  </si>
  <si>
    <t>rachit.gaikwad@bts.com</t>
  </si>
  <si>
    <t>Shafa Pandhre</t>
  </si>
  <si>
    <t>Shafa.Pandhre@bts.com</t>
  </si>
  <si>
    <t>Siddhi Patil</t>
  </si>
  <si>
    <t>Siddhi.Patil@bts.com</t>
  </si>
  <si>
    <t>Siona Joshi</t>
  </si>
  <si>
    <t>Siona.Joshi@bts.com</t>
  </si>
  <si>
    <t>Surekha Lakamble</t>
  </si>
  <si>
    <t>surekha.lakamble@bts.com</t>
  </si>
  <si>
    <t>Ujjwala Rane</t>
  </si>
  <si>
    <t>Ujjwala.Rane@bts.com</t>
  </si>
  <si>
    <t>Upendra Nagar</t>
  </si>
  <si>
    <t>Upendra.Nagar@bts.com</t>
  </si>
  <si>
    <t>Vishal Bhosale</t>
  </si>
  <si>
    <t>vishal.bhosale@bts.com</t>
  </si>
  <si>
    <t>Yamini Kumbhalkar</t>
  </si>
  <si>
    <t>Yamini.Kumbhalkar@bts.com</t>
  </si>
  <si>
    <t>SF Team2</t>
  </si>
  <si>
    <t>BrettMichaels</t>
  </si>
  <si>
    <t>sjdlsavreaoirs</t>
  </si>
  <si>
    <t>Customer Satisfaction drives long term customer value</t>
  </si>
  <si>
    <t>JXZlksaclkszd</t>
  </si>
  <si>
    <t>spjcesjcoiew</t>
  </si>
  <si>
    <t>saj cije pw</t>
  </si>
  <si>
    <t>paeiwoia</t>
  </si>
  <si>
    <t>pscjp jewipo</t>
  </si>
  <si>
    <t>lksxoew ii</t>
  </si>
  <si>
    <t>sa oioiea a</t>
  </si>
  <si>
    <t>GTMTest</t>
  </si>
  <si>
    <t>Integrate this bad boy</t>
  </si>
  <si>
    <t>M&amp;A is hard</t>
  </si>
  <si>
    <t>Crushing It</t>
  </si>
  <si>
    <t>Grift Krehnbrink</t>
  </si>
  <si>
    <t>Grift.Krehnbrink@bts.com</t>
  </si>
  <si>
    <t>Acquisitions For Growth</t>
  </si>
  <si>
    <t>Employee Experience Disruption</t>
  </si>
  <si>
    <t>The M&amp;A team conducts a Acquisition Experience Survey 30 days following Close. Results show that Snowflake employees feel overwhelmed by the amount of change being introduced.  Employees report receiving conflicting priorities from CLOUD and Snowflake leaders that make it difficult to be as productive in their day jobs with all the integration activities.  What can you do to improve the employee experience?</t>
  </si>
  <si>
    <t>Disruption Threshold</t>
  </si>
  <si>
    <t>Threshold Met</t>
  </si>
  <si>
    <t>adjDisruptionThresh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</si>
</sst>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5" formatCode="&quot;$&quot;#,##0_);\(&quot;$&quot;#,##0\)"/>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0.00\ &quot;mk&quot;;[Red]\-#,##0.00\ &quot;mk&quot;"/>
    <numFmt numFmtId="167" formatCode="\ #,##0_);\ \(#,##0\);_(* &quot;-&quot;??_);_(@_)"/>
    <numFmt numFmtId="168" formatCode="#,##0.0_);\(#,##0.0\)"/>
    <numFmt numFmtId="169" formatCode="#,##0,_);\ \(#,##0,\);_(* &quot;-&quot;_);_(@_)"/>
    <numFmt numFmtId="170" formatCode="#,###.##,,_);\ \(#,##0,,\);_(* &quot;-&quot;_);_(@_)"/>
    <numFmt numFmtId="171" formatCode="#,##0,,_);\ \(#,##0,,\);_(* &quot;-&quot;_);_(@_)"/>
    <numFmt numFmtId="172" formatCode="_(* #,##0.0_);_(* \(#,##0.0\);_(* &quot;-&quot;?_);_(@_)"/>
    <numFmt numFmtId="173" formatCode="0%\ \ "/>
    <numFmt numFmtId="174" formatCode="_(&quot;$&quot;\ #,##0,_);_(&quot;$&quot;\ \ \(#,##0,\);_(&quot;$&quot;\ &quot;-&quot;_);_(@_)"/>
    <numFmt numFmtId="175" formatCode="mmm\ dd\ &quot;Year&quot;\ yy"/>
    <numFmt numFmtId="176" formatCode="_([$€-2]* #,##0.00_);_([$€-2]* \(#,##0.00\);_([$€-2]* &quot;-&quot;??_)"/>
    <numFmt numFmtId="177" formatCode="#,###,;\(#,###,\);_(* &quot;-&quot;_);_(@_)"/>
    <numFmt numFmtId="178" formatCode="0.00_)"/>
    <numFmt numFmtId="179" formatCode="0.0%"/>
    <numFmt numFmtId="180" formatCode="0.00;\-0.00;&quot;-&quot;"/>
    <numFmt numFmtId="181" formatCode="#,##0;\-#,##0;&quot;-&quot;"/>
    <numFmt numFmtId="182" formatCode="&quot;$&quot;#,##0,"/>
    <numFmt numFmtId="183" formatCode="[$-409]h:mm\ AM/PM;@"/>
    <numFmt numFmtId="184" formatCode="&quot;$&quot;#,##0"/>
    <numFmt numFmtId="185" formatCode="&quot;$&quot;#,##0,_);[Red]\(&quot;$&quot;#,##0,\)"/>
    <numFmt numFmtId="186" formatCode="0.0%;[Red]\(0.0%\)\ \ "/>
    <numFmt numFmtId="187" formatCode="&quot;$&quot;#,##0.0"/>
    <numFmt numFmtId="188" formatCode="0.0"/>
    <numFmt numFmtId="189" formatCode=";;;"/>
    <numFmt numFmtId="190" formatCode="#,##0.0"/>
  </numFmts>
  <fonts count="123">
    <font>
      <sz val="11"/>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0"/>
      <name val="Verdana"/>
      <family val="2"/>
    </font>
    <font>
      <sz val="14"/>
      <color theme="0"/>
      <name val="Verdana"/>
      <family val="2"/>
    </font>
    <font>
      <sz val="12"/>
      <color theme="0"/>
      <name val="Verdana"/>
      <family val="2"/>
    </font>
    <font>
      <sz val="14"/>
      <color theme="1"/>
      <name val="Verdana"/>
      <family val="2"/>
    </font>
    <font>
      <sz val="9"/>
      <color theme="0"/>
      <name val="Verdana"/>
      <family val="2"/>
    </font>
    <font>
      <b/>
      <sz val="11"/>
      <color theme="1"/>
      <name val="Verdana"/>
      <family val="2"/>
    </font>
    <font>
      <sz val="11"/>
      <color theme="1"/>
      <name val="Calibri"/>
      <family val="2"/>
      <scheme val="minor"/>
    </font>
    <font>
      <sz val="12"/>
      <name val="Calibri"/>
      <family val="2"/>
      <scheme val="minor"/>
    </font>
    <font>
      <b/>
      <sz val="12"/>
      <name val="Calibri"/>
      <family val="2"/>
      <scheme val="minor"/>
    </font>
    <font>
      <sz val="10"/>
      <name val="MS Sans Serif"/>
      <family val="2"/>
    </font>
    <font>
      <sz val="8"/>
      <name val="Arial"/>
      <family val="2"/>
    </font>
    <font>
      <sz val="10"/>
      <name val="Arial Black"/>
      <family val="2"/>
    </font>
    <font>
      <b/>
      <sz val="9"/>
      <name val="Arial"/>
      <family val="2"/>
    </font>
    <font>
      <b/>
      <sz val="8"/>
      <name val="Arial"/>
      <family val="2"/>
    </font>
    <font>
      <sz val="10"/>
      <name val="Arial"/>
      <family val="2"/>
    </font>
    <font>
      <b/>
      <sz val="10"/>
      <name val="Arial"/>
      <family val="2"/>
    </font>
    <font>
      <b/>
      <sz val="12"/>
      <name val="Arial"/>
      <family val="2"/>
    </font>
    <font>
      <b/>
      <sz val="10"/>
      <color indexed="9"/>
      <name val="Arial"/>
      <family val="2"/>
    </font>
    <font>
      <sz val="10"/>
      <name val="Helv"/>
    </font>
    <font>
      <sz val="9"/>
      <name val="Arial Rounded MT Bold"/>
      <family val="2"/>
    </font>
    <font>
      <b/>
      <sz val="10"/>
      <name val="Helv"/>
    </font>
    <font>
      <b/>
      <sz val="18"/>
      <name val="Garamond"/>
      <family val="1"/>
    </font>
    <font>
      <sz val="7"/>
      <name val="Small Fonts"/>
      <family val="2"/>
    </font>
    <font>
      <b/>
      <i/>
      <sz val="16"/>
      <name val="Helv"/>
    </font>
    <font>
      <sz val="12"/>
      <color theme="1"/>
      <name val="Open Sans"/>
      <family val="2"/>
    </font>
    <font>
      <b/>
      <sz val="12"/>
      <name val="Garamond"/>
      <family val="1"/>
    </font>
    <font>
      <sz val="12"/>
      <color theme="1"/>
      <name val="Verdana"/>
      <family val="2"/>
    </font>
    <font>
      <b/>
      <sz val="12"/>
      <color theme="1"/>
      <name val="Verdana"/>
      <family val="2"/>
    </font>
    <font>
      <sz val="12"/>
      <color theme="0" tint="-0.34998626667073579"/>
      <name val="Verdana"/>
      <family val="2"/>
    </font>
    <font>
      <b/>
      <sz val="9"/>
      <color indexed="81"/>
      <name val="Tahoma"/>
      <family val="2"/>
    </font>
    <font>
      <sz val="9"/>
      <color indexed="81"/>
      <name val="Tahoma"/>
      <family val="2"/>
    </font>
    <font>
      <sz val="11"/>
      <color theme="1"/>
      <name val="Verdana"/>
      <family val="2"/>
    </font>
    <font>
      <b/>
      <sz val="12"/>
      <color theme="0"/>
      <name val="Verdana"/>
      <family val="2"/>
    </font>
    <font>
      <i/>
      <sz val="12"/>
      <color theme="1"/>
      <name val="Verdana"/>
      <family val="2"/>
    </font>
    <font>
      <sz val="16"/>
      <color theme="0"/>
      <name val="Calibri"/>
      <family val="2"/>
      <scheme val="minor"/>
    </font>
    <font>
      <sz val="16"/>
      <name val="Calibri"/>
      <family val="2"/>
      <scheme val="minor"/>
    </font>
    <font>
      <sz val="11"/>
      <name val="Verdana"/>
      <family val="2"/>
    </font>
    <font>
      <sz val="12"/>
      <color theme="1"/>
      <name val="Calibri"/>
      <family val="2"/>
      <scheme val="minor"/>
    </font>
    <font>
      <sz val="10"/>
      <color theme="1"/>
      <name val="Verdana"/>
      <family val="2"/>
    </font>
    <font>
      <sz val="10"/>
      <name val="Verdana"/>
      <family val="2"/>
    </font>
    <font>
      <i/>
      <sz val="10"/>
      <color theme="1"/>
      <name val="Verdana"/>
      <family val="2"/>
    </font>
    <font>
      <b/>
      <sz val="11"/>
      <color theme="0"/>
      <name val="Verdana"/>
      <family val="2"/>
    </font>
    <font>
      <b/>
      <sz val="10"/>
      <color theme="1"/>
      <name val="Verdana"/>
      <family val="2"/>
    </font>
    <font>
      <u/>
      <sz val="11"/>
      <color theme="10"/>
      <name val="Calibri"/>
      <family val="2"/>
      <scheme val="minor"/>
    </font>
    <font>
      <sz val="12"/>
      <color theme="8"/>
      <name val="Verdana"/>
      <family val="2"/>
    </font>
    <font>
      <sz val="18"/>
      <color theme="3"/>
      <name val="Verdana"/>
      <family val="2"/>
    </font>
    <font>
      <sz val="11"/>
      <color theme="6"/>
      <name val="Verdana"/>
      <family val="2"/>
    </font>
    <font>
      <sz val="10"/>
      <color theme="4"/>
      <name val="Verdana"/>
      <family val="2"/>
    </font>
    <font>
      <sz val="16"/>
      <color theme="7"/>
      <name val="Verdana"/>
      <family val="2"/>
    </font>
    <font>
      <sz val="12"/>
      <color theme="4"/>
      <name val="Verdana"/>
      <family val="2"/>
    </font>
    <font>
      <u/>
      <sz val="11"/>
      <color theme="1"/>
      <name val="Verdana"/>
      <family val="2"/>
    </font>
    <font>
      <b/>
      <u/>
      <sz val="10"/>
      <color theme="1"/>
      <name val="Verdana"/>
      <family val="2"/>
    </font>
    <font>
      <b/>
      <sz val="10"/>
      <color theme="0"/>
      <name val="Verdana"/>
      <family val="2"/>
    </font>
    <font>
      <b/>
      <u/>
      <sz val="11"/>
      <color theme="1"/>
      <name val="Verdana"/>
      <family val="2"/>
    </font>
    <font>
      <u/>
      <sz val="11"/>
      <color theme="10"/>
      <name val="Verdana"/>
      <family val="2"/>
    </font>
    <font>
      <b/>
      <sz val="11"/>
      <name val="Verdana"/>
      <family val="2"/>
    </font>
    <font>
      <i/>
      <sz val="11"/>
      <name val="Verdana"/>
      <family val="2"/>
    </font>
    <font>
      <i/>
      <sz val="11"/>
      <color theme="1"/>
      <name val="Verdana"/>
      <family val="2"/>
    </font>
    <font>
      <sz val="11"/>
      <color indexed="10"/>
      <name val="Verdana"/>
      <family val="2"/>
    </font>
    <font>
      <b/>
      <sz val="11"/>
      <color indexed="12"/>
      <name val="Verdana"/>
      <family val="2"/>
    </font>
    <font>
      <sz val="10"/>
      <color theme="0"/>
      <name val="Verdana"/>
      <family val="2"/>
    </font>
    <font>
      <sz val="36"/>
      <color theme="4"/>
      <name val="Verdana"/>
      <family val="2"/>
    </font>
    <font>
      <sz val="22"/>
      <color theme="8"/>
      <name val="Verdana"/>
      <family val="2"/>
    </font>
    <font>
      <b/>
      <sz val="12"/>
      <color theme="3"/>
      <name val="Verdana"/>
      <family val="2"/>
    </font>
    <font>
      <b/>
      <sz val="11"/>
      <color rgb="FF000000"/>
      <name val="Verdana"/>
      <family val="2"/>
    </font>
    <font>
      <b/>
      <sz val="10"/>
      <name val="Verdana"/>
      <family val="2"/>
    </font>
    <font>
      <b/>
      <sz val="10"/>
      <color rgb="FF000000"/>
      <name val="Verdana"/>
      <family val="2"/>
    </font>
    <font>
      <i/>
      <u/>
      <sz val="10"/>
      <color theme="1"/>
      <name val="Verdana"/>
      <family val="2"/>
    </font>
    <font>
      <i/>
      <sz val="12"/>
      <color theme="0"/>
      <name val="Verdana"/>
      <family val="2"/>
    </font>
    <font>
      <sz val="12"/>
      <color theme="1" tint="0.249977111117893"/>
      <name val="Verdana"/>
      <family val="2"/>
    </font>
    <font>
      <b/>
      <sz val="12"/>
      <color theme="1" tint="0.249977111117893"/>
      <name val="Verdana"/>
      <family val="2"/>
    </font>
    <font>
      <i/>
      <sz val="12"/>
      <color theme="1" tint="0.249977111117893"/>
      <name val="Verdana"/>
      <family val="2"/>
    </font>
    <font>
      <u/>
      <sz val="12"/>
      <color theme="1" tint="0.249977111117893"/>
      <name val="Verdana"/>
      <family val="2"/>
    </font>
    <font>
      <i/>
      <sz val="11"/>
      <color theme="0"/>
      <name val="Verdana"/>
      <family val="2"/>
    </font>
    <font>
      <sz val="9"/>
      <color theme="1"/>
      <name val="Verdana"/>
      <family val="2"/>
    </font>
    <font>
      <sz val="10"/>
      <color theme="6"/>
      <name val="Verdana"/>
      <family val="2"/>
    </font>
    <font>
      <sz val="8"/>
      <color theme="1"/>
      <name val="Verdana"/>
      <family val="2"/>
    </font>
    <font>
      <sz val="11"/>
      <color theme="1" tint="0.249977111117893"/>
      <name val="Verdana"/>
      <family val="2"/>
    </font>
    <font>
      <b/>
      <sz val="11"/>
      <color theme="1" tint="0.249977111117893"/>
      <name val="Verdana"/>
      <family val="2"/>
    </font>
    <font>
      <i/>
      <sz val="11"/>
      <color theme="1" tint="0.249977111117893"/>
      <name val="Verdana"/>
      <family val="2"/>
    </font>
    <font>
      <b/>
      <sz val="9"/>
      <color theme="1"/>
      <name val="Verdana"/>
      <family val="2"/>
    </font>
    <font>
      <b/>
      <sz val="9"/>
      <color theme="0"/>
      <name val="Verdana"/>
      <family val="2"/>
    </font>
    <font>
      <b/>
      <sz val="11"/>
      <color theme="3"/>
      <name val="Verdana"/>
      <family val="2"/>
    </font>
    <font>
      <b/>
      <sz val="12"/>
      <color theme="0" tint="-0.34998626667073579"/>
      <name val="Verdana"/>
      <family val="2"/>
    </font>
    <font>
      <sz val="9"/>
      <color theme="6"/>
      <name val="Verdana"/>
      <family val="2"/>
    </font>
    <font>
      <sz val="22"/>
      <color theme="0"/>
      <name val="Verdana"/>
      <family val="2"/>
    </font>
    <font>
      <b/>
      <sz val="16"/>
      <color theme="0"/>
      <name val="Verdana"/>
      <family val="2"/>
    </font>
    <font>
      <sz val="8"/>
      <color theme="0"/>
      <name val="Verdana"/>
      <family val="2"/>
    </font>
    <font>
      <u/>
      <sz val="16"/>
      <color theme="1"/>
      <name val="Verdana"/>
      <family val="2"/>
    </font>
    <font>
      <sz val="16"/>
      <color theme="0"/>
      <name val="Verdana"/>
      <family val="2"/>
    </font>
    <font>
      <u/>
      <sz val="20"/>
      <color theme="4"/>
      <name val="Verdana"/>
      <family val="2"/>
    </font>
    <font>
      <sz val="26"/>
      <color theme="7"/>
      <name val="Verdana"/>
      <family val="2"/>
    </font>
    <font>
      <sz val="11"/>
      <color theme="3"/>
      <name val="Verdana"/>
      <family val="2"/>
    </font>
    <font>
      <b/>
      <sz val="14"/>
      <color theme="8"/>
      <name val="Verdana"/>
      <family val="2"/>
    </font>
    <font>
      <b/>
      <sz val="10"/>
      <color theme="3"/>
      <name val="Verdana"/>
      <family val="2"/>
    </font>
    <font>
      <sz val="14"/>
      <color theme="6"/>
      <name val="Verdana"/>
      <family val="2"/>
    </font>
    <font>
      <b/>
      <sz val="14"/>
      <color theme="1"/>
      <name val="Verdana"/>
      <family val="2"/>
    </font>
    <font>
      <sz val="18"/>
      <color theme="0"/>
      <name val="Verdana"/>
      <family val="2"/>
    </font>
    <font>
      <sz val="18"/>
      <color theme="1"/>
      <name val="Verdana"/>
      <family val="2"/>
    </font>
    <font>
      <sz val="18"/>
      <color theme="1" tint="0.249977111117893"/>
      <name val="Verdana"/>
      <family val="2"/>
    </font>
    <font>
      <sz val="11"/>
      <color theme="8"/>
      <name val="Verdana"/>
      <family val="2"/>
    </font>
    <font>
      <sz val="16"/>
      <color theme="6"/>
      <name val="Verdana"/>
      <family val="2"/>
    </font>
    <font>
      <sz val="16"/>
      <color theme="8"/>
      <name val="Verdana"/>
      <family val="2"/>
    </font>
    <font>
      <sz val="16"/>
      <color theme="3"/>
      <name val="Verdana"/>
      <family val="2"/>
    </font>
    <font>
      <b/>
      <sz val="18"/>
      <color theme="1"/>
      <name val="Verdana"/>
      <family val="2"/>
    </font>
    <font>
      <b/>
      <sz val="11"/>
      <color theme="1"/>
      <name val="Calibri"/>
      <family val="2"/>
      <scheme val="minor"/>
    </font>
    <font>
      <u/>
      <sz val="11"/>
      <color theme="1"/>
      <name val="Calibri"/>
      <family val="2"/>
      <scheme val="minor"/>
    </font>
    <font>
      <sz val="11"/>
      <color rgb="FFFFFFFF"/>
      <name val="Calibri"/>
      <family val="2"/>
      <scheme val="minor"/>
    </font>
    <font>
      <i/>
      <sz val="11"/>
      <color theme="1"/>
      <name val="Calibri"/>
      <family val="2"/>
      <scheme val="minor"/>
    </font>
    <font>
      <b/>
      <sz val="10"/>
      <color indexed="81"/>
      <name val="verdana"/>
      <family val="2"/>
    </font>
    <font>
      <sz val="10"/>
      <color indexed="81"/>
      <name val="verdana"/>
      <family val="2"/>
    </font>
    <font>
      <b/>
      <sz val="16"/>
      <color theme="1"/>
      <name val="Verdana"/>
      <family val="2"/>
    </font>
  </fonts>
  <fills count="54">
    <fill>
      <patternFill patternType="none"/>
    </fill>
    <fill>
      <patternFill patternType="gray125"/>
    </fill>
    <fill>
      <patternFill patternType="solid">
        <fgColor theme="9"/>
        <bgColor indexed="64"/>
      </patternFill>
    </fill>
    <fill>
      <patternFill patternType="solid">
        <fgColor theme="4"/>
        <bgColor indexed="64"/>
      </patternFill>
    </fill>
    <fill>
      <patternFill patternType="solid">
        <fgColor theme="1"/>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rgb="FF0070C0"/>
        <bgColor indexed="64"/>
      </patternFill>
    </fill>
    <fill>
      <patternFill patternType="solid">
        <fgColor theme="0"/>
        <bgColor indexed="64"/>
      </patternFill>
    </fill>
    <fill>
      <patternFill patternType="solid">
        <fgColor rgb="FFDDEBF7"/>
        <bgColor indexed="64"/>
      </patternFill>
    </fill>
    <fill>
      <patternFill patternType="solid">
        <fgColor rgb="FF8E8E8E"/>
        <bgColor indexed="64"/>
      </patternFill>
    </fill>
    <fill>
      <patternFill patternType="solid">
        <fgColor rgb="FF92D050"/>
        <bgColor indexed="64"/>
      </patternFill>
    </fill>
    <fill>
      <patternFill patternType="solid">
        <fgColor rgb="FF8E8E8E"/>
        <bgColor theme="8"/>
      </patternFill>
    </fill>
    <fill>
      <patternFill patternType="solid">
        <fgColor rgb="FFCCCCCC"/>
        <bgColor theme="8" tint="0.79998168889431442"/>
      </patternFill>
    </fill>
    <fill>
      <patternFill patternType="solid">
        <fgColor rgb="FFCCCCCC"/>
        <bgColor indexed="64"/>
      </patternFill>
    </fill>
    <fill>
      <patternFill patternType="solid">
        <fgColor indexed="22"/>
        <bgColor indexed="64"/>
      </patternFill>
    </fill>
    <fill>
      <patternFill patternType="lightGray">
        <fgColor indexed="13"/>
        <bgColor indexed="43"/>
      </patternFill>
    </fill>
    <fill>
      <patternFill patternType="solid">
        <fgColor theme="0" tint="-4.9989318521683403E-2"/>
        <bgColor indexed="64"/>
      </patternFill>
    </fill>
    <fill>
      <patternFill patternType="solid">
        <fgColor rgb="FFFFFF00"/>
        <bgColor indexed="64"/>
      </patternFill>
    </fill>
    <fill>
      <patternFill patternType="solid">
        <fgColor indexed="43"/>
        <bgColor indexed="64"/>
      </patternFill>
    </fill>
    <fill>
      <patternFill patternType="solid">
        <fgColor indexed="57"/>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33"/>
        <bgColor indexed="64"/>
      </patternFill>
    </fill>
    <fill>
      <patternFill patternType="solid">
        <fgColor theme="8" tint="0.399975585192419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F79646"/>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3"/>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rgb="FFFFC00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7"/>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7030A0"/>
        <bgColor indexed="64"/>
      </patternFill>
    </fill>
    <fill>
      <patternFill patternType="solid">
        <fgColor rgb="FF0AB9F0"/>
        <bgColor indexed="64"/>
      </patternFill>
    </fill>
    <fill>
      <patternFill patternType="solid">
        <fgColor rgb="FFF8F8F8"/>
        <bgColor indexed="64"/>
      </patternFill>
    </fill>
    <fill>
      <patternFill patternType="solid">
        <fgColor rgb="FFFFFFFF"/>
        <bgColor indexed="64"/>
      </patternFill>
    </fill>
  </fills>
  <borders count="5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8"/>
      </left>
      <right style="medium">
        <color indexed="8"/>
      </right>
      <top style="medium">
        <color indexed="8"/>
      </top>
      <bottom style="medium">
        <color indexed="8"/>
      </bottom>
      <diagonal/>
    </border>
    <border>
      <left style="medium">
        <color indexed="63"/>
      </left>
      <right style="medium">
        <color indexed="9"/>
      </right>
      <top style="medium">
        <color indexed="63"/>
      </top>
      <bottom style="medium">
        <color indexed="9"/>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55"/>
      </right>
      <top style="medium">
        <color indexed="64"/>
      </top>
      <bottom style="medium">
        <color indexed="55"/>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right/>
      <top/>
      <bottom style="thin">
        <color theme="0" tint="-0.34998626667073579"/>
      </bottom>
      <diagonal/>
    </border>
    <border>
      <left style="thick">
        <color theme="0"/>
      </left>
      <right style="thick">
        <color theme="0"/>
      </right>
      <top style="thick">
        <color theme="0"/>
      </top>
      <bottom style="thick">
        <color theme="0"/>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right style="medium">
        <color indexed="64"/>
      </right>
      <top style="thin">
        <color indexed="64"/>
      </top>
      <bottom/>
      <diagonal/>
    </border>
    <border>
      <left/>
      <right style="medium">
        <color indexed="64"/>
      </right>
      <top/>
      <bottom style="thin">
        <color indexed="64"/>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left>
      <right/>
      <top/>
      <bottom/>
      <diagonal/>
    </border>
    <border>
      <left style="thick">
        <color theme="8"/>
      </left>
      <right/>
      <top style="thick">
        <color theme="8"/>
      </top>
      <bottom style="thick">
        <color theme="8"/>
      </bottom>
      <diagonal/>
    </border>
    <border>
      <left/>
      <right/>
      <top style="thick">
        <color theme="8"/>
      </top>
      <bottom style="thick">
        <color theme="8"/>
      </bottom>
      <diagonal/>
    </border>
    <border>
      <left/>
      <right style="thick">
        <color theme="8"/>
      </right>
      <top style="thick">
        <color theme="8"/>
      </top>
      <bottom style="thick">
        <color theme="8"/>
      </bottom>
      <diagonal/>
    </border>
    <border>
      <left/>
      <right/>
      <top style="thick">
        <color theme="8"/>
      </top>
      <bottom/>
      <diagonal/>
    </border>
    <border>
      <left/>
      <right/>
      <top/>
      <bottom style="thick">
        <color theme="8"/>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s>
  <cellStyleXfs count="177">
    <xf numFmtId="0" fontId="0" fillId="0" borderId="0"/>
    <xf numFmtId="0" fontId="17" fillId="0" borderId="0"/>
    <xf numFmtId="1" fontId="20" fillId="0" borderId="0"/>
    <xf numFmtId="0" fontId="21" fillId="16" borderId="0" applyFont="0" applyFill="0" applyBorder="0" applyAlignment="0" applyProtection="0"/>
    <xf numFmtId="0" fontId="21" fillId="16" borderId="0" applyFont="0" applyFill="0" applyBorder="0" applyAlignment="0" applyProtection="0"/>
    <xf numFmtId="0" fontId="22" fillId="17" borderId="13" applyNumberFormat="0" applyFont="0" applyProtection="0"/>
    <xf numFmtId="0" fontId="22" fillId="17" borderId="13" applyNumberFormat="0" applyFont="0" applyProtection="0"/>
    <xf numFmtId="0" fontId="22" fillId="17" borderId="14" applyNumberFormat="0" applyFont="0" applyProtection="0"/>
    <xf numFmtId="0" fontId="22" fillId="17" borderId="14" applyNumberFormat="0" applyFont="0" applyProtection="0"/>
    <xf numFmtId="0" fontId="22" fillId="17" borderId="14" applyFont="0"/>
    <xf numFmtId="0" fontId="22" fillId="17" borderId="14" applyFont="0"/>
    <xf numFmtId="0" fontId="23" fillId="16" borderId="13" applyNumberFormat="0" applyFont="0"/>
    <xf numFmtId="0" fontId="23" fillId="16" borderId="13" applyNumberFormat="0" applyFont="0"/>
    <xf numFmtId="0" fontId="23" fillId="16" borderId="14" applyNumberFormat="0" applyFont="0"/>
    <xf numFmtId="0" fontId="23" fillId="16" borderId="14" applyNumberFormat="0" applyFont="0"/>
    <xf numFmtId="0" fontId="21" fillId="18" borderId="0" applyNumberFormat="0" applyFont="0" applyBorder="0" applyAlignment="0"/>
    <xf numFmtId="0" fontId="21" fillId="18" borderId="0" applyNumberFormat="0" applyFont="0" applyBorder="0" applyAlignment="0"/>
    <xf numFmtId="0" fontId="21" fillId="19" borderId="0" applyNumberFormat="0" applyFont="0" applyBorder="0" applyAlignment="0">
      <protection locked="0"/>
    </xf>
    <xf numFmtId="0" fontId="21" fillId="19" borderId="0" applyNumberFormat="0" applyFont="0" applyBorder="0" applyAlignment="0">
      <protection locked="0"/>
    </xf>
    <xf numFmtId="0" fontId="24" fillId="0" borderId="15">
      <alignment horizontal="center"/>
    </xf>
    <xf numFmtId="166" fontId="25" fillId="0" borderId="0"/>
    <xf numFmtId="166" fontId="25" fillId="0" borderId="0"/>
    <xf numFmtId="166" fontId="25" fillId="0" borderId="0"/>
    <xf numFmtId="166" fontId="25" fillId="0" borderId="0"/>
    <xf numFmtId="166" fontId="25" fillId="0" borderId="0"/>
    <xf numFmtId="166" fontId="25" fillId="0" borderId="0"/>
    <xf numFmtId="166" fontId="25" fillId="0" borderId="0"/>
    <xf numFmtId="166" fontId="25" fillId="0" borderId="0"/>
    <xf numFmtId="164" fontId="25"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7" fontId="24" fillId="20" borderId="2" applyFont="0" applyFill="0" applyBorder="0" applyAlignment="0" applyProtection="0">
      <alignment horizontal="center"/>
      <protection locked="0"/>
    </xf>
    <xf numFmtId="167" fontId="24" fillId="20" borderId="2" applyFont="0" applyFill="0" applyBorder="0" applyAlignment="0" applyProtection="0">
      <alignment horizontal="center"/>
      <protection locked="0"/>
    </xf>
    <xf numFmtId="168" fontId="25" fillId="0" borderId="0" applyFont="0" applyFill="0" applyBorder="0" applyAlignment="0" applyProtection="0">
      <alignment horizontal="center"/>
    </xf>
    <xf numFmtId="169" fontId="26" fillId="0" borderId="0" applyFont="0" applyFill="0" applyBorder="0" applyAlignment="0" applyProtection="0"/>
    <xf numFmtId="170" fontId="21" fillId="0" borderId="0" applyFont="0" applyFill="0" applyBorder="0" applyAlignment="0" applyProtection="0"/>
    <xf numFmtId="170"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0" fontId="26" fillId="0" borderId="0" applyFont="0" applyFill="0" applyBorder="0" applyAlignment="0" applyProtection="0"/>
    <xf numFmtId="172" fontId="27" fillId="0" borderId="0" applyFont="0" applyFill="0" applyBorder="0" applyAlignment="0" applyProtection="0"/>
    <xf numFmtId="165" fontId="25"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17"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37" fontId="28" fillId="21" borderId="16" applyFont="0" applyFill="0" applyBorder="0" applyAlignment="0" applyProtection="0">
      <alignment horizontal="centerContinuous" vertical="center"/>
    </xf>
    <xf numFmtId="0" fontId="25" fillId="17" borderId="14" applyFont="0" applyFill="0" applyBorder="0" applyAlignment="0" applyProtection="0">
      <alignment horizontal="center"/>
      <protection locked="0"/>
    </xf>
    <xf numFmtId="0" fontId="25" fillId="17" borderId="14" applyFont="0" applyFill="0" applyBorder="0" applyAlignment="0" applyProtection="0">
      <alignment horizontal="center"/>
      <protection locked="0"/>
    </xf>
    <xf numFmtId="0" fontId="25" fillId="20" borderId="0" applyFont="0" applyFill="0" applyBorder="0" applyAlignment="0" applyProtection="0"/>
    <xf numFmtId="0" fontId="25" fillId="17" borderId="14" applyFont="0" applyFill="0" applyBorder="0" applyAlignment="0" applyProtection="0">
      <protection locked="0"/>
    </xf>
    <xf numFmtId="0" fontId="25" fillId="17" borderId="14" applyFont="0" applyFill="0" applyBorder="0" applyAlignment="0" applyProtection="0">
      <protection locked="0"/>
    </xf>
    <xf numFmtId="0" fontId="25" fillId="16" borderId="0" applyFont="0" applyFill="0" applyBorder="0" applyAlignment="0" applyProtection="0"/>
    <xf numFmtId="0" fontId="25" fillId="17" borderId="14" applyFont="0" applyFill="0" applyBorder="0" applyAlignment="0" applyProtection="0">
      <protection locked="0"/>
    </xf>
    <xf numFmtId="0" fontId="25" fillId="17" borderId="14" applyFont="0" applyFill="0" applyBorder="0" applyAlignment="0" applyProtection="0">
      <protection locked="0"/>
    </xf>
    <xf numFmtId="173" fontId="25" fillId="16" borderId="0" applyFont="0" applyFill="0" applyBorder="0" applyAlignment="0" applyProtection="0"/>
    <xf numFmtId="3" fontId="25" fillId="0" borderId="0" applyFont="0" applyFill="0" applyBorder="0" applyAlignment="0" applyProtection="0"/>
    <xf numFmtId="0" fontId="29" fillId="0" borderId="0"/>
    <xf numFmtId="3" fontId="25" fillId="16" borderId="0" applyFont="0" applyFill="0" applyBorder="0" applyAlignment="0" applyProtection="0">
      <alignment horizontal="center"/>
    </xf>
    <xf numFmtId="0" fontId="29" fillId="0" borderId="0"/>
    <xf numFmtId="0" fontId="25" fillId="0" borderId="0"/>
    <xf numFmtId="0" fontId="29" fillId="0" borderId="0"/>
    <xf numFmtId="0" fontId="29" fillId="0" borderId="0"/>
    <xf numFmtId="174" fontId="27" fillId="22"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6" fillId="17" borderId="14" applyFont="0" applyFill="0" applyBorder="0" applyAlignment="0" applyProtection="0">
      <protection locked="0"/>
    </xf>
    <xf numFmtId="0" fontId="26" fillId="17" borderId="14" applyFont="0" applyFill="0" applyBorder="0" applyAlignment="0" applyProtection="0">
      <protection locked="0"/>
    </xf>
    <xf numFmtId="0" fontId="25" fillId="17" borderId="14" applyFont="0" applyFill="0" applyBorder="0" applyAlignment="0" applyProtection="0">
      <protection locked="0"/>
    </xf>
    <xf numFmtId="0" fontId="25" fillId="17" borderId="14" applyFont="0" applyFill="0" applyBorder="0" applyAlignment="0" applyProtection="0">
      <protection locked="0"/>
    </xf>
    <xf numFmtId="0" fontId="25" fillId="17" borderId="14" applyFont="0" applyFill="0" applyBorder="0" applyAlignment="0" applyProtection="0">
      <protection locked="0"/>
    </xf>
    <xf numFmtId="0" fontId="25" fillId="17" borderId="14" applyFont="0" applyFill="0" applyBorder="0" applyAlignment="0" applyProtection="0">
      <protection locked="0"/>
    </xf>
    <xf numFmtId="5" fontId="25" fillId="0" borderId="0" applyFont="0" applyFill="0" applyBorder="0" applyAlignment="0" applyProtection="0"/>
    <xf numFmtId="0" fontId="25" fillId="0" borderId="0" applyFill="0" applyBorder="0" applyAlignment="0" applyProtection="0"/>
    <xf numFmtId="175" fontId="21" fillId="0" borderId="0" applyFont="0" applyFill="0" applyBorder="0" applyAlignment="0" applyProtection="0"/>
    <xf numFmtId="175" fontId="21" fillId="0" borderId="0" applyFont="0" applyFill="0" applyBorder="0" applyAlignment="0" applyProtection="0"/>
    <xf numFmtId="3" fontId="30" fillId="23" borderId="17">
      <alignment horizontal="center" vertical="center"/>
      <protection locked="0"/>
    </xf>
    <xf numFmtId="176" fontId="21" fillId="0" borderId="0" applyFont="0" applyFill="0" applyBorder="0" applyAlignment="0" applyProtection="0"/>
    <xf numFmtId="176" fontId="21" fillId="0" borderId="0" applyFont="0" applyFill="0" applyBorder="0" applyAlignment="0" applyProtection="0"/>
    <xf numFmtId="0" fontId="21" fillId="24" borderId="0" applyFont="0" applyBorder="0" applyAlignment="0" applyProtection="0"/>
    <xf numFmtId="0" fontId="21" fillId="24" borderId="0" applyFont="0" applyBorder="0" applyAlignment="0" applyProtection="0"/>
    <xf numFmtId="0" fontId="21" fillId="25" borderId="0" applyFont="0" applyBorder="0" applyAlignment="0" applyProtection="0"/>
    <xf numFmtId="0" fontId="21" fillId="25" borderId="0" applyFont="0" applyBorder="0" applyAlignment="0" applyProtection="0"/>
    <xf numFmtId="177" fontId="21" fillId="24" borderId="0" applyFont="0" applyBorder="0" applyAlignment="0" applyProtection="0"/>
    <xf numFmtId="2" fontId="25" fillId="0" borderId="0" applyFont="0" applyFill="0" applyBorder="0" applyAlignment="0" applyProtection="0"/>
    <xf numFmtId="0" fontId="29" fillId="0" borderId="0"/>
    <xf numFmtId="12" fontId="31" fillId="0" borderId="18" applyFont="0" applyFill="0" applyBorder="0" applyAlignment="0" applyProtection="0"/>
    <xf numFmtId="38" fontId="21" fillId="16" borderId="0" applyNumberFormat="0" applyBorder="0" applyAlignment="0" applyProtection="0"/>
    <xf numFmtId="38" fontId="21" fillId="16" borderId="0" applyNumberFormat="0" applyBorder="0" applyAlignment="0" applyProtection="0"/>
    <xf numFmtId="10" fontId="21" fillId="23" borderId="19" applyNumberFormat="0" applyBorder="0" applyAlignment="0" applyProtection="0"/>
    <xf numFmtId="10" fontId="21" fillId="23" borderId="19" applyNumberFormat="0" applyBorder="0" applyAlignment="0" applyProtection="0"/>
    <xf numFmtId="0" fontId="32" fillId="20" borderId="14" applyNumberFormat="0" applyFont="0">
      <alignment horizontal="center"/>
      <protection locked="0"/>
    </xf>
    <xf numFmtId="0" fontId="32" fillId="20" borderId="14" applyNumberFormat="0" applyFont="0">
      <alignment horizontal="center"/>
      <protection locked="0"/>
    </xf>
    <xf numFmtId="37" fontId="33" fillId="0" borderId="0"/>
    <xf numFmtId="178" fontId="34" fillId="0" borderId="0"/>
    <xf numFmtId="0" fontId="21" fillId="0" borderId="0"/>
    <xf numFmtId="0" fontId="25" fillId="0" borderId="0"/>
    <xf numFmtId="0" fontId="21" fillId="0" borderId="0"/>
    <xf numFmtId="0" fontId="17" fillId="0" borderId="0"/>
    <xf numFmtId="0" fontId="21" fillId="0" borderId="0"/>
    <xf numFmtId="0" fontId="21" fillId="0" borderId="0"/>
    <xf numFmtId="0" fontId="21" fillId="0" borderId="0"/>
    <xf numFmtId="0" fontId="21" fillId="0" borderId="0"/>
    <xf numFmtId="0" fontId="21" fillId="0" borderId="0"/>
    <xf numFmtId="0" fontId="35" fillId="0" borderId="0"/>
    <xf numFmtId="37" fontId="25" fillId="20" borderId="0" applyFont="0" applyFill="0" applyBorder="0" applyAlignment="0" applyProtection="0">
      <alignment horizontal="center"/>
    </xf>
    <xf numFmtId="0" fontId="29" fillId="0" borderId="0"/>
    <xf numFmtId="0" fontId="29" fillId="0" borderId="0"/>
    <xf numFmtId="179" fontId="36" fillId="23" borderId="0" applyFont="0" applyFill="0" applyBorder="0" applyAlignment="0" applyProtection="0"/>
    <xf numFmtId="10" fontId="29" fillId="0" borderId="0" applyFont="0" applyFill="0" applyBorder="0" applyAlignment="0" applyProtection="0">
      <protection locked="0"/>
    </xf>
    <xf numFmtId="10" fontId="25" fillId="0" borderId="0" applyFont="0" applyFill="0" applyBorder="0" applyAlignment="0" applyProtection="0"/>
    <xf numFmtId="179" fontId="21" fillId="0" borderId="0" applyFont="0" applyFill="0" applyBorder="0" applyAlignment="0" applyProtection="0"/>
    <xf numFmtId="179" fontId="21" fillId="0" borderId="0" applyFont="0" applyFill="0" applyBorder="0" applyAlignment="0" applyProtection="0"/>
    <xf numFmtId="10" fontId="21" fillId="0" borderId="5" applyFont="0" applyFill="0" applyBorder="0" applyAlignment="0" applyProtection="0"/>
    <xf numFmtId="10" fontId="21" fillId="0" borderId="5" applyFont="0" applyFill="0" applyBorder="0" applyAlignment="0" applyProtection="0"/>
    <xf numFmtId="10" fontId="21" fillId="0" borderId="5" applyFont="0" applyFill="0" applyBorder="0" applyAlignment="0" applyProtection="0"/>
    <xf numFmtId="10" fontId="21" fillId="0" borderId="5" applyFont="0" applyFill="0" applyBorder="0" applyAlignment="0" applyProtection="0"/>
    <xf numFmtId="9" fontId="25"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35" fillId="0" borderId="0" applyFont="0" applyFill="0" applyBorder="0" applyAlignment="0" applyProtection="0"/>
    <xf numFmtId="0" fontId="25" fillId="17" borderId="14" applyFont="0" applyFill="0" applyBorder="0" applyAlignment="0" applyProtection="0">
      <protection locked="0"/>
    </xf>
    <xf numFmtId="0" fontId="25" fillId="17" borderId="14" applyFont="0" applyFill="0" applyBorder="0" applyAlignment="0" applyProtection="0">
      <protection locked="0"/>
    </xf>
    <xf numFmtId="0" fontId="25" fillId="17" borderId="14" applyFont="0" applyFill="0" applyBorder="0" applyAlignment="0" applyProtection="0">
      <protection locked="0"/>
    </xf>
    <xf numFmtId="0" fontId="25" fillId="17" borderId="14" applyFont="0" applyFill="0" applyBorder="0" applyAlignment="0" applyProtection="0">
      <protection locked="0"/>
    </xf>
    <xf numFmtId="9" fontId="42" fillId="0" borderId="0" applyFont="0" applyFill="0" applyBorder="0" applyAlignment="0" applyProtection="0"/>
    <xf numFmtId="0" fontId="10" fillId="0" borderId="0"/>
    <xf numFmtId="0" fontId="42" fillId="0" borderId="0"/>
    <xf numFmtId="164" fontId="25"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5" fontId="25"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10"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0" fontId="10" fillId="0" borderId="0"/>
    <xf numFmtId="9" fontId="42" fillId="0" borderId="0" applyFont="0" applyFill="0" applyBorder="0" applyAlignment="0" applyProtection="0"/>
    <xf numFmtId="0" fontId="9" fillId="0" borderId="0"/>
    <xf numFmtId="0" fontId="9" fillId="0" borderId="0"/>
    <xf numFmtId="0" fontId="54" fillId="0" borderId="0" applyNumberFormat="0" applyFill="0" applyBorder="0" applyAlignment="0" applyProtection="0"/>
    <xf numFmtId="0" fontId="8" fillId="0" borderId="0"/>
    <xf numFmtId="0" fontId="8" fillId="0" borderId="0"/>
    <xf numFmtId="43" fontId="42" fillId="0" borderId="0" applyFont="0" applyFill="0" applyBorder="0" applyAlignment="0" applyProtection="0"/>
    <xf numFmtId="41" fontId="42" fillId="0" borderId="0" applyFont="0" applyFill="0" applyBorder="0" applyAlignment="0" applyProtection="0"/>
    <xf numFmtId="0" fontId="7" fillId="0" borderId="0"/>
    <xf numFmtId="0" fontId="7" fillId="0" borderId="0"/>
    <xf numFmtId="44" fontId="42" fillId="0" borderId="0" applyFont="0" applyFill="0" applyBorder="0" applyAlignment="0" applyProtection="0"/>
    <xf numFmtId="0" fontId="6" fillId="0" borderId="0"/>
    <xf numFmtId="0" fontId="6" fillId="0" borderId="0"/>
    <xf numFmtId="0" fontId="5" fillId="0" borderId="0"/>
    <xf numFmtId="0" fontId="5" fillId="0" borderId="0"/>
    <xf numFmtId="0" fontId="4" fillId="0" borderId="0"/>
    <xf numFmtId="0" fontId="4" fillId="0" borderId="0"/>
  </cellStyleXfs>
  <cellXfs count="957">
    <xf numFmtId="0" fontId="0" fillId="0" borderId="0" xfId="0"/>
    <xf numFmtId="0" fontId="0" fillId="2" borderId="0" xfId="0" applyFill="1"/>
    <xf numFmtId="0" fontId="11" fillId="3" borderId="0" xfId="0" applyFont="1" applyFill="1"/>
    <xf numFmtId="0" fontId="12" fillId="4" borderId="0" xfId="0" applyFont="1" applyFill="1" applyAlignment="1">
      <alignment horizontal="left" vertical="center"/>
    </xf>
    <xf numFmtId="0" fontId="12" fillId="4" borderId="0" xfId="0" applyFont="1" applyFill="1" applyAlignment="1">
      <alignment horizontal="center" vertical="center"/>
    </xf>
    <xf numFmtId="0" fontId="13" fillId="4" borderId="0" xfId="0" applyFont="1" applyFill="1" applyAlignment="1">
      <alignment horizontal="center" vertical="center" wrapText="1"/>
    </xf>
    <xf numFmtId="0" fontId="14" fillId="5" borderId="0" xfId="0" applyFont="1" applyFill="1" applyAlignment="1">
      <alignment horizontal="center" vertical="center"/>
    </xf>
    <xf numFmtId="0" fontId="14" fillId="5" borderId="0" xfId="0" applyFont="1" applyFill="1" applyAlignment="1">
      <alignment horizontal="left" vertical="center"/>
    </xf>
    <xf numFmtId="0" fontId="15" fillId="5" borderId="0" xfId="0" applyFont="1" applyFill="1" applyAlignment="1">
      <alignment horizontal="center" vertical="center" wrapText="1"/>
    </xf>
    <xf numFmtId="0" fontId="12" fillId="5" borderId="0" xfId="0" applyFont="1" applyFill="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6" borderId="0" xfId="0" applyFill="1" applyAlignment="1">
      <alignment horizontal="center" vertical="center"/>
    </xf>
    <xf numFmtId="0" fontId="0" fillId="2" borderId="0" xfId="0" applyFill="1" applyAlignment="1">
      <alignment horizontal="center" vertical="center"/>
    </xf>
    <xf numFmtId="0" fontId="11" fillId="4" borderId="0" xfId="0" applyFont="1" applyFill="1" applyAlignment="1">
      <alignment horizontal="left" vertical="center"/>
    </xf>
    <xf numFmtId="0" fontId="11" fillId="4" borderId="0" xfId="0" applyFont="1" applyFill="1" applyAlignment="1">
      <alignment horizontal="center" vertical="center"/>
    </xf>
    <xf numFmtId="0" fontId="11" fillId="5" borderId="0" xfId="0" applyFont="1" applyFill="1" applyAlignment="1">
      <alignment horizontal="center" vertical="center"/>
    </xf>
    <xf numFmtId="0" fontId="0" fillId="2" borderId="0" xfId="0" applyFill="1" applyAlignment="1">
      <alignment horizontal="center"/>
    </xf>
    <xf numFmtId="0" fontId="11" fillId="4" borderId="0" xfId="0" applyFont="1" applyFill="1"/>
    <xf numFmtId="0" fontId="11" fillId="3" borderId="0" xfId="0" applyFont="1" applyFill="1" applyAlignment="1">
      <alignment horizontal="center"/>
    </xf>
    <xf numFmtId="0" fontId="0" fillId="6" borderId="0" xfId="0" applyFill="1"/>
    <xf numFmtId="0" fontId="0" fillId="6" borderId="19" xfId="0" applyFill="1" applyBorder="1"/>
    <xf numFmtId="0" fontId="11" fillId="4" borderId="0" xfId="0" applyFont="1" applyFill="1" applyAlignment="1">
      <alignment horizontal="center"/>
    </xf>
    <xf numFmtId="0" fontId="11" fillId="5" borderId="0" xfId="0" applyFont="1" applyFill="1"/>
    <xf numFmtId="0" fontId="11"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37" fillId="0" borderId="0" xfId="112" applyFont="1"/>
    <xf numFmtId="0" fontId="38" fillId="0" borderId="0" xfId="112" applyFont="1"/>
    <xf numFmtId="0" fontId="37" fillId="0" borderId="0" xfId="112" applyFont="1" applyAlignment="1">
      <alignment horizontal="center"/>
    </xf>
    <xf numFmtId="0" fontId="37" fillId="6" borderId="0" xfId="112" applyFont="1" applyFill="1"/>
    <xf numFmtId="0" fontId="37" fillId="26" borderId="0" xfId="112" applyFont="1" applyFill="1"/>
    <xf numFmtId="2" fontId="37" fillId="6" borderId="0" xfId="112" applyNumberFormat="1" applyFont="1" applyFill="1" applyAlignment="1">
      <alignment horizontal="center"/>
    </xf>
    <xf numFmtId="0" fontId="39" fillId="0" borderId="0" xfId="112" applyFont="1"/>
    <xf numFmtId="0" fontId="37" fillId="6" borderId="0" xfId="112" applyFont="1" applyFill="1" applyAlignment="1">
      <alignment horizontal="center"/>
    </xf>
    <xf numFmtId="0" fontId="37" fillId="0" borderId="0" xfId="112" applyFont="1" applyAlignment="1">
      <alignment horizontal="center" vertical="center"/>
    </xf>
    <xf numFmtId="0" fontId="37" fillId="26" borderId="0" xfId="112" applyFont="1" applyFill="1" applyAlignment="1">
      <alignment horizontal="center"/>
    </xf>
    <xf numFmtId="0" fontId="37" fillId="2" borderId="0" xfId="112" applyFont="1" applyFill="1" applyAlignment="1">
      <alignment horizontal="center"/>
    </xf>
    <xf numFmtId="0" fontId="37" fillId="2" borderId="15" xfId="112" applyFont="1" applyFill="1" applyBorder="1"/>
    <xf numFmtId="0" fontId="37" fillId="2" borderId="15" xfId="112" applyFont="1" applyFill="1" applyBorder="1" applyAlignment="1">
      <alignment horizontal="center"/>
    </xf>
    <xf numFmtId="3" fontId="37" fillId="26" borderId="21" xfId="112" applyNumberFormat="1" applyFont="1" applyFill="1" applyBorder="1" applyAlignment="1">
      <alignment horizontal="center"/>
    </xf>
    <xf numFmtId="0" fontId="37" fillId="7" borderId="15" xfId="112" applyFont="1" applyFill="1" applyBorder="1" applyAlignment="1">
      <alignment horizontal="center"/>
    </xf>
    <xf numFmtId="0" fontId="37" fillId="2" borderId="24" xfId="112" applyFont="1" applyFill="1" applyBorder="1"/>
    <xf numFmtId="0" fontId="37" fillId="2" borderId="24" xfId="112" applyFont="1" applyFill="1" applyBorder="1" applyAlignment="1">
      <alignment horizontal="center"/>
    </xf>
    <xf numFmtId="0" fontId="37" fillId="7" borderId="24" xfId="112" applyFont="1" applyFill="1" applyBorder="1" applyAlignment="1">
      <alignment horizontal="center"/>
    </xf>
    <xf numFmtId="0" fontId="37" fillId="2" borderId="27" xfId="112" applyFont="1" applyFill="1" applyBorder="1"/>
    <xf numFmtId="0" fontId="37" fillId="2" borderId="27" xfId="112" applyFont="1" applyFill="1" applyBorder="1" applyAlignment="1">
      <alignment horizontal="center"/>
    </xf>
    <xf numFmtId="0" fontId="37" fillId="26" borderId="28" xfId="112" applyFont="1" applyFill="1" applyBorder="1" applyAlignment="1">
      <alignment horizontal="center"/>
    </xf>
    <xf numFmtId="0" fontId="37" fillId="26" borderId="20" xfId="112" applyFont="1" applyFill="1" applyBorder="1" applyAlignment="1">
      <alignment horizontal="center"/>
    </xf>
    <xf numFmtId="0" fontId="37" fillId="26" borderId="29" xfId="112" applyFont="1" applyFill="1" applyBorder="1" applyAlignment="1">
      <alignment horizontal="center"/>
    </xf>
    <xf numFmtId="0" fontId="37" fillId="7" borderId="27" xfId="112" applyFont="1" applyFill="1" applyBorder="1" applyAlignment="1">
      <alignment horizontal="center"/>
    </xf>
    <xf numFmtId="180" fontId="37" fillId="6" borderId="0" xfId="112" applyNumberFormat="1" applyFont="1" applyFill="1" applyAlignment="1">
      <alignment horizontal="center"/>
    </xf>
    <xf numFmtId="0" fontId="37" fillId="6" borderId="20" xfId="112" applyFont="1" applyFill="1" applyBorder="1"/>
    <xf numFmtId="0" fontId="37" fillId="0" borderId="20" xfId="112" applyFont="1" applyBorder="1"/>
    <xf numFmtId="180" fontId="37" fillId="6" borderId="20" xfId="112" applyNumberFormat="1" applyFont="1" applyFill="1" applyBorder="1" applyAlignment="1">
      <alignment horizontal="center"/>
    </xf>
    <xf numFmtId="0" fontId="37" fillId="2" borderId="0" xfId="112" applyFont="1" applyFill="1" applyAlignment="1">
      <alignment horizontal="center" vertical="center"/>
    </xf>
    <xf numFmtId="0" fontId="37" fillId="6" borderId="0" xfId="112" applyFont="1" applyFill="1" applyAlignment="1"/>
    <xf numFmtId="0" fontId="37" fillId="0" borderId="0" xfId="112" applyFont="1" applyFill="1" applyAlignment="1"/>
    <xf numFmtId="0" fontId="37" fillId="0" borderId="0" xfId="112" applyFont="1" applyFill="1"/>
    <xf numFmtId="0" fontId="37" fillId="0" borderId="0" xfId="112" applyFont="1" applyAlignment="1">
      <alignment horizontal="left"/>
    </xf>
    <xf numFmtId="0" fontId="37" fillId="2" borderId="19" xfId="112" applyFont="1" applyFill="1" applyBorder="1" applyAlignment="1">
      <alignment horizontal="center"/>
    </xf>
    <xf numFmtId="0" fontId="37" fillId="6" borderId="19" xfId="112" applyFont="1" applyFill="1" applyBorder="1"/>
    <xf numFmtId="0" fontId="37" fillId="3" borderId="15" xfId="112" applyFont="1" applyFill="1" applyBorder="1" applyAlignment="1">
      <alignment horizontal="center"/>
    </xf>
    <xf numFmtId="0" fontId="37" fillId="3" borderId="24" xfId="112" applyFont="1" applyFill="1" applyBorder="1" applyAlignment="1">
      <alignment horizontal="center"/>
    </xf>
    <xf numFmtId="0" fontId="37" fillId="3" borderId="27" xfId="112" applyFont="1" applyFill="1" applyBorder="1" applyAlignment="1">
      <alignment horizontal="center"/>
    </xf>
    <xf numFmtId="0" fontId="16" fillId="0" borderId="0" xfId="0" applyFont="1"/>
    <xf numFmtId="0" fontId="0" fillId="0" borderId="0" xfId="0" applyFill="1"/>
    <xf numFmtId="3" fontId="0" fillId="2" borderId="0" xfId="0" applyNumberFormat="1" applyFill="1" applyAlignment="1">
      <alignment horizontal="center"/>
    </xf>
    <xf numFmtId="0" fontId="11" fillId="4" borderId="0" xfId="0" applyFont="1" applyFill="1" applyAlignment="1">
      <alignment vertical="center"/>
    </xf>
    <xf numFmtId="0" fontId="0" fillId="0" borderId="0" xfId="0" applyAlignment="1">
      <alignment vertical="center"/>
    </xf>
    <xf numFmtId="0" fontId="11" fillId="3" borderId="0" xfId="0" applyFont="1" applyFill="1" applyAlignment="1">
      <alignment horizontal="center" vertical="center"/>
    </xf>
    <xf numFmtId="0" fontId="11" fillId="27" borderId="0" xfId="0" applyFont="1" applyFill="1" applyAlignment="1">
      <alignment horizontal="center"/>
    </xf>
    <xf numFmtId="0" fontId="0" fillId="2" borderId="0" xfId="0" applyFill="1" applyAlignment="1">
      <alignment horizontal="left" vertical="center"/>
    </xf>
    <xf numFmtId="9" fontId="0" fillId="0" borderId="0" xfId="140" applyFont="1" applyAlignment="1">
      <alignment horizontal="center" vertical="center"/>
    </xf>
    <xf numFmtId="0" fontId="11" fillId="5" borderId="0" xfId="0" applyFont="1" applyFill="1" applyAlignment="1">
      <alignment horizontal="left" vertical="center"/>
    </xf>
    <xf numFmtId="3" fontId="0" fillId="0" borderId="0" xfId="0" applyNumberFormat="1" applyAlignment="1">
      <alignment horizontal="center" vertical="center"/>
    </xf>
    <xf numFmtId="0" fontId="37" fillId="0" borderId="0" xfId="112" applyFont="1" applyFill="1" applyAlignment="1">
      <alignment horizontal="center"/>
    </xf>
    <xf numFmtId="3" fontId="37" fillId="0" borderId="15" xfId="112" applyNumberFormat="1" applyFont="1" applyFill="1" applyBorder="1" applyAlignment="1">
      <alignment horizontal="center"/>
    </xf>
    <xf numFmtId="3" fontId="37" fillId="0" borderId="24" xfId="112" applyNumberFormat="1" applyFont="1" applyFill="1" applyBorder="1" applyAlignment="1">
      <alignment horizontal="center"/>
    </xf>
    <xf numFmtId="3" fontId="37" fillId="0" borderId="27" xfId="112" applyNumberFormat="1" applyFont="1" applyFill="1" applyBorder="1" applyAlignment="1">
      <alignment horizontal="center"/>
    </xf>
    <xf numFmtId="0" fontId="43" fillId="29" borderId="0" xfId="112" applyFont="1" applyFill="1"/>
    <xf numFmtId="0" fontId="13" fillId="29" borderId="0" xfId="112" applyFont="1" applyFill="1"/>
    <xf numFmtId="0" fontId="13" fillId="29" borderId="0" xfId="112" applyFont="1" applyFill="1" applyAlignment="1">
      <alignment horizontal="center"/>
    </xf>
    <xf numFmtId="0" fontId="11" fillId="29" borderId="0" xfId="0" applyFont="1" applyFill="1"/>
    <xf numFmtId="0" fontId="43" fillId="4" borderId="0" xfId="112" applyFont="1" applyFill="1"/>
    <xf numFmtId="0" fontId="13" fillId="4" borderId="0" xfId="112" applyFont="1" applyFill="1"/>
    <xf numFmtId="0" fontId="37" fillId="0" borderId="15" xfId="112" applyFont="1" applyFill="1" applyBorder="1" applyAlignment="1">
      <alignment horizontal="left"/>
    </xf>
    <xf numFmtId="0" fontId="37" fillId="0" borderId="15" xfId="112" applyFont="1" applyFill="1" applyBorder="1"/>
    <xf numFmtId="0" fontId="37" fillId="0" borderId="24" xfId="112" applyFont="1" applyFill="1" applyBorder="1" applyAlignment="1">
      <alignment horizontal="left"/>
    </xf>
    <xf numFmtId="0" fontId="37" fillId="0" borderId="24" xfId="112" applyFont="1" applyFill="1" applyBorder="1"/>
    <xf numFmtId="0" fontId="37" fillId="0" borderId="27" xfId="112" applyFont="1" applyFill="1" applyBorder="1" applyAlignment="1">
      <alignment horizontal="left"/>
    </xf>
    <xf numFmtId="0" fontId="37" fillId="0" borderId="27" xfId="112" applyFont="1" applyFill="1" applyBorder="1"/>
    <xf numFmtId="0" fontId="13" fillId="4" borderId="0" xfId="112" applyFont="1" applyFill="1" applyAlignment="1">
      <alignment horizontal="center"/>
    </xf>
    <xf numFmtId="0" fontId="0" fillId="3" borderId="0" xfId="0" applyFill="1" applyAlignment="1">
      <alignment horizontal="center" vertical="center"/>
    </xf>
    <xf numFmtId="0" fontId="0" fillId="9" borderId="0" xfId="0" applyFill="1" applyAlignment="1">
      <alignment horizontal="center" vertical="center"/>
    </xf>
    <xf numFmtId="0" fontId="37" fillId="9" borderId="0" xfId="0" applyFont="1" applyFill="1" applyAlignment="1">
      <alignment horizontal="center" vertical="center"/>
    </xf>
    <xf numFmtId="0" fontId="37" fillId="0" borderId="30" xfId="0" applyFont="1" applyBorder="1" applyAlignment="1">
      <alignment horizontal="center" vertical="center"/>
    </xf>
    <xf numFmtId="0" fontId="0" fillId="9" borderId="31" xfId="0" applyFill="1" applyBorder="1" applyAlignment="1">
      <alignment horizontal="center" vertical="center"/>
    </xf>
    <xf numFmtId="0" fontId="0" fillId="2" borderId="31" xfId="0" applyFill="1" applyBorder="1" applyAlignment="1">
      <alignment horizontal="center" vertical="center"/>
    </xf>
    <xf numFmtId="0" fontId="0" fillId="9" borderId="0" xfId="0" applyFill="1" applyAlignment="1">
      <alignment vertical="center"/>
    </xf>
    <xf numFmtId="0" fontId="0" fillId="9" borderId="0" xfId="0" applyFill="1" applyBorder="1" applyAlignment="1">
      <alignment horizontal="center" vertical="center"/>
    </xf>
    <xf numFmtId="0" fontId="37" fillId="9" borderId="0" xfId="0" applyFont="1" applyFill="1" applyBorder="1" applyAlignment="1">
      <alignment horizontal="center" vertical="center"/>
    </xf>
    <xf numFmtId="0" fontId="0" fillId="2" borderId="0" xfId="0" applyFill="1" applyAlignment="1">
      <alignment vertical="center"/>
    </xf>
    <xf numFmtId="0" fontId="0" fillId="2" borderId="0" xfId="0" applyFill="1" applyAlignment="1">
      <alignment horizontal="right" vertical="center"/>
    </xf>
    <xf numFmtId="0" fontId="0" fillId="4" borderId="0" xfId="0" applyFill="1" applyAlignment="1">
      <alignment horizontal="left" vertical="center"/>
    </xf>
    <xf numFmtId="0" fontId="0" fillId="4" borderId="0" xfId="0" applyFill="1" applyAlignment="1">
      <alignment horizontal="center" vertical="center"/>
    </xf>
    <xf numFmtId="0" fontId="0" fillId="28" borderId="0" xfId="0" applyFill="1" applyAlignment="1">
      <alignment vertical="center"/>
    </xf>
    <xf numFmtId="181" fontId="0" fillId="0" borderId="0" xfId="0" applyNumberFormat="1" applyAlignment="1">
      <alignment horizontal="center" vertical="center"/>
    </xf>
    <xf numFmtId="0" fontId="11" fillId="5" borderId="0" xfId="0" applyFont="1" applyFill="1" applyAlignment="1">
      <alignment vertical="center"/>
    </xf>
    <xf numFmtId="0" fontId="16" fillId="0" borderId="0" xfId="0" applyFont="1" applyAlignment="1">
      <alignment horizontal="left" vertical="center"/>
    </xf>
    <xf numFmtId="0" fontId="0" fillId="0" borderId="0" xfId="0" applyFill="1" applyAlignment="1">
      <alignment horizontal="center" vertical="center"/>
    </xf>
    <xf numFmtId="0" fontId="37" fillId="9" borderId="0" xfId="0" applyFont="1" applyFill="1" applyAlignment="1">
      <alignment vertical="center"/>
    </xf>
    <xf numFmtId="0" fontId="37" fillId="0" borderId="0" xfId="0" applyFont="1" applyAlignment="1">
      <alignment vertical="center"/>
    </xf>
    <xf numFmtId="0" fontId="37" fillId="2" borderId="0" xfId="0" applyFont="1" applyFill="1" applyAlignment="1">
      <alignment vertical="center"/>
    </xf>
    <xf numFmtId="0" fontId="37" fillId="18" borderId="0" xfId="0" applyFont="1" applyFill="1" applyAlignment="1">
      <alignment vertical="center"/>
    </xf>
    <xf numFmtId="0" fontId="37" fillId="18" borderId="0" xfId="0" applyFont="1" applyFill="1"/>
    <xf numFmtId="0" fontId="45" fillId="8" borderId="0" xfId="141" applyFont="1" applyFill="1"/>
    <xf numFmtId="0" fontId="46" fillId="8" borderId="0" xfId="141" applyFont="1" applyFill="1"/>
    <xf numFmtId="0" fontId="45" fillId="8" borderId="0" xfId="141" applyFont="1" applyFill="1" applyAlignment="1">
      <alignment horizontal="right"/>
    </xf>
    <xf numFmtId="0" fontId="18" fillId="9" borderId="0" xfId="141" applyFont="1" applyFill="1"/>
    <xf numFmtId="0" fontId="18" fillId="10" borderId="2" xfId="141" applyFont="1" applyFill="1" applyBorder="1" applyAlignment="1">
      <alignment horizontal="center"/>
    </xf>
    <xf numFmtId="0" fontId="18" fillId="10" borderId="4" xfId="141" applyFont="1" applyFill="1" applyBorder="1" applyAlignment="1">
      <alignment horizontal="center"/>
    </xf>
    <xf numFmtId="0" fontId="18" fillId="11" borderId="5" xfId="141" applyFont="1" applyFill="1" applyBorder="1" applyAlignment="1">
      <alignment horizontal="center"/>
    </xf>
    <xf numFmtId="0" fontId="18" fillId="11" borderId="6" xfId="141" applyFont="1" applyFill="1" applyBorder="1" applyAlignment="1">
      <alignment horizontal="center"/>
    </xf>
    <xf numFmtId="0" fontId="18" fillId="11" borderId="7" xfId="141" applyFont="1" applyFill="1" applyBorder="1" applyAlignment="1">
      <alignment horizontal="center"/>
    </xf>
    <xf numFmtId="1" fontId="18" fillId="10" borderId="8" xfId="141" applyNumberFormat="1" applyFont="1" applyFill="1" applyBorder="1" applyAlignment="1">
      <alignment horizontal="center"/>
    </xf>
    <xf numFmtId="0" fontId="18" fillId="10" borderId="0" xfId="141" applyFont="1" applyFill="1" applyBorder="1" applyAlignment="1">
      <alignment horizontal="left"/>
    </xf>
    <xf numFmtId="1" fontId="18" fillId="10" borderId="0" xfId="141" applyNumberFormat="1" applyFont="1" applyFill="1" applyBorder="1" applyAlignment="1">
      <alignment horizontal="left"/>
    </xf>
    <xf numFmtId="0" fontId="18" fillId="15" borderId="0" xfId="141" applyFont="1" applyFill="1" applyBorder="1" applyAlignment="1">
      <alignment horizontal="left"/>
    </xf>
    <xf numFmtId="0" fontId="18" fillId="10" borderId="9" xfId="141" applyFont="1" applyFill="1" applyBorder="1" applyAlignment="1">
      <alignment horizontal="center"/>
    </xf>
    <xf numFmtId="1" fontId="18" fillId="10" borderId="10" xfId="141" applyNumberFormat="1" applyFont="1" applyFill="1" applyBorder="1" applyAlignment="1">
      <alignment horizontal="center"/>
    </xf>
    <xf numFmtId="0" fontId="18" fillId="10" borderId="11" xfId="141" applyFont="1" applyFill="1" applyBorder="1" applyAlignment="1">
      <alignment horizontal="left"/>
    </xf>
    <xf numFmtId="1" fontId="18" fillId="10" borderId="11" xfId="141" applyNumberFormat="1" applyFont="1" applyFill="1" applyBorder="1" applyAlignment="1">
      <alignment horizontal="left"/>
    </xf>
    <xf numFmtId="0" fontId="18" fillId="10" borderId="11" xfId="141" quotePrefix="1" applyFont="1" applyFill="1" applyBorder="1" applyAlignment="1">
      <alignment horizontal="left"/>
    </xf>
    <xf numFmtId="0" fontId="18" fillId="15" borderId="11" xfId="141" quotePrefix="1" applyFont="1" applyFill="1" applyBorder="1" applyAlignment="1">
      <alignment horizontal="left"/>
    </xf>
    <xf numFmtId="0" fontId="18" fillId="10" borderId="12" xfId="141" applyFont="1" applyFill="1" applyBorder="1" applyAlignment="1">
      <alignment horizontal="center"/>
    </xf>
    <xf numFmtId="0" fontId="18" fillId="12" borderId="0" xfId="141" applyFont="1" applyFill="1"/>
    <xf numFmtId="0" fontId="18" fillId="9" borderId="0" xfId="141" applyFont="1" applyFill="1" applyAlignment="1">
      <alignment horizontal="right"/>
    </xf>
    <xf numFmtId="0" fontId="18" fillId="11" borderId="2" xfId="141" applyFont="1" applyFill="1" applyBorder="1"/>
    <xf numFmtId="0" fontId="18" fillId="11" borderId="3" xfId="141" applyFont="1" applyFill="1" applyBorder="1"/>
    <xf numFmtId="0" fontId="18" fillId="11" borderId="4" xfId="141" applyFont="1" applyFill="1" applyBorder="1"/>
    <xf numFmtId="0" fontId="19" fillId="13" borderId="5" xfId="141" applyFont="1" applyFill="1" applyBorder="1" applyAlignment="1">
      <alignment horizontal="center"/>
    </xf>
    <xf numFmtId="0" fontId="19" fillId="13" borderId="7" xfId="141" applyFont="1" applyFill="1" applyBorder="1" applyAlignment="1">
      <alignment horizontal="center"/>
    </xf>
    <xf numFmtId="0" fontId="18" fillId="14" borderId="8" xfId="141" applyFont="1" applyFill="1" applyBorder="1" applyAlignment="1">
      <alignment horizontal="right"/>
    </xf>
    <xf numFmtId="0" fontId="18" fillId="14" borderId="9" xfId="141" applyFont="1" applyFill="1" applyBorder="1" applyAlignment="1">
      <alignment horizontal="right"/>
    </xf>
    <xf numFmtId="0" fontId="18" fillId="15" borderId="8" xfId="141" applyFont="1" applyFill="1" applyBorder="1" applyAlignment="1">
      <alignment horizontal="right"/>
    </xf>
    <xf numFmtId="0" fontId="18" fillId="15" borderId="9" xfId="141" applyFont="1" applyFill="1" applyBorder="1" applyAlignment="1">
      <alignment horizontal="right"/>
    </xf>
    <xf numFmtId="0" fontId="18" fillId="15" borderId="10" xfId="141" applyFont="1" applyFill="1" applyBorder="1" applyAlignment="1">
      <alignment horizontal="right"/>
    </xf>
    <xf numFmtId="0" fontId="18" fillId="15" borderId="12" xfId="141" applyFont="1" applyFill="1" applyBorder="1" applyAlignment="1">
      <alignment horizontal="right"/>
    </xf>
    <xf numFmtId="0" fontId="47" fillId="11" borderId="2" xfId="142" applyFont="1" applyFill="1" applyBorder="1" applyAlignment="1">
      <alignment horizontal="center"/>
    </xf>
    <xf numFmtId="0" fontId="18" fillId="11" borderId="3" xfId="104" applyFont="1" applyFill="1" applyBorder="1" applyAlignment="1">
      <alignment horizontal="center"/>
    </xf>
    <xf numFmtId="0" fontId="18" fillId="11" borderId="4" xfId="104" applyFont="1" applyFill="1" applyBorder="1" applyAlignment="1">
      <alignment horizontal="center"/>
    </xf>
    <xf numFmtId="0" fontId="48" fillId="12" borderId="0" xfId="142" applyFont="1" applyFill="1"/>
    <xf numFmtId="0" fontId="49" fillId="0" borderId="0" xfId="161" applyFont="1"/>
    <xf numFmtId="0" fontId="9" fillId="0" borderId="0" xfId="162" applyAlignment="1">
      <alignment horizontal="left"/>
    </xf>
    <xf numFmtId="0" fontId="49" fillId="30" borderId="0" xfId="162" applyFont="1" applyFill="1" applyAlignment="1">
      <alignment horizontal="center"/>
    </xf>
    <xf numFmtId="0" fontId="50" fillId="0" borderId="0" xfId="162" quotePrefix="1" applyFont="1" applyFill="1" applyBorder="1"/>
    <xf numFmtId="0" fontId="9" fillId="0" borderId="0" xfId="162"/>
    <xf numFmtId="0" fontId="9" fillId="0" borderId="0" xfId="162" applyAlignment="1">
      <alignment horizontal="center"/>
    </xf>
    <xf numFmtId="0" fontId="49" fillId="0" borderId="0" xfId="161" applyFont="1" applyFill="1" applyBorder="1"/>
    <xf numFmtId="0" fontId="51" fillId="0" borderId="0" xfId="161" applyFont="1" applyFill="1" applyBorder="1"/>
    <xf numFmtId="0" fontId="49" fillId="0" borderId="0" xfId="161" applyFont="1" applyAlignment="1">
      <alignment horizontal="center"/>
    </xf>
    <xf numFmtId="0" fontId="51" fillId="0" borderId="0" xfId="161" applyFont="1"/>
    <xf numFmtId="0" fontId="11" fillId="5" borderId="0" xfId="161" applyFont="1" applyFill="1"/>
    <xf numFmtId="0" fontId="11" fillId="5" borderId="0" xfId="161" applyFont="1" applyFill="1" applyAlignment="1">
      <alignment horizontal="center"/>
    </xf>
    <xf numFmtId="0" fontId="52" fillId="5" borderId="0" xfId="161" applyFont="1" applyFill="1" applyAlignment="1">
      <alignment horizontal="left" vertical="center"/>
    </xf>
    <xf numFmtId="0" fontId="49" fillId="0" borderId="0" xfId="162" applyFont="1"/>
    <xf numFmtId="0" fontId="49" fillId="0" borderId="0" xfId="162" applyFont="1" applyFill="1" applyBorder="1"/>
    <xf numFmtId="0" fontId="49" fillId="0" borderId="0" xfId="162" quotePrefix="1" applyFont="1" applyFill="1" applyBorder="1"/>
    <xf numFmtId="0" fontId="49" fillId="26" borderId="0" xfId="162" applyFont="1" applyFill="1"/>
    <xf numFmtId="0" fontId="53" fillId="0" borderId="0" xfId="162" applyFont="1" applyFill="1" applyBorder="1"/>
    <xf numFmtId="0" fontId="53" fillId="0" borderId="0" xfId="162" applyFont="1"/>
    <xf numFmtId="0" fontId="50" fillId="0" borderId="0" xfId="162" quotePrefix="1" applyFont="1"/>
    <xf numFmtId="0" fontId="49" fillId="31" borderId="0" xfId="162" applyFont="1" applyFill="1"/>
    <xf numFmtId="0" fontId="49" fillId="30" borderId="0" xfId="162" applyFont="1" applyFill="1"/>
    <xf numFmtId="0" fontId="11" fillId="5" borderId="0" xfId="161" applyFont="1" applyFill="1" applyAlignment="1">
      <alignment horizontal="left"/>
    </xf>
    <xf numFmtId="0" fontId="54" fillId="0" borderId="0" xfId="163" applyAlignment="1">
      <alignment horizontal="center" vertical="center"/>
    </xf>
    <xf numFmtId="0" fontId="54" fillId="0" borderId="0" xfId="163" applyAlignment="1">
      <alignment horizontal="left" vertical="center"/>
    </xf>
    <xf numFmtId="0" fontId="16" fillId="8" borderId="0" xfId="161" applyFont="1" applyFill="1" applyAlignment="1">
      <alignment vertical="center"/>
    </xf>
    <xf numFmtId="0" fontId="52" fillId="4" borderId="0" xfId="161" applyFont="1" applyFill="1" applyAlignment="1">
      <alignment vertical="center"/>
    </xf>
    <xf numFmtId="0" fontId="52" fillId="4" borderId="0" xfId="161" applyFont="1" applyFill="1" applyAlignment="1">
      <alignment horizontal="right" vertical="center"/>
    </xf>
    <xf numFmtId="9" fontId="37" fillId="3" borderId="24" xfId="112" applyNumberFormat="1" applyFont="1" applyFill="1" applyBorder="1" applyAlignment="1">
      <alignment horizontal="center"/>
    </xf>
    <xf numFmtId="0" fontId="55" fillId="9" borderId="0" xfId="0" applyFont="1" applyFill="1" applyAlignment="1">
      <alignment vertical="center"/>
    </xf>
    <xf numFmtId="0" fontId="0" fillId="3" borderId="0" xfId="0" applyFont="1" applyFill="1" applyAlignment="1">
      <alignment vertical="center"/>
    </xf>
    <xf numFmtId="0" fontId="57" fillId="32" borderId="0" xfId="0" applyFont="1" applyFill="1" applyAlignment="1">
      <alignment vertical="center"/>
    </xf>
    <xf numFmtId="0" fontId="57" fillId="32" borderId="0" xfId="0" applyFont="1" applyFill="1" applyAlignment="1">
      <alignment horizontal="right" vertical="center"/>
    </xf>
    <xf numFmtId="0" fontId="0" fillId="18" borderId="32" xfId="0" applyFont="1" applyFill="1" applyBorder="1" applyAlignment="1">
      <alignment vertical="center"/>
    </xf>
    <xf numFmtId="0" fontId="0" fillId="18" borderId="0" xfId="0" applyFont="1" applyFill="1" applyAlignment="1">
      <alignment vertical="center"/>
    </xf>
    <xf numFmtId="0" fontId="49" fillId="18" borderId="32" xfId="0" applyFont="1" applyFill="1" applyBorder="1" applyAlignment="1">
      <alignment vertical="center"/>
    </xf>
    <xf numFmtId="0" fontId="49" fillId="18" borderId="0" xfId="0" applyFont="1" applyFill="1" applyAlignment="1">
      <alignment vertical="center"/>
    </xf>
    <xf numFmtId="0" fontId="53" fillId="18" borderId="0" xfId="0" applyFont="1" applyFill="1" applyAlignment="1">
      <alignment vertical="center"/>
    </xf>
    <xf numFmtId="9" fontId="37" fillId="18" borderId="0" xfId="0" applyNumberFormat="1" applyFont="1" applyFill="1" applyAlignment="1">
      <alignment vertical="center"/>
    </xf>
    <xf numFmtId="0" fontId="59" fillId="18" borderId="0" xfId="0" applyFont="1" applyFill="1" applyAlignment="1">
      <alignment vertical="center"/>
    </xf>
    <xf numFmtId="0" fontId="58" fillId="18" borderId="0" xfId="0" applyFont="1" applyFill="1" applyBorder="1" applyAlignment="1">
      <alignment vertical="center"/>
    </xf>
    <xf numFmtId="0" fontId="49" fillId="18" borderId="0" xfId="0" applyFont="1" applyFill="1" applyBorder="1" applyAlignment="1">
      <alignment vertical="center"/>
    </xf>
    <xf numFmtId="0" fontId="0" fillId="18" borderId="0" xfId="0" applyFont="1" applyFill="1" applyBorder="1" applyAlignment="1">
      <alignment vertical="center"/>
    </xf>
    <xf numFmtId="0" fontId="60" fillId="18" borderId="32" xfId="0" applyFont="1" applyFill="1" applyBorder="1" applyAlignment="1">
      <alignment vertical="center"/>
    </xf>
    <xf numFmtId="0" fontId="38" fillId="18" borderId="0" xfId="0" applyFont="1" applyFill="1" applyAlignment="1">
      <alignment vertical="center"/>
    </xf>
    <xf numFmtId="0" fontId="58" fillId="18" borderId="0" xfId="0" applyFont="1" applyFill="1" applyBorder="1" applyAlignment="1">
      <alignment horizontal="right" vertical="center"/>
    </xf>
    <xf numFmtId="0" fontId="37" fillId="18" borderId="0" xfId="0" applyFont="1" applyFill="1" applyBorder="1" applyAlignment="1">
      <alignment vertical="center"/>
    </xf>
    <xf numFmtId="0" fontId="0" fillId="32" borderId="0" xfId="0" applyFill="1" applyAlignment="1">
      <alignment horizontal="center" vertical="center"/>
    </xf>
    <xf numFmtId="0" fontId="16" fillId="0" borderId="0" xfId="0" applyFont="1" applyAlignment="1">
      <alignment horizontal="center" vertical="center"/>
    </xf>
    <xf numFmtId="3" fontId="61" fillId="0" borderId="0" xfId="0" applyNumberFormat="1" applyFont="1" applyAlignment="1">
      <alignment horizontal="center" vertical="center"/>
    </xf>
    <xf numFmtId="3" fontId="16" fillId="0" borderId="0" xfId="0" applyNumberFormat="1" applyFont="1" applyAlignment="1">
      <alignment horizontal="center" vertical="center"/>
    </xf>
    <xf numFmtId="179" fontId="0" fillId="0" borderId="0" xfId="140" applyNumberFormat="1" applyFont="1" applyAlignment="1">
      <alignment horizontal="center" vertical="center"/>
    </xf>
    <xf numFmtId="3" fontId="61" fillId="33" borderId="0" xfId="0" applyNumberFormat="1" applyFont="1" applyFill="1" applyAlignment="1">
      <alignment horizontal="center" vertical="center"/>
    </xf>
    <xf numFmtId="182" fontId="37" fillId="18" borderId="0" xfId="0" applyNumberFormat="1" applyFont="1" applyFill="1" applyAlignment="1">
      <alignment vertical="center"/>
    </xf>
    <xf numFmtId="0" fontId="38" fillId="18" borderId="0" xfId="0" applyFont="1" applyFill="1"/>
    <xf numFmtId="0" fontId="37" fillId="18" borderId="0" xfId="0" applyFont="1" applyFill="1" applyAlignment="1">
      <alignment horizontal="right" vertical="center"/>
    </xf>
    <xf numFmtId="179" fontId="37" fillId="18" borderId="0" xfId="140" applyNumberFormat="1" applyFont="1" applyFill="1" applyAlignment="1">
      <alignment vertical="center"/>
    </xf>
    <xf numFmtId="0" fontId="38" fillId="18" borderId="0" xfId="0" applyFont="1" applyFill="1" applyAlignment="1">
      <alignment horizontal="right" vertical="center"/>
    </xf>
    <xf numFmtId="0" fontId="38" fillId="18" borderId="0" xfId="0" applyFont="1" applyFill="1" applyAlignment="1">
      <alignment horizontal="left" vertical="center"/>
    </xf>
    <xf numFmtId="9" fontId="0" fillId="6" borderId="0" xfId="0" applyNumberFormat="1" applyFill="1" applyAlignment="1">
      <alignment horizontal="center"/>
    </xf>
    <xf numFmtId="1" fontId="0" fillId="0" borderId="0" xfId="140" applyNumberFormat="1" applyFont="1" applyAlignment="1">
      <alignment horizontal="center" vertical="center"/>
    </xf>
    <xf numFmtId="0" fontId="11" fillId="3" borderId="0" xfId="0" applyFont="1" applyFill="1" applyAlignment="1">
      <alignment horizontal="right" vertical="center"/>
    </xf>
    <xf numFmtId="9" fontId="0" fillId="0" borderId="0" xfId="140" applyFont="1" applyAlignment="1">
      <alignment horizontal="center"/>
    </xf>
    <xf numFmtId="0" fontId="0" fillId="35" borderId="0" xfId="0" applyFill="1" applyAlignment="1">
      <alignment vertical="center"/>
    </xf>
    <xf numFmtId="0" fontId="16" fillId="0" borderId="0" xfId="0" applyFont="1" applyAlignment="1">
      <alignment vertical="center"/>
    </xf>
    <xf numFmtId="179" fontId="0" fillId="0" borderId="0" xfId="140" applyNumberFormat="1" applyFont="1" applyAlignment="1">
      <alignment vertical="center"/>
    </xf>
    <xf numFmtId="0" fontId="49" fillId="18" borderId="0" xfId="0" applyFont="1" applyFill="1" applyAlignment="1">
      <alignment horizontal="center" vertical="center"/>
    </xf>
    <xf numFmtId="0" fontId="0" fillId="32" borderId="0" xfId="0" applyFill="1" applyAlignment="1">
      <alignment horizontal="left" vertical="center"/>
    </xf>
    <xf numFmtId="0" fontId="16" fillId="32" borderId="0" xfId="0" applyFont="1" applyFill="1" applyAlignment="1">
      <alignment horizontal="left" vertical="center"/>
    </xf>
    <xf numFmtId="0" fontId="0" fillId="0" borderId="0" xfId="0" applyFill="1" applyAlignment="1">
      <alignment horizontal="left" vertical="center"/>
    </xf>
    <xf numFmtId="0" fontId="16" fillId="0" borderId="0" xfId="0" applyFont="1" applyFill="1" applyAlignment="1">
      <alignment horizontal="left" vertical="center"/>
    </xf>
    <xf numFmtId="9" fontId="0" fillId="0" borderId="0" xfId="0" applyNumberFormat="1" applyAlignment="1">
      <alignment horizontal="center" vertical="center"/>
    </xf>
    <xf numFmtId="9" fontId="0" fillId="0" borderId="0" xfId="0" applyNumberFormat="1" applyAlignment="1">
      <alignment horizontal="left" vertical="center"/>
    </xf>
    <xf numFmtId="9" fontId="0" fillId="6" borderId="0" xfId="0" applyNumberFormat="1" applyFill="1" applyAlignment="1">
      <alignment horizontal="center" vertical="center"/>
    </xf>
    <xf numFmtId="0" fontId="62" fillId="18" borderId="0" xfId="0" applyFont="1" applyFill="1" applyAlignment="1">
      <alignment horizontal="center" vertical="center"/>
    </xf>
    <xf numFmtId="0" fontId="49" fillId="18" borderId="0" xfId="0" quotePrefix="1" applyFont="1" applyFill="1" applyAlignment="1" applyProtection="1">
      <alignment horizontal="left" vertical="center"/>
    </xf>
    <xf numFmtId="0" fontId="64" fillId="18" borderId="0" xfId="0" applyFont="1" applyFill="1" applyAlignment="1">
      <alignment vertical="center"/>
    </xf>
    <xf numFmtId="9" fontId="49" fillId="18" borderId="0" xfId="0" applyNumberFormat="1" applyFont="1" applyFill="1" applyAlignment="1">
      <alignment vertical="center"/>
    </xf>
    <xf numFmtId="0" fontId="0" fillId="33" borderId="0" xfId="0" applyFill="1" applyAlignment="1">
      <alignment horizontal="left" vertical="center"/>
    </xf>
    <xf numFmtId="0" fontId="16" fillId="33" borderId="0" xfId="0" applyFont="1" applyFill="1" applyAlignment="1">
      <alignment horizontal="left" vertical="center"/>
    </xf>
    <xf numFmtId="9" fontId="0" fillId="0" borderId="0" xfId="140" applyFont="1" applyAlignment="1">
      <alignment vertical="center"/>
    </xf>
    <xf numFmtId="0" fontId="52" fillId="4" borderId="0" xfId="0" applyFont="1" applyFill="1"/>
    <xf numFmtId="0" fontId="52" fillId="4" borderId="0" xfId="0" applyFont="1" applyFill="1" applyAlignment="1">
      <alignment horizontal="right" vertical="center"/>
    </xf>
    <xf numFmtId="0" fontId="52" fillId="4" borderId="0" xfId="0" applyFont="1" applyFill="1" applyAlignment="1">
      <alignment vertical="center"/>
    </xf>
    <xf numFmtId="0" fontId="42" fillId="0" borderId="0" xfId="164" applyFont="1"/>
    <xf numFmtId="0" fontId="42" fillId="0" borderId="0" xfId="164" applyFont="1" applyFill="1" applyBorder="1"/>
    <xf numFmtId="0" fontId="65" fillId="0" borderId="0" xfId="163" applyFont="1"/>
    <xf numFmtId="0" fontId="65" fillId="0" borderId="0" xfId="163" applyFont="1" applyFill="1" applyBorder="1"/>
    <xf numFmtId="0" fontId="11" fillId="5" borderId="0" xfId="0" applyFont="1" applyFill="1" applyAlignment="1">
      <alignment horizontal="left"/>
    </xf>
    <xf numFmtId="0" fontId="42" fillId="0" borderId="0" xfId="0" applyFont="1"/>
    <xf numFmtId="0" fontId="42" fillId="30" borderId="0" xfId="0" applyFont="1" applyFill="1"/>
    <xf numFmtId="0" fontId="47" fillId="0" borderId="0" xfId="0" quotePrefix="1" applyFont="1"/>
    <xf numFmtId="0" fontId="66" fillId="0" borderId="0" xfId="0" applyFont="1"/>
    <xf numFmtId="0" fontId="49" fillId="38" borderId="0" xfId="0" applyFont="1" applyFill="1"/>
    <xf numFmtId="0" fontId="42" fillId="6" borderId="0" xfId="0" applyFont="1" applyFill="1"/>
    <xf numFmtId="0" fontId="42" fillId="26" borderId="0" xfId="0" applyFont="1" applyFill="1"/>
    <xf numFmtId="0" fontId="67" fillId="0" borderId="0" xfId="0" applyFont="1"/>
    <xf numFmtId="0" fontId="42" fillId="0" borderId="0" xfId="0" applyFont="1" applyAlignment="1">
      <alignment horizontal="center"/>
    </xf>
    <xf numFmtId="0" fontId="52" fillId="5" borderId="0" xfId="0" applyFont="1" applyFill="1" applyAlignment="1">
      <alignment horizontal="left" vertical="center"/>
    </xf>
    <xf numFmtId="0" fontId="49" fillId="0" borderId="0" xfId="0" applyFont="1"/>
    <xf numFmtId="0" fontId="0" fillId="0" borderId="0" xfId="0" applyFont="1"/>
    <xf numFmtId="0" fontId="0" fillId="0" borderId="0" xfId="0" applyFont="1" applyFill="1" applyBorder="1"/>
    <xf numFmtId="0" fontId="49" fillId="0" borderId="0" xfId="0" applyFont="1" applyProtection="1">
      <protection locked="0"/>
    </xf>
    <xf numFmtId="0" fontId="0" fillId="0" borderId="0" xfId="0" applyFont="1" applyProtection="1">
      <protection locked="0"/>
    </xf>
    <xf numFmtId="0" fontId="0" fillId="38" borderId="0" xfId="0" applyFont="1" applyFill="1"/>
    <xf numFmtId="0" fontId="68" fillId="0" borderId="0" xfId="0" applyFont="1" applyProtection="1">
      <protection locked="0"/>
    </xf>
    <xf numFmtId="183" fontId="0" fillId="6" borderId="0" xfId="0" applyNumberFormat="1" applyFont="1" applyFill="1"/>
    <xf numFmtId="0" fontId="66" fillId="16" borderId="1" xfId="0" applyFont="1" applyFill="1" applyBorder="1" applyAlignment="1">
      <alignment horizontal="center"/>
    </xf>
    <xf numFmtId="0" fontId="0" fillId="0" borderId="1" xfId="0" applyFont="1" applyBorder="1" applyAlignment="1">
      <alignment horizontal="center"/>
    </xf>
    <xf numFmtId="0" fontId="69" fillId="0" borderId="0" xfId="0" applyFont="1"/>
    <xf numFmtId="0" fontId="70" fillId="0" borderId="0" xfId="0" applyFont="1"/>
    <xf numFmtId="0" fontId="70" fillId="0" borderId="0" xfId="0" applyFont="1" applyProtection="1">
      <protection locked="0"/>
    </xf>
    <xf numFmtId="0" fontId="49" fillId="0" borderId="0" xfId="0" applyFont="1" applyFill="1" applyProtection="1">
      <protection locked="0"/>
    </xf>
    <xf numFmtId="0" fontId="0" fillId="0" borderId="16" xfId="0" applyFont="1" applyFill="1" applyBorder="1" applyAlignment="1" applyProtection="1">
      <alignment horizontal="center"/>
      <protection locked="0"/>
    </xf>
    <xf numFmtId="0" fontId="0" fillId="0" borderId="34" xfId="0" applyFont="1" applyFill="1" applyBorder="1" applyAlignment="1" applyProtection="1">
      <alignment wrapText="1"/>
      <protection locked="0"/>
    </xf>
    <xf numFmtId="0" fontId="0" fillId="0" borderId="35" xfId="0" applyFont="1" applyFill="1" applyBorder="1" applyAlignment="1" applyProtection="1">
      <alignment wrapText="1"/>
      <protection locked="0"/>
    </xf>
    <xf numFmtId="0" fontId="49" fillId="0" borderId="0" xfId="0" applyFont="1" applyFill="1" applyBorder="1" applyAlignment="1" applyProtection="1">
      <alignment wrapText="1"/>
      <protection locked="0"/>
    </xf>
    <xf numFmtId="0" fontId="49" fillId="0" borderId="0" xfId="0" applyFont="1" applyFill="1"/>
    <xf numFmtId="0" fontId="0" fillId="28" borderId="8" xfId="0" applyFont="1" applyFill="1" applyBorder="1" applyAlignment="1" applyProtection="1">
      <alignment horizontal="center" vertical="top"/>
      <protection locked="0"/>
    </xf>
    <xf numFmtId="0" fontId="0" fillId="30" borderId="0" xfId="0" applyFont="1" applyFill="1" applyBorder="1" applyAlignment="1" applyProtection="1">
      <alignment vertical="top" wrapText="1"/>
      <protection locked="0"/>
    </xf>
    <xf numFmtId="0" fontId="47" fillId="30" borderId="0" xfId="0" applyNumberFormat="1" applyFont="1" applyFill="1" applyBorder="1" applyAlignment="1" applyProtection="1">
      <alignment vertical="top" wrapText="1"/>
      <protection locked="0"/>
    </xf>
    <xf numFmtId="0" fontId="47" fillId="30" borderId="0" xfId="0" applyFont="1" applyFill="1" applyBorder="1" applyAlignment="1" applyProtection="1">
      <alignment vertical="top" wrapText="1"/>
      <protection locked="0"/>
    </xf>
    <xf numFmtId="0" fontId="0" fillId="30" borderId="0" xfId="0" applyNumberFormat="1" applyFont="1" applyFill="1" applyBorder="1" applyAlignment="1" applyProtection="1">
      <alignment vertical="top" wrapText="1"/>
      <protection locked="0"/>
    </xf>
    <xf numFmtId="183" fontId="47" fillId="30" borderId="0" xfId="0" applyNumberFormat="1" applyFont="1" applyFill="1" applyBorder="1" applyAlignment="1" applyProtection="1">
      <alignment vertical="top" wrapText="1"/>
      <protection locked="0"/>
    </xf>
    <xf numFmtId="0" fontId="0" fillId="30" borderId="9" xfId="0" applyFont="1" applyFill="1" applyBorder="1" applyAlignment="1" applyProtection="1">
      <alignment horizontal="center" vertical="top"/>
      <protection locked="0"/>
    </xf>
    <xf numFmtId="21" fontId="49" fillId="0" borderId="0" xfId="0" applyNumberFormat="1" applyFont="1" applyBorder="1" applyAlignment="1" applyProtection="1">
      <alignment horizontal="center" vertical="top"/>
      <protection locked="0"/>
    </xf>
    <xf numFmtId="183" fontId="0" fillId="30" borderId="0" xfId="0" applyNumberFormat="1" applyFont="1" applyFill="1" applyBorder="1" applyAlignment="1" applyProtection="1">
      <alignment vertical="top" wrapText="1"/>
      <protection locked="0"/>
    </xf>
    <xf numFmtId="0" fontId="0" fillId="28" borderId="10" xfId="0" applyFont="1" applyFill="1" applyBorder="1" applyAlignment="1" applyProtection="1">
      <alignment horizontal="center"/>
      <protection locked="0"/>
    </xf>
    <xf numFmtId="0" fontId="0" fillId="30" borderId="11" xfId="0" applyFont="1" applyFill="1" applyBorder="1" applyProtection="1">
      <protection locked="0"/>
    </xf>
    <xf numFmtId="183" fontId="0" fillId="30" borderId="11" xfId="0" applyNumberFormat="1" applyFont="1" applyFill="1" applyBorder="1" applyProtection="1">
      <protection locked="0"/>
    </xf>
    <xf numFmtId="0" fontId="0" fillId="30" borderId="12" xfId="0" applyFont="1" applyFill="1" applyBorder="1" applyAlignment="1" applyProtection="1">
      <alignment horizontal="center"/>
      <protection locked="0"/>
    </xf>
    <xf numFmtId="21" fontId="49" fillId="0" borderId="0" xfId="0" applyNumberFormat="1" applyFont="1" applyBorder="1" applyAlignment="1" applyProtection="1">
      <alignment horizontal="center"/>
      <protection locked="0"/>
    </xf>
    <xf numFmtId="0" fontId="0" fillId="0" borderId="16" xfId="0" applyFont="1" applyBorder="1" applyAlignment="1" applyProtection="1">
      <alignment horizontal="center"/>
      <protection locked="0"/>
    </xf>
    <xf numFmtId="0" fontId="0" fillId="0" borderId="34" xfId="0" applyFont="1" applyBorder="1" applyAlignment="1" applyProtection="1">
      <alignment wrapText="1"/>
      <protection locked="0"/>
    </xf>
    <xf numFmtId="0" fontId="0" fillId="0" borderId="35" xfId="0" applyFont="1" applyBorder="1" applyAlignment="1" applyProtection="1">
      <alignment wrapText="1"/>
      <protection locked="0"/>
    </xf>
    <xf numFmtId="0" fontId="49" fillId="0" borderId="0" xfId="0" applyFont="1" applyBorder="1" applyAlignment="1" applyProtection="1">
      <alignment wrapText="1"/>
      <protection locked="0"/>
    </xf>
    <xf numFmtId="0" fontId="0" fillId="28" borderId="16" xfId="0" applyFont="1" applyFill="1" applyBorder="1" applyProtection="1">
      <protection locked="0"/>
    </xf>
    <xf numFmtId="0" fontId="0" fillId="28" borderId="34" xfId="0" applyFont="1" applyFill="1" applyBorder="1" applyProtection="1">
      <protection locked="0"/>
    </xf>
    <xf numFmtId="183" fontId="0" fillId="28" borderId="34" xfId="0" applyNumberFormat="1" applyFont="1" applyFill="1" applyBorder="1" applyProtection="1">
      <protection locked="0"/>
    </xf>
    <xf numFmtId="0" fontId="0" fillId="28" borderId="35" xfId="0" applyFont="1" applyFill="1" applyBorder="1" applyProtection="1">
      <protection locked="0"/>
    </xf>
    <xf numFmtId="0" fontId="49" fillId="0" borderId="0" xfId="0" applyFont="1" applyBorder="1" applyAlignment="1" applyProtection="1">
      <alignment horizontal="center"/>
      <protection locked="0"/>
    </xf>
    <xf numFmtId="0" fontId="49" fillId="0" borderId="0" xfId="0" applyNumberFormat="1" applyFont="1" applyProtection="1">
      <protection locked="0"/>
    </xf>
    <xf numFmtId="0" fontId="68" fillId="0" borderId="0" xfId="0" applyFont="1"/>
    <xf numFmtId="0" fontId="16" fillId="0" borderId="0" xfId="165" applyFont="1" applyAlignment="1">
      <alignment horizontal="center"/>
    </xf>
    <xf numFmtId="0" fontId="42" fillId="26" borderId="0" xfId="0" applyFont="1" applyFill="1" applyAlignment="1">
      <alignment horizontal="center"/>
    </xf>
    <xf numFmtId="0" fontId="42" fillId="6" borderId="0" xfId="0" applyFont="1" applyFill="1" applyAlignment="1">
      <alignment horizontal="center"/>
    </xf>
    <xf numFmtId="0" fontId="42" fillId="6" borderId="0" xfId="0" applyFont="1" applyFill="1" applyAlignment="1">
      <alignment horizontal="right"/>
    </xf>
    <xf numFmtId="0" fontId="42" fillId="6" borderId="21" xfId="0" applyFont="1" applyFill="1" applyBorder="1" applyAlignment="1">
      <alignment horizontal="center"/>
    </xf>
    <xf numFmtId="0" fontId="42" fillId="6" borderId="22" xfId="0" applyFont="1" applyFill="1" applyBorder="1" applyAlignment="1">
      <alignment horizontal="center"/>
    </xf>
    <xf numFmtId="0" fontId="42" fillId="6" borderId="23" xfId="0" applyFont="1" applyFill="1" applyBorder="1" applyAlignment="1">
      <alignment horizontal="center"/>
    </xf>
    <xf numFmtId="0" fontId="42" fillId="6" borderId="25" xfId="0" applyFont="1" applyFill="1" applyBorder="1" applyAlignment="1">
      <alignment horizontal="center"/>
    </xf>
    <xf numFmtId="0" fontId="42" fillId="6" borderId="0" xfId="0" applyFont="1" applyFill="1" applyBorder="1" applyAlignment="1">
      <alignment horizontal="center"/>
    </xf>
    <xf numFmtId="0" fontId="42" fillId="6" borderId="26" xfId="0" applyFont="1" applyFill="1" applyBorder="1" applyAlignment="1">
      <alignment horizontal="center"/>
    </xf>
    <xf numFmtId="0" fontId="42" fillId="6" borderId="28" xfId="0" applyFont="1" applyFill="1" applyBorder="1" applyAlignment="1">
      <alignment horizontal="center"/>
    </xf>
    <xf numFmtId="0" fontId="42" fillId="6" borderId="20" xfId="0" applyFont="1" applyFill="1" applyBorder="1" applyAlignment="1">
      <alignment horizontal="center"/>
    </xf>
    <xf numFmtId="0" fontId="42" fillId="6" borderId="29" xfId="0" applyFont="1" applyFill="1" applyBorder="1" applyAlignment="1">
      <alignment horizontal="center"/>
    </xf>
    <xf numFmtId="0" fontId="42" fillId="0" borderId="0" xfId="165" applyFont="1" applyAlignment="1">
      <alignment horizontal="right"/>
    </xf>
    <xf numFmtId="0" fontId="42" fillId="0" borderId="0" xfId="165" applyFont="1" applyAlignment="1">
      <alignment horizontal="center"/>
    </xf>
    <xf numFmtId="0" fontId="42" fillId="0" borderId="0" xfId="165" applyFont="1" applyAlignment="1">
      <alignment horizontal="left"/>
    </xf>
    <xf numFmtId="0" fontId="42" fillId="0" borderId="0" xfId="165" applyFont="1"/>
    <xf numFmtId="0" fontId="42" fillId="6" borderId="0" xfId="165" applyFont="1" applyFill="1" applyBorder="1" applyAlignment="1">
      <alignment horizontal="center"/>
    </xf>
    <xf numFmtId="0" fontId="72" fillId="9" borderId="0" xfId="0" applyFont="1" applyFill="1" applyAlignment="1">
      <alignment vertical="center"/>
    </xf>
    <xf numFmtId="0" fontId="73" fillId="9" borderId="0" xfId="0" applyFont="1" applyFill="1" applyAlignment="1">
      <alignment vertical="center" wrapText="1"/>
    </xf>
    <xf numFmtId="0" fontId="0" fillId="3" borderId="0" xfId="0" applyFill="1" applyBorder="1" applyAlignment="1">
      <alignment horizontal="center" vertical="center"/>
    </xf>
    <xf numFmtId="0" fontId="13" fillId="3" borderId="36" xfId="0" applyFont="1" applyFill="1" applyBorder="1" applyAlignment="1" applyProtection="1">
      <alignment horizontal="center" vertical="center"/>
      <protection locked="0"/>
    </xf>
    <xf numFmtId="0" fontId="74" fillId="9" borderId="0" xfId="0" applyFont="1" applyFill="1" applyAlignment="1">
      <alignment horizontal="center" vertical="center"/>
    </xf>
    <xf numFmtId="0" fontId="71" fillId="4" borderId="0" xfId="0" applyFont="1" applyFill="1"/>
    <xf numFmtId="0" fontId="71" fillId="4" borderId="0" xfId="0" applyFont="1" applyFill="1" applyAlignment="1">
      <alignment horizontal="center" vertical="center"/>
    </xf>
    <xf numFmtId="0" fontId="49" fillId="8" borderId="0" xfId="0" applyFont="1" applyFill="1"/>
    <xf numFmtId="0" fontId="63" fillId="8" borderId="0" xfId="0" applyFont="1" applyFill="1"/>
    <xf numFmtId="0" fontId="49" fillId="0" borderId="0" xfId="0" applyFont="1" applyFill="1" applyBorder="1"/>
    <xf numFmtId="0" fontId="49" fillId="30" borderId="0" xfId="0" applyFont="1" applyFill="1"/>
    <xf numFmtId="0" fontId="50" fillId="0" borderId="0" xfId="0" quotePrefix="1" applyFont="1"/>
    <xf numFmtId="0" fontId="50" fillId="0" borderId="0" xfId="0" quotePrefix="1" applyFont="1" applyFill="1" applyBorder="1"/>
    <xf numFmtId="0" fontId="49" fillId="6" borderId="0" xfId="0" applyFont="1" applyFill="1"/>
    <xf numFmtId="0" fontId="53" fillId="38" borderId="0" xfId="0" applyFont="1" applyFill="1" applyAlignment="1">
      <alignment horizontal="center"/>
    </xf>
    <xf numFmtId="0" fontId="51" fillId="0" borderId="0" xfId="0" applyFont="1" applyFill="1" applyBorder="1"/>
    <xf numFmtId="0" fontId="49" fillId="0" borderId="0" xfId="0" applyFont="1" applyAlignment="1">
      <alignment vertical="center"/>
    </xf>
    <xf numFmtId="0" fontId="53" fillId="0" borderId="0" xfId="0" applyFont="1" applyAlignment="1">
      <alignment horizontal="right" vertical="center"/>
    </xf>
    <xf numFmtId="0" fontId="49" fillId="0" borderId="0" xfId="0" applyFont="1" applyAlignment="1">
      <alignment horizontal="center" vertical="center"/>
    </xf>
    <xf numFmtId="0" fontId="49" fillId="6" borderId="0" xfId="0" applyFont="1" applyFill="1" applyAlignment="1">
      <alignment horizontal="center"/>
    </xf>
    <xf numFmtId="0" fontId="49" fillId="30" borderId="2" xfId="0" applyFont="1" applyFill="1" applyBorder="1"/>
    <xf numFmtId="0" fontId="50" fillId="6" borderId="7" xfId="0" applyFont="1" applyFill="1" applyBorder="1"/>
    <xf numFmtId="0" fontId="49" fillId="30" borderId="3" xfId="0" applyFont="1" applyFill="1" applyBorder="1"/>
    <xf numFmtId="0" fontId="50" fillId="6" borderId="9" xfId="0" applyFont="1" applyFill="1" applyBorder="1"/>
    <xf numFmtId="0" fontId="49" fillId="30" borderId="4" xfId="0" applyFont="1" applyFill="1" applyBorder="1"/>
    <xf numFmtId="0" fontId="50" fillId="6" borderId="12" xfId="0" applyFont="1" applyFill="1" applyBorder="1"/>
    <xf numFmtId="0" fontId="71" fillId="4" borderId="0" xfId="0" applyFont="1" applyFill="1" applyAlignment="1">
      <alignment vertical="center"/>
    </xf>
    <xf numFmtId="0" fontId="28" fillId="4" borderId="0" xfId="0" applyFont="1" applyFill="1" applyAlignment="1"/>
    <xf numFmtId="0" fontId="49" fillId="26" borderId="0" xfId="0" applyFont="1" applyFill="1"/>
    <xf numFmtId="0" fontId="76" fillId="0" borderId="0" xfId="0" applyFont="1" applyAlignment="1">
      <alignment horizontal="right"/>
    </xf>
    <xf numFmtId="0" fontId="49" fillId="30" borderId="0" xfId="0" applyFont="1" applyFill="1" applyAlignment="1">
      <alignment vertical="center"/>
    </xf>
    <xf numFmtId="0" fontId="50" fillId="6" borderId="2" xfId="0" applyFont="1" applyFill="1" applyBorder="1"/>
    <xf numFmtId="0" fontId="49" fillId="0" borderId="0" xfId="0" applyFont="1" applyAlignment="1"/>
    <xf numFmtId="0" fontId="49" fillId="6" borderId="0" xfId="0" applyFont="1" applyFill="1" applyAlignment="1"/>
    <xf numFmtId="0" fontId="50" fillId="6" borderId="3" xfId="0" applyFont="1" applyFill="1" applyBorder="1"/>
    <xf numFmtId="41" fontId="49" fillId="6" borderId="0" xfId="167" applyFont="1" applyFill="1" applyAlignment="1"/>
    <xf numFmtId="0" fontId="50" fillId="6" borderId="4" xfId="0" applyFont="1" applyFill="1" applyBorder="1"/>
    <xf numFmtId="0" fontId="76" fillId="6" borderId="16" xfId="0" applyFont="1" applyFill="1" applyBorder="1" applyAlignment="1">
      <alignment horizontal="left"/>
    </xf>
    <xf numFmtId="0" fontId="76" fillId="6" borderId="35" xfId="0" applyFont="1" applyFill="1" applyBorder="1" applyAlignment="1">
      <alignment horizontal="center"/>
    </xf>
    <xf numFmtId="4" fontId="49" fillId="6" borderId="0" xfId="0" applyNumberFormat="1" applyFont="1" applyFill="1" applyAlignment="1"/>
    <xf numFmtId="4" fontId="49" fillId="6" borderId="0" xfId="167" applyNumberFormat="1" applyFont="1" applyFill="1" applyAlignment="1"/>
    <xf numFmtId="43" fontId="49" fillId="0" borderId="0" xfId="166" applyFont="1" applyAlignment="1"/>
    <xf numFmtId="0" fontId="49" fillId="0" borderId="0" xfId="0" applyFont="1" applyBorder="1" applyAlignment="1">
      <alignment vertical="center"/>
    </xf>
    <xf numFmtId="3" fontId="0" fillId="0" borderId="0" xfId="0" applyNumberFormat="1" applyAlignment="1">
      <alignment vertical="center"/>
    </xf>
    <xf numFmtId="0" fontId="52" fillId="4" borderId="0" xfId="168" applyFont="1" applyFill="1" applyAlignment="1">
      <alignment vertical="center"/>
    </xf>
    <xf numFmtId="0" fontId="52" fillId="4" borderId="0" xfId="168" applyFont="1" applyFill="1" applyAlignment="1">
      <alignment horizontal="right" vertical="center"/>
    </xf>
    <xf numFmtId="0" fontId="52" fillId="4" borderId="0" xfId="169" applyFont="1" applyFill="1" applyAlignment="1">
      <alignment vertical="center"/>
    </xf>
    <xf numFmtId="0" fontId="16" fillId="8" borderId="0" xfId="168" applyFont="1" applyFill="1" applyAlignment="1">
      <alignment vertical="center"/>
    </xf>
    <xf numFmtId="0" fontId="49" fillId="0" borderId="0" xfId="168" applyFont="1"/>
    <xf numFmtId="0" fontId="54" fillId="0" borderId="0" xfId="163"/>
    <xf numFmtId="0" fontId="54" fillId="0" borderId="0" xfId="163" applyFill="1" applyBorder="1"/>
    <xf numFmtId="0" fontId="49" fillId="0" borderId="0" xfId="169" applyFont="1"/>
    <xf numFmtId="0" fontId="11" fillId="5" borderId="0" xfId="168" applyFont="1" applyFill="1"/>
    <xf numFmtId="0" fontId="11" fillId="5" borderId="0" xfId="168" applyFont="1" applyFill="1" applyAlignment="1">
      <alignment horizontal="left"/>
    </xf>
    <xf numFmtId="0" fontId="11" fillId="5" borderId="0" xfId="168" applyFont="1" applyFill="1" applyAlignment="1">
      <alignment horizontal="center"/>
    </xf>
    <xf numFmtId="0" fontId="11" fillId="5" borderId="0" xfId="169" applyFont="1" applyFill="1" applyAlignment="1">
      <alignment horizontal="center"/>
    </xf>
    <xf numFmtId="0" fontId="11" fillId="5" borderId="0" xfId="169" applyFont="1" applyFill="1"/>
    <xf numFmtId="0" fontId="49" fillId="30" borderId="0" xfId="168" applyFont="1" applyFill="1"/>
    <xf numFmtId="0" fontId="50" fillId="0" borderId="0" xfId="168" quotePrefix="1" applyFont="1"/>
    <xf numFmtId="0" fontId="50" fillId="0" borderId="0" xfId="168" quotePrefix="1" applyFont="1" applyFill="1" applyBorder="1"/>
    <xf numFmtId="0" fontId="49" fillId="26" borderId="0" xfId="168" applyFont="1" applyFill="1"/>
    <xf numFmtId="0" fontId="49" fillId="6" borderId="0" xfId="168" applyFont="1" applyFill="1"/>
    <xf numFmtId="0" fontId="52" fillId="5" borderId="0" xfId="168" applyFont="1" applyFill="1" applyAlignment="1">
      <alignment horizontal="left" vertical="center"/>
    </xf>
    <xf numFmtId="0" fontId="42" fillId="0" borderId="0" xfId="168" applyFont="1"/>
    <xf numFmtId="0" fontId="42" fillId="0" borderId="0" xfId="168" applyFont="1" applyFill="1" applyBorder="1"/>
    <xf numFmtId="0" fontId="42" fillId="0" borderId="0" xfId="169" applyFont="1"/>
    <xf numFmtId="0" fontId="53" fillId="0" borderId="25" xfId="168" applyFont="1" applyBorder="1" applyAlignment="1">
      <alignment horizontal="center"/>
    </xf>
    <xf numFmtId="0" fontId="53" fillId="0" borderId="0" xfId="168" applyFont="1" applyFill="1" applyBorder="1" applyAlignment="1">
      <alignment horizontal="center"/>
    </xf>
    <xf numFmtId="0" fontId="53" fillId="0" borderId="26" xfId="168" applyFont="1" applyBorder="1" applyAlignment="1">
      <alignment horizontal="center"/>
    </xf>
    <xf numFmtId="0" fontId="53" fillId="0" borderId="0" xfId="168" applyFont="1"/>
    <xf numFmtId="0" fontId="49" fillId="0" borderId="25" xfId="168" applyFont="1" applyBorder="1"/>
    <xf numFmtId="0" fontId="49" fillId="0" borderId="0" xfId="168" applyFont="1" applyFill="1" applyBorder="1"/>
    <xf numFmtId="0" fontId="49" fillId="0" borderId="26" xfId="168" applyFont="1" applyBorder="1"/>
    <xf numFmtId="0" fontId="49" fillId="0" borderId="25" xfId="168" applyFont="1" applyBorder="1" applyAlignment="1">
      <alignment horizontal="center"/>
    </xf>
    <xf numFmtId="0" fontId="51" fillId="0" borderId="0" xfId="168" applyFont="1"/>
    <xf numFmtId="0" fontId="49" fillId="0" borderId="0" xfId="168" applyFont="1" applyBorder="1"/>
    <xf numFmtId="0" fontId="49" fillId="9" borderId="0" xfId="168" applyFont="1" applyFill="1" applyBorder="1"/>
    <xf numFmtId="0" fontId="49" fillId="0" borderId="0" xfId="168" applyFont="1" applyAlignment="1">
      <alignment horizontal="left" indent="2"/>
    </xf>
    <xf numFmtId="0" fontId="53" fillId="30" borderId="0" xfId="168" applyFont="1" applyFill="1" applyAlignment="1">
      <alignment horizontal="center"/>
    </xf>
    <xf numFmtId="0" fontId="49" fillId="0" borderId="0" xfId="168" applyFont="1" applyBorder="1" applyProtection="1"/>
    <xf numFmtId="0" fontId="49" fillId="6" borderId="19" xfId="168" applyFont="1" applyFill="1" applyBorder="1" applyAlignment="1">
      <alignment horizontal="center" vertical="center"/>
    </xf>
    <xf numFmtId="0" fontId="49" fillId="30" borderId="2" xfId="168" applyFont="1" applyFill="1" applyBorder="1"/>
    <xf numFmtId="0" fontId="49" fillId="30" borderId="1" xfId="168" applyFont="1" applyFill="1" applyBorder="1"/>
    <xf numFmtId="0" fontId="49" fillId="0" borderId="3" xfId="168" applyFont="1" applyBorder="1"/>
    <xf numFmtId="0" fontId="49" fillId="6" borderId="4" xfId="168" applyFont="1" applyFill="1" applyBorder="1"/>
    <xf numFmtId="0" fontId="49" fillId="6" borderId="1" xfId="169" applyFont="1" applyFill="1" applyBorder="1" applyAlignment="1">
      <alignment horizontal="center"/>
    </xf>
    <xf numFmtId="0" fontId="49" fillId="0" borderId="37" xfId="168" applyFont="1" applyBorder="1"/>
    <xf numFmtId="0" fontId="49" fillId="30" borderId="3" xfId="168" applyNumberFormat="1" applyFont="1" applyFill="1" applyBorder="1" applyAlignment="1" applyProtection="1"/>
    <xf numFmtId="0" fontId="49" fillId="26" borderId="3" xfId="168" applyNumberFormat="1" applyFont="1" applyFill="1" applyBorder="1" applyAlignment="1" applyProtection="1"/>
    <xf numFmtId="0" fontId="49" fillId="30" borderId="3" xfId="168" applyFont="1" applyFill="1" applyBorder="1"/>
    <xf numFmtId="0" fontId="49" fillId="30" borderId="3" xfId="168" quotePrefix="1" applyFont="1" applyFill="1" applyBorder="1"/>
    <xf numFmtId="0" fontId="49" fillId="0" borderId="38" xfId="168" applyFont="1" applyBorder="1"/>
    <xf numFmtId="0" fontId="49" fillId="2" borderId="4" xfId="168" applyFont="1" applyFill="1" applyBorder="1"/>
    <xf numFmtId="0" fontId="49" fillId="6" borderId="1" xfId="169" applyFont="1" applyFill="1" applyBorder="1"/>
    <xf numFmtId="0" fontId="49" fillId="6" borderId="3" xfId="168" applyFont="1" applyFill="1" applyBorder="1"/>
    <xf numFmtId="3" fontId="16" fillId="0" borderId="0" xfId="0" applyNumberFormat="1" applyFont="1" applyAlignment="1">
      <alignment vertical="center"/>
    </xf>
    <xf numFmtId="0" fontId="0" fillId="0" borderId="0" xfId="0" applyFont="1" applyAlignment="1">
      <alignment vertical="center"/>
    </xf>
    <xf numFmtId="179" fontId="16" fillId="0" borderId="0" xfId="140" applyNumberFormat="1" applyFont="1" applyAlignment="1">
      <alignment vertical="center"/>
    </xf>
    <xf numFmtId="0" fontId="44" fillId="18" borderId="0" xfId="0" applyFont="1" applyFill="1" applyAlignment="1">
      <alignment vertical="center"/>
    </xf>
    <xf numFmtId="0" fontId="44" fillId="18" borderId="0" xfId="0" applyFont="1" applyFill="1" applyAlignment="1">
      <alignment horizontal="right" vertical="center"/>
    </xf>
    <xf numFmtId="0" fontId="44" fillId="18" borderId="0" xfId="0" applyFont="1" applyFill="1"/>
    <xf numFmtId="184" fontId="11" fillId="4" borderId="0" xfId="0" applyNumberFormat="1" applyFont="1" applyFill="1" applyBorder="1" applyAlignment="1">
      <alignment horizontal="center"/>
    </xf>
    <xf numFmtId="184" fontId="11" fillId="5" borderId="0" xfId="0" applyNumberFormat="1" applyFont="1" applyFill="1" applyBorder="1" applyAlignment="1">
      <alignment horizontal="center"/>
    </xf>
    <xf numFmtId="184" fontId="0" fillId="0" borderId="0" xfId="0" applyNumberFormat="1" applyBorder="1" applyAlignment="1">
      <alignment vertical="center"/>
    </xf>
    <xf numFmtId="184" fontId="0" fillId="0" borderId="0" xfId="0" applyNumberFormat="1" applyFont="1" applyBorder="1" applyAlignment="1">
      <alignment vertical="center"/>
    </xf>
    <xf numFmtId="184" fontId="0" fillId="0" borderId="0" xfId="0" applyNumberFormat="1" applyBorder="1" applyAlignment="1">
      <alignment horizontal="center"/>
    </xf>
    <xf numFmtId="184" fontId="16" fillId="0" borderId="0" xfId="0" applyNumberFormat="1" applyFont="1" applyBorder="1" applyAlignment="1">
      <alignment horizontal="center"/>
    </xf>
    <xf numFmtId="0" fontId="68" fillId="0" borderId="0" xfId="0" applyFont="1" applyAlignment="1">
      <alignment horizontal="right"/>
    </xf>
    <xf numFmtId="179" fontId="68" fillId="0" borderId="0" xfId="0" applyNumberFormat="1" applyFont="1" applyBorder="1" applyAlignment="1">
      <alignment horizontal="center"/>
    </xf>
    <xf numFmtId="0" fontId="68" fillId="0" borderId="0" xfId="0" applyFont="1" applyAlignment="1">
      <alignment vertical="center"/>
    </xf>
    <xf numFmtId="185" fontId="37" fillId="18" borderId="0" xfId="0" applyNumberFormat="1" applyFont="1" applyFill="1" applyAlignment="1">
      <alignment vertical="center"/>
    </xf>
    <xf numFmtId="179" fontId="0" fillId="0" borderId="0" xfId="0" applyNumberFormat="1" applyAlignment="1">
      <alignment vertical="center"/>
    </xf>
    <xf numFmtId="184" fontId="0" fillId="0" borderId="0" xfId="0" applyNumberFormat="1" applyAlignment="1">
      <alignment vertical="center"/>
    </xf>
    <xf numFmtId="184" fontId="16" fillId="0" borderId="0" xfId="0" applyNumberFormat="1" applyFont="1" applyAlignment="1">
      <alignment vertical="center"/>
    </xf>
    <xf numFmtId="1" fontId="0" fillId="0" borderId="0" xfId="0" applyNumberFormat="1" applyAlignment="1">
      <alignment horizontal="center" vertical="center"/>
    </xf>
    <xf numFmtId="0" fontId="16" fillId="39" borderId="0" xfId="0" applyFont="1" applyFill="1" applyAlignment="1">
      <alignment horizontal="center" vertical="center"/>
    </xf>
    <xf numFmtId="9" fontId="0" fillId="0" borderId="0" xfId="0" applyNumberFormat="1" applyFill="1" applyAlignment="1">
      <alignment horizontal="center"/>
    </xf>
    <xf numFmtId="0" fontId="0" fillId="0" borderId="0" xfId="0" applyFill="1" applyAlignment="1">
      <alignment horizontal="center"/>
    </xf>
    <xf numFmtId="0" fontId="38" fillId="18" borderId="0" xfId="0" applyFont="1" applyFill="1" applyAlignment="1">
      <alignment horizontal="center" vertical="center"/>
    </xf>
    <xf numFmtId="184" fontId="0" fillId="18" borderId="0" xfId="0" applyNumberFormat="1" applyFill="1" applyAlignment="1">
      <alignment horizontal="center" vertical="center"/>
    </xf>
    <xf numFmtId="184" fontId="0" fillId="0" borderId="0" xfId="0" applyNumberFormat="1" applyAlignment="1">
      <alignment horizontal="center"/>
    </xf>
    <xf numFmtId="9" fontId="16" fillId="0" borderId="0" xfId="0" applyNumberFormat="1" applyFont="1" applyAlignment="1">
      <alignment horizontal="center" vertical="center"/>
    </xf>
    <xf numFmtId="3" fontId="0" fillId="0" borderId="0" xfId="0" applyNumberFormat="1" applyAlignment="1">
      <alignment horizontal="left" vertical="center"/>
    </xf>
    <xf numFmtId="0" fontId="0" fillId="43" borderId="0" xfId="0" applyFill="1" applyAlignment="1">
      <alignment horizontal="center" vertical="center"/>
    </xf>
    <xf numFmtId="3" fontId="0" fillId="32" borderId="0" xfId="0" applyNumberFormat="1" applyFill="1" applyAlignment="1">
      <alignment horizontal="center" vertical="center"/>
    </xf>
    <xf numFmtId="184" fontId="0" fillId="0" borderId="0" xfId="170" applyNumberFormat="1" applyFont="1" applyAlignment="1">
      <alignment vertical="center"/>
    </xf>
    <xf numFmtId="9" fontId="63" fillId="3" borderId="33" xfId="0" applyNumberFormat="1" applyFont="1" applyFill="1" applyBorder="1" applyAlignment="1" applyProtection="1">
      <alignment horizontal="center" vertical="center"/>
      <protection locked="0"/>
    </xf>
    <xf numFmtId="0" fontId="16" fillId="35" borderId="0" xfId="0" applyFont="1" applyFill="1" applyAlignment="1">
      <alignment vertical="center"/>
    </xf>
    <xf numFmtId="179" fontId="0" fillId="0" borderId="0" xfId="0" applyNumberFormat="1" applyBorder="1" applyAlignment="1">
      <alignment horizontal="center"/>
    </xf>
    <xf numFmtId="9" fontId="0" fillId="0" borderId="0" xfId="140" applyNumberFormat="1" applyFont="1"/>
    <xf numFmtId="0" fontId="0" fillId="44" borderId="0" xfId="0" applyFill="1" applyAlignment="1">
      <alignment vertical="center"/>
    </xf>
    <xf numFmtId="1" fontId="63" fillId="3" borderId="33" xfId="0" applyNumberFormat="1" applyFont="1" applyFill="1" applyBorder="1" applyAlignment="1" applyProtection="1">
      <alignment horizontal="center" vertical="center"/>
      <protection locked="0"/>
    </xf>
    <xf numFmtId="9" fontId="0" fillId="0" borderId="0" xfId="0" applyNumberFormat="1" applyFill="1" applyAlignment="1">
      <alignment horizontal="center" vertical="center"/>
    </xf>
    <xf numFmtId="0" fontId="0" fillId="0" borderId="0" xfId="0" applyNumberFormat="1" applyAlignment="1">
      <alignment horizontal="center" vertical="center"/>
    </xf>
    <xf numFmtId="179" fontId="44" fillId="18" borderId="0" xfId="0" applyNumberFormat="1" applyFont="1" applyFill="1" applyAlignment="1">
      <alignment vertical="center"/>
    </xf>
    <xf numFmtId="186" fontId="82" fillId="18" borderId="0" xfId="140" applyNumberFormat="1" applyFont="1" applyFill="1" applyAlignment="1">
      <alignment vertical="center"/>
    </xf>
    <xf numFmtId="0" fontId="49" fillId="18" borderId="0" xfId="0" applyFont="1" applyFill="1" applyAlignment="1">
      <alignment horizontal="left" vertical="center"/>
    </xf>
    <xf numFmtId="0" fontId="85" fillId="18" borderId="0" xfId="0" applyFont="1" applyFill="1" applyAlignment="1">
      <alignment horizontal="center" vertical="center"/>
    </xf>
    <xf numFmtId="0" fontId="38" fillId="41" borderId="0" xfId="0" applyFont="1" applyFill="1" applyAlignment="1">
      <alignment vertical="center"/>
    </xf>
    <xf numFmtId="9" fontId="61" fillId="0" borderId="0" xfId="140" applyFont="1" applyAlignment="1">
      <alignment horizontal="center" vertical="center"/>
    </xf>
    <xf numFmtId="10" fontId="0" fillId="0" borderId="0" xfId="0" applyNumberFormat="1" applyAlignment="1">
      <alignment vertical="center"/>
    </xf>
    <xf numFmtId="0" fontId="71" fillId="3" borderId="0" xfId="0" applyFont="1" applyFill="1" applyAlignment="1">
      <alignment horizontal="left" vertical="center"/>
    </xf>
    <xf numFmtId="0" fontId="86" fillId="32" borderId="0" xfId="0" applyFont="1" applyFill="1" applyAlignment="1">
      <alignment horizontal="left" vertical="center"/>
    </xf>
    <xf numFmtId="0" fontId="37" fillId="3" borderId="0" xfId="0" applyFont="1" applyFill="1" applyAlignment="1">
      <alignment vertical="center"/>
    </xf>
    <xf numFmtId="0" fontId="0" fillId="32" borderId="0" xfId="0" applyFont="1" applyFill="1" applyAlignment="1">
      <alignment horizontal="center" vertical="center"/>
    </xf>
    <xf numFmtId="0" fontId="49" fillId="18" borderId="0" xfId="0" applyFont="1" applyFill="1" applyAlignment="1" applyProtection="1">
      <alignment vertical="center"/>
    </xf>
    <xf numFmtId="0" fontId="49" fillId="18" borderId="0" xfId="0" applyFont="1" applyFill="1" applyAlignment="1">
      <alignment horizontal="right" vertical="center"/>
    </xf>
    <xf numFmtId="9" fontId="0" fillId="3" borderId="0" xfId="0" applyNumberFormat="1" applyFill="1" applyAlignment="1">
      <alignment horizontal="center" vertical="center"/>
    </xf>
    <xf numFmtId="0" fontId="62" fillId="18" borderId="0" xfId="0" applyFont="1" applyFill="1" applyAlignment="1">
      <alignment vertical="center"/>
    </xf>
    <xf numFmtId="0" fontId="16" fillId="18" borderId="0" xfId="0" applyFont="1" applyFill="1" applyAlignment="1">
      <alignment vertical="center"/>
    </xf>
    <xf numFmtId="185" fontId="13" fillId="18" borderId="0" xfId="0" applyNumberFormat="1" applyFont="1" applyFill="1"/>
    <xf numFmtId="185" fontId="43" fillId="18" borderId="0" xfId="0" applyNumberFormat="1" applyFont="1" applyFill="1"/>
    <xf numFmtId="186" fontId="79" fillId="18" borderId="0" xfId="0" applyNumberFormat="1" applyFont="1" applyFill="1"/>
    <xf numFmtId="0" fontId="87" fillId="18" borderId="0" xfId="0" applyFont="1" applyFill="1" applyAlignment="1">
      <alignment vertical="center" wrapText="1"/>
    </xf>
    <xf numFmtId="0" fontId="0" fillId="46" borderId="0" xfId="0" applyFill="1" applyAlignment="1">
      <alignment vertical="center"/>
    </xf>
    <xf numFmtId="0" fontId="16" fillId="46" borderId="0" xfId="0" applyFont="1" applyFill="1" applyAlignment="1">
      <alignment vertical="center"/>
    </xf>
    <xf numFmtId="187" fontId="0" fillId="0" borderId="0" xfId="0" applyNumberFormat="1" applyAlignment="1">
      <alignment vertical="center"/>
    </xf>
    <xf numFmtId="0" fontId="16" fillId="44" borderId="0" xfId="0" applyFont="1" applyFill="1" applyAlignment="1">
      <alignment vertical="center"/>
    </xf>
    <xf numFmtId="3" fontId="16" fillId="35" borderId="0" xfId="0" applyNumberFormat="1" applyFont="1" applyFill="1" applyAlignment="1">
      <alignment vertical="center"/>
    </xf>
    <xf numFmtId="0" fontId="0" fillId="47" borderId="0" xfId="0" applyFill="1" applyAlignment="1">
      <alignment vertical="center"/>
    </xf>
    <xf numFmtId="0" fontId="16" fillId="2" borderId="0" xfId="0" applyFont="1" applyFill="1"/>
    <xf numFmtId="0" fontId="16" fillId="0" borderId="0" xfId="0" applyFont="1" applyFill="1" applyAlignment="1">
      <alignment vertical="center"/>
    </xf>
    <xf numFmtId="0" fontId="0" fillId="0" borderId="0" xfId="0" applyFill="1" applyAlignment="1">
      <alignment vertical="center"/>
    </xf>
    <xf numFmtId="0" fontId="16" fillId="0" borderId="0" xfId="0" applyFont="1" applyFill="1"/>
    <xf numFmtId="0" fontId="16" fillId="0" borderId="0" xfId="0" applyFont="1" applyFill="1" applyAlignment="1">
      <alignment horizontal="center"/>
    </xf>
    <xf numFmtId="0" fontId="16" fillId="45" borderId="0" xfId="0" applyFont="1" applyFill="1" applyAlignment="1">
      <alignment vertical="center"/>
    </xf>
    <xf numFmtId="184" fontId="0" fillId="18" borderId="0" xfId="0" applyNumberFormat="1" applyFont="1" applyFill="1" applyAlignment="1">
      <alignment horizontal="center" vertical="center"/>
    </xf>
    <xf numFmtId="0" fontId="64" fillId="18" borderId="0" xfId="0" applyFont="1" applyFill="1" applyAlignment="1">
      <alignment horizontal="center" vertical="center"/>
    </xf>
    <xf numFmtId="9" fontId="0" fillId="0" borderId="0" xfId="0" applyNumberFormat="1" applyAlignment="1">
      <alignment vertical="center"/>
    </xf>
    <xf numFmtId="0" fontId="16" fillId="18" borderId="0" xfId="0" applyFont="1" applyFill="1" applyAlignment="1">
      <alignment horizontal="right" vertical="center"/>
    </xf>
    <xf numFmtId="184" fontId="0" fillId="18" borderId="19" xfId="0" applyNumberFormat="1" applyFont="1" applyFill="1" applyBorder="1" applyAlignment="1">
      <alignment horizontal="center" vertical="center"/>
    </xf>
    <xf numFmtId="184" fontId="0" fillId="35" borderId="0" xfId="0" applyNumberFormat="1" applyFill="1" applyAlignment="1">
      <alignment vertical="center"/>
    </xf>
    <xf numFmtId="184" fontId="0" fillId="0" borderId="0" xfId="0" applyNumberFormat="1" applyAlignment="1">
      <alignment horizontal="center" vertical="center"/>
    </xf>
    <xf numFmtId="184" fontId="49" fillId="18" borderId="0" xfId="0" applyNumberFormat="1" applyFont="1" applyFill="1" applyAlignment="1">
      <alignment horizontal="center" vertical="center"/>
    </xf>
    <xf numFmtId="0" fontId="0" fillId="18" borderId="0" xfId="0" applyFont="1" applyFill="1" applyAlignment="1">
      <alignment horizontal="right" vertical="center"/>
    </xf>
    <xf numFmtId="0" fontId="0" fillId="18" borderId="0" xfId="0" applyFont="1" applyFill="1"/>
    <xf numFmtId="0" fontId="16" fillId="41" borderId="0" xfId="0" applyFont="1" applyFill="1" applyAlignment="1">
      <alignment vertical="center"/>
    </xf>
    <xf numFmtId="185" fontId="0" fillId="18" borderId="0" xfId="0" applyNumberFormat="1" applyFont="1" applyFill="1" applyAlignment="1">
      <alignment vertical="center"/>
    </xf>
    <xf numFmtId="0" fontId="16" fillId="18" borderId="0" xfId="0" applyFont="1" applyFill="1"/>
    <xf numFmtId="0" fontId="68" fillId="18" borderId="0" xfId="0" applyFont="1" applyFill="1" applyAlignment="1">
      <alignment vertical="center"/>
    </xf>
    <xf numFmtId="0" fontId="68" fillId="18" borderId="0" xfId="0" applyFont="1" applyFill="1" applyAlignment="1">
      <alignment horizontal="right" vertical="center"/>
    </xf>
    <xf numFmtId="9" fontId="68" fillId="18" borderId="0" xfId="0" applyNumberFormat="1" applyFont="1" applyFill="1" applyAlignment="1">
      <alignment vertical="center"/>
    </xf>
    <xf numFmtId="0" fontId="68" fillId="18" borderId="0" xfId="0" applyFont="1" applyFill="1"/>
    <xf numFmtId="0" fontId="0" fillId="41" borderId="0" xfId="0" applyFont="1" applyFill="1" applyAlignment="1">
      <alignment vertical="center"/>
    </xf>
    <xf numFmtId="2" fontId="0" fillId="32" borderId="0" xfId="0" applyNumberFormat="1" applyFill="1" applyAlignment="1">
      <alignment horizontal="center" vertical="center"/>
    </xf>
    <xf numFmtId="179" fontId="16" fillId="0" borderId="0" xfId="140" applyNumberFormat="1" applyFont="1" applyAlignment="1">
      <alignment horizontal="center" vertical="center"/>
    </xf>
    <xf numFmtId="179" fontId="0" fillId="32" borderId="0" xfId="140" applyNumberFormat="1" applyFont="1" applyFill="1" applyAlignment="1">
      <alignment horizontal="center" vertical="center"/>
    </xf>
    <xf numFmtId="2" fontId="0" fillId="32" borderId="0" xfId="140" applyNumberFormat="1" applyFont="1" applyFill="1" applyAlignment="1">
      <alignment horizontal="center" vertical="center"/>
    </xf>
    <xf numFmtId="2" fontId="16" fillId="0" borderId="0" xfId="0" applyNumberFormat="1" applyFont="1" applyAlignment="1">
      <alignment vertical="center"/>
    </xf>
    <xf numFmtId="10" fontId="0" fillId="32" borderId="0" xfId="0" applyNumberFormat="1" applyFill="1" applyAlignment="1">
      <alignment horizontal="center" vertical="center"/>
    </xf>
    <xf numFmtId="2" fontId="0" fillId="0" borderId="0" xfId="0" applyNumberFormat="1" applyAlignment="1">
      <alignment vertical="center"/>
    </xf>
    <xf numFmtId="185" fontId="11" fillId="18" borderId="0" xfId="0" applyNumberFormat="1" applyFont="1" applyFill="1"/>
    <xf numFmtId="185" fontId="52" fillId="18" borderId="0" xfId="0" applyNumberFormat="1" applyFont="1" applyFill="1"/>
    <xf numFmtId="186" fontId="84" fillId="18" borderId="0" xfId="140" applyNumberFormat="1" applyFont="1" applyFill="1"/>
    <xf numFmtId="0" fontId="0" fillId="18" borderId="0" xfId="0" applyFont="1" applyFill="1" applyAlignment="1">
      <alignment horizontal="center" vertical="center"/>
    </xf>
    <xf numFmtId="2" fontId="0" fillId="0" borderId="0" xfId="140" applyNumberFormat="1" applyFont="1" applyAlignment="1">
      <alignment vertical="center"/>
    </xf>
    <xf numFmtId="2" fontId="0" fillId="35" borderId="0" xfId="0" applyNumberFormat="1" applyFill="1" applyAlignment="1">
      <alignment vertical="center"/>
    </xf>
    <xf numFmtId="2" fontId="16" fillId="0" borderId="0" xfId="140" applyNumberFormat="1" applyFont="1" applyAlignment="1">
      <alignment vertical="center"/>
    </xf>
    <xf numFmtId="2" fontId="0" fillId="0" borderId="0" xfId="0" applyNumberFormat="1" applyFont="1" applyAlignment="1">
      <alignment vertical="center"/>
    </xf>
    <xf numFmtId="9" fontId="0" fillId="43" borderId="0" xfId="0" applyNumberFormat="1" applyFill="1" applyAlignment="1">
      <alignment horizontal="center" vertical="center"/>
    </xf>
    <xf numFmtId="0" fontId="16" fillId="32" borderId="0" xfId="0" applyFont="1" applyFill="1" applyAlignment="1">
      <alignment vertical="center"/>
    </xf>
    <xf numFmtId="0" fontId="0" fillId="32" borderId="0" xfId="0" applyFill="1" applyAlignment="1">
      <alignment vertical="center"/>
    </xf>
    <xf numFmtId="185" fontId="0" fillId="6" borderId="0" xfId="0" applyNumberFormat="1" applyFont="1" applyFill="1" applyAlignment="1">
      <alignment vertical="center"/>
    </xf>
    <xf numFmtId="185" fontId="88" fillId="49" borderId="0" xfId="0" applyNumberFormat="1" applyFont="1" applyFill="1" applyAlignment="1">
      <alignment vertical="center"/>
    </xf>
    <xf numFmtId="185" fontId="0" fillId="48" borderId="0" xfId="0" applyNumberFormat="1" applyFont="1" applyFill="1" applyAlignment="1">
      <alignment vertical="center"/>
    </xf>
    <xf numFmtId="185" fontId="88" fillId="34" borderId="0" xfId="0" applyNumberFormat="1" applyFont="1" applyFill="1" applyAlignment="1">
      <alignment vertical="center"/>
    </xf>
    <xf numFmtId="186" fontId="90" fillId="34" borderId="0" xfId="140" applyNumberFormat="1" applyFont="1" applyFill="1" applyAlignment="1">
      <alignment vertical="center"/>
    </xf>
    <xf numFmtId="185" fontId="89" fillId="49" borderId="0" xfId="0" applyNumberFormat="1" applyFont="1" applyFill="1" applyAlignment="1">
      <alignment vertical="center"/>
    </xf>
    <xf numFmtId="184" fontId="0" fillId="0" borderId="0" xfId="0" applyNumberFormat="1" applyFont="1" applyAlignment="1">
      <alignment vertical="center"/>
    </xf>
    <xf numFmtId="184" fontId="0" fillId="32" borderId="0" xfId="0" applyNumberFormat="1" applyFill="1" applyAlignment="1">
      <alignment horizontal="center" vertical="center"/>
    </xf>
    <xf numFmtId="2" fontId="37" fillId="26" borderId="25" xfId="112" applyNumberFormat="1" applyFont="1" applyFill="1" applyBorder="1" applyAlignment="1">
      <alignment horizontal="center"/>
    </xf>
    <xf numFmtId="1" fontId="0" fillId="3" borderId="0" xfId="0" applyNumberFormat="1" applyFill="1" applyAlignment="1">
      <alignment horizontal="center" vertical="center"/>
    </xf>
    <xf numFmtId="184" fontId="0" fillId="0" borderId="0" xfId="0" applyNumberFormat="1" applyFill="1" applyAlignment="1">
      <alignment vertical="center"/>
    </xf>
    <xf numFmtId="0" fontId="16" fillId="39" borderId="0" xfId="0" applyFont="1" applyFill="1" applyAlignment="1">
      <alignment vertical="center"/>
    </xf>
    <xf numFmtId="0" fontId="0" fillId="39" borderId="0" xfId="0" applyFill="1" applyAlignment="1">
      <alignment vertical="center"/>
    </xf>
    <xf numFmtId="0" fontId="16" fillId="2" borderId="0" xfId="0" applyFont="1" applyFill="1" applyAlignment="1">
      <alignment vertical="center"/>
    </xf>
    <xf numFmtId="0" fontId="16" fillId="42" borderId="0" xfId="0" applyFont="1" applyFill="1" applyAlignment="1">
      <alignment vertical="center"/>
    </xf>
    <xf numFmtId="0" fontId="16" fillId="44" borderId="0" xfId="0" applyFont="1" applyFill="1"/>
    <xf numFmtId="0" fontId="16" fillId="44" borderId="0" xfId="0" applyFont="1" applyFill="1" applyAlignment="1">
      <alignment horizontal="center"/>
    </xf>
    <xf numFmtId="0" fontId="85" fillId="18" borderId="0" xfId="0" applyFont="1" applyFill="1" applyAlignment="1">
      <alignment horizontal="right" vertical="center"/>
    </xf>
    <xf numFmtId="9" fontId="92" fillId="3" borderId="33" xfId="0" applyNumberFormat="1" applyFont="1" applyFill="1" applyBorder="1" applyAlignment="1" applyProtection="1">
      <alignment horizontal="center" vertical="center" wrapText="1"/>
      <protection locked="0"/>
    </xf>
    <xf numFmtId="0" fontId="16" fillId="0" borderId="21" xfId="0" applyFont="1" applyBorder="1" applyAlignment="1">
      <alignment horizontal="center" vertical="center"/>
    </xf>
    <xf numFmtId="0" fontId="16" fillId="0" borderId="22" xfId="0" applyFont="1" applyBorder="1" applyAlignment="1">
      <alignment horizontal="center" vertical="center"/>
    </xf>
    <xf numFmtId="0" fontId="16" fillId="0" borderId="23" xfId="0" applyFont="1" applyBorder="1" applyAlignment="1">
      <alignment horizontal="center" vertical="center"/>
    </xf>
    <xf numFmtId="0" fontId="0" fillId="0" borderId="25" xfId="0" applyBorder="1" applyAlignment="1">
      <alignment horizontal="center" vertical="center"/>
    </xf>
    <xf numFmtId="0" fontId="0" fillId="0" borderId="0" xfId="0" applyBorder="1" applyAlignment="1">
      <alignment horizontal="center" vertical="center"/>
    </xf>
    <xf numFmtId="0" fontId="0" fillId="0" borderId="26" xfId="0" applyBorder="1" applyAlignment="1">
      <alignment horizontal="center" vertical="center"/>
    </xf>
    <xf numFmtId="9" fontId="0" fillId="0" borderId="25" xfId="0" applyNumberFormat="1" applyBorder="1" applyAlignment="1">
      <alignment horizontal="center" vertical="center"/>
    </xf>
    <xf numFmtId="9" fontId="0" fillId="0" borderId="0" xfId="0" applyNumberFormat="1" applyBorder="1" applyAlignment="1">
      <alignment horizontal="center" vertical="center"/>
    </xf>
    <xf numFmtId="9" fontId="0" fillId="0" borderId="26" xfId="0" applyNumberFormat="1" applyBorder="1" applyAlignment="1">
      <alignment horizontal="center" vertical="center"/>
    </xf>
    <xf numFmtId="187" fontId="0" fillId="0" borderId="0" xfId="0" applyNumberFormat="1" applyBorder="1" applyAlignment="1">
      <alignment horizontal="center" vertical="center"/>
    </xf>
    <xf numFmtId="187" fontId="0" fillId="0" borderId="26" xfId="0" applyNumberFormat="1" applyBorder="1" applyAlignment="1">
      <alignment horizontal="center" vertical="center"/>
    </xf>
    <xf numFmtId="187" fontId="0" fillId="0" borderId="25" xfId="0" applyNumberFormat="1" applyBorder="1" applyAlignment="1">
      <alignment horizontal="center" vertical="center"/>
    </xf>
    <xf numFmtId="179" fontId="42" fillId="0" borderId="0" xfId="140" applyNumberFormat="1" applyFont="1" applyAlignment="1">
      <alignment vertical="center"/>
    </xf>
    <xf numFmtId="3" fontId="0" fillId="32" borderId="25" xfId="0" applyNumberFormat="1" applyFill="1" applyBorder="1" applyAlignment="1">
      <alignment horizontal="center" vertical="center"/>
    </xf>
    <xf numFmtId="3" fontId="0" fillId="0" borderId="0" xfId="0" applyNumberFormat="1" applyBorder="1" applyAlignment="1">
      <alignment horizontal="center" vertical="center"/>
    </xf>
    <xf numFmtId="3" fontId="0" fillId="0" borderId="26" xfId="0" applyNumberFormat="1" applyBorder="1" applyAlignment="1">
      <alignment horizontal="center" vertical="center"/>
    </xf>
    <xf numFmtId="3" fontId="0" fillId="0" borderId="25" xfId="0" applyNumberFormat="1" applyBorder="1" applyAlignment="1">
      <alignment horizontal="center" vertical="center"/>
    </xf>
    <xf numFmtId="3" fontId="0" fillId="32" borderId="0" xfId="0" applyNumberFormat="1" applyFill="1" applyBorder="1" applyAlignment="1">
      <alignment horizontal="center" vertical="center"/>
    </xf>
    <xf numFmtId="3" fontId="0" fillId="32" borderId="26" xfId="0" applyNumberFormat="1" applyFill="1" applyBorder="1" applyAlignment="1">
      <alignment horizontal="center" vertical="center"/>
    </xf>
    <xf numFmtId="3" fontId="0" fillId="35" borderId="25" xfId="0" applyNumberFormat="1" applyFill="1" applyBorder="1" applyAlignment="1">
      <alignment horizontal="center" vertical="center"/>
    </xf>
    <xf numFmtId="3" fontId="0" fillId="44" borderId="0" xfId="0" applyNumberFormat="1" applyFill="1" applyBorder="1" applyAlignment="1">
      <alignment horizontal="center" vertical="center"/>
    </xf>
    <xf numFmtId="3" fontId="0" fillId="44" borderId="26" xfId="0" applyNumberFormat="1" applyFill="1" applyBorder="1" applyAlignment="1">
      <alignment horizontal="center" vertical="center"/>
    </xf>
    <xf numFmtId="3" fontId="0" fillId="35" borderId="0" xfId="0" applyNumberFormat="1" applyFill="1" applyBorder="1" applyAlignment="1">
      <alignment horizontal="center" vertical="center"/>
    </xf>
    <xf numFmtId="3" fontId="0" fillId="35" borderId="26" xfId="0" applyNumberFormat="1" applyFill="1" applyBorder="1" applyAlignment="1">
      <alignment horizontal="center" vertical="center"/>
    </xf>
    <xf numFmtId="3" fontId="0" fillId="0" borderId="25" xfId="0" applyNumberFormat="1" applyFill="1" applyBorder="1" applyAlignment="1">
      <alignment horizontal="center" vertical="center"/>
    </xf>
    <xf numFmtId="3" fontId="0" fillId="0" borderId="0" xfId="0" applyNumberFormat="1" applyFill="1" applyBorder="1" applyAlignment="1">
      <alignment horizontal="center" vertical="center"/>
    </xf>
    <xf numFmtId="3" fontId="0" fillId="0" borderId="26" xfId="0" applyNumberFormat="1" applyFill="1" applyBorder="1" applyAlignment="1">
      <alignment horizontal="center" vertical="center"/>
    </xf>
    <xf numFmtId="3" fontId="16" fillId="0" borderId="26" xfId="0" applyNumberFormat="1" applyFont="1" applyBorder="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25" xfId="0" applyFont="1" applyBorder="1" applyAlignment="1">
      <alignment horizontal="center" vertical="center"/>
    </xf>
    <xf numFmtId="187" fontId="0" fillId="0" borderId="0" xfId="0" applyNumberFormat="1" applyFont="1" applyBorder="1" applyAlignment="1">
      <alignment horizontal="center" vertical="center"/>
    </xf>
    <xf numFmtId="187" fontId="0" fillId="0" borderId="26" xfId="0" applyNumberFormat="1" applyFont="1" applyBorder="1" applyAlignment="1">
      <alignment horizontal="center" vertical="center"/>
    </xf>
    <xf numFmtId="187" fontId="0" fillId="0" borderId="25" xfId="0" applyNumberFormat="1" applyFont="1" applyBorder="1" applyAlignment="1">
      <alignment horizontal="center" vertical="center"/>
    </xf>
    <xf numFmtId="0" fontId="62" fillId="18" borderId="20" xfId="0" applyFont="1" applyFill="1" applyBorder="1" applyAlignment="1">
      <alignment horizontal="center" vertical="center"/>
    </xf>
    <xf numFmtId="0" fontId="85" fillId="18" borderId="40" xfId="0" applyFont="1" applyFill="1" applyBorder="1" applyAlignment="1">
      <alignment horizontal="right" vertical="center"/>
    </xf>
    <xf numFmtId="0" fontId="49" fillId="18" borderId="41" xfId="0" applyFont="1" applyFill="1" applyBorder="1" applyAlignment="1">
      <alignment vertical="center"/>
    </xf>
    <xf numFmtId="0" fontId="85" fillId="18" borderId="41" xfId="0" applyFont="1" applyFill="1" applyBorder="1" applyAlignment="1">
      <alignment horizontal="center" vertical="center"/>
    </xf>
    <xf numFmtId="0" fontId="85" fillId="18" borderId="42" xfId="0" applyFont="1" applyFill="1" applyBorder="1" applyAlignment="1">
      <alignment horizontal="center" vertical="center"/>
    </xf>
    <xf numFmtId="9" fontId="53" fillId="36" borderId="0" xfId="0" applyNumberFormat="1" applyFont="1" applyFill="1" applyBorder="1" applyAlignment="1" applyProtection="1">
      <alignment horizontal="center" vertical="center"/>
    </xf>
    <xf numFmtId="0" fontId="0" fillId="37" borderId="0" xfId="0" applyFill="1"/>
    <xf numFmtId="179" fontId="0" fillId="0" borderId="0" xfId="0" applyNumberFormat="1" applyAlignment="1">
      <alignment horizontal="center" vertical="center"/>
    </xf>
    <xf numFmtId="179" fontId="0" fillId="0" borderId="0" xfId="0" applyNumberFormat="1" applyAlignment="1">
      <alignment horizontal="left" vertical="center"/>
    </xf>
    <xf numFmtId="179" fontId="0" fillId="0" borderId="28" xfId="0" applyNumberFormat="1" applyBorder="1" applyAlignment="1">
      <alignment horizontal="center" vertical="center"/>
    </xf>
    <xf numFmtId="179" fontId="0" fillId="0" borderId="20" xfId="0" applyNumberFormat="1" applyBorder="1" applyAlignment="1">
      <alignment horizontal="center" vertical="center"/>
    </xf>
    <xf numFmtId="179" fontId="0" fillId="0" borderId="29" xfId="0" applyNumberFormat="1" applyBorder="1" applyAlignment="1">
      <alignment horizontal="center" vertical="center"/>
    </xf>
    <xf numFmtId="179" fontId="0" fillId="0" borderId="29" xfId="140" applyNumberFormat="1" applyFont="1" applyBorder="1" applyAlignment="1">
      <alignment horizontal="center" vertical="center"/>
    </xf>
    <xf numFmtId="179" fontId="0" fillId="0" borderId="28" xfId="140" applyNumberFormat="1" applyFont="1" applyBorder="1" applyAlignment="1">
      <alignment horizontal="center" vertical="center"/>
    </xf>
    <xf numFmtId="179" fontId="0" fillId="0" borderId="20" xfId="140" applyNumberFormat="1" applyFont="1" applyBorder="1" applyAlignment="1">
      <alignment horizontal="center" vertical="center"/>
    </xf>
    <xf numFmtId="0" fontId="53" fillId="41" borderId="0" xfId="0" applyFont="1" applyFill="1" applyAlignment="1">
      <alignment vertical="center"/>
    </xf>
    <xf numFmtId="185" fontId="88" fillId="34" borderId="0" xfId="0" applyNumberFormat="1" applyFont="1" applyFill="1" applyBorder="1" applyAlignment="1">
      <alignment vertical="center"/>
    </xf>
    <xf numFmtId="185" fontId="11" fillId="18" borderId="0" xfId="0" applyNumberFormat="1" applyFont="1" applyFill="1" applyBorder="1"/>
    <xf numFmtId="185" fontId="0" fillId="18" borderId="0" xfId="0" applyNumberFormat="1" applyFont="1" applyFill="1" applyBorder="1" applyAlignment="1">
      <alignment vertical="center"/>
    </xf>
    <xf numFmtId="185" fontId="16" fillId="32" borderId="0" xfId="0" applyNumberFormat="1" applyFont="1" applyFill="1" applyBorder="1" applyAlignment="1">
      <alignment vertical="center"/>
    </xf>
    <xf numFmtId="185" fontId="88" fillId="49" borderId="0" xfId="0" applyNumberFormat="1" applyFont="1" applyFill="1" applyBorder="1" applyAlignment="1">
      <alignment vertical="center"/>
    </xf>
    <xf numFmtId="185" fontId="0" fillId="6" borderId="0" xfId="0" applyNumberFormat="1" applyFont="1" applyFill="1" applyBorder="1" applyAlignment="1">
      <alignment vertical="center"/>
    </xf>
    <xf numFmtId="185" fontId="16" fillId="48" borderId="0" xfId="0" applyNumberFormat="1" applyFont="1" applyFill="1" applyBorder="1" applyAlignment="1">
      <alignment vertical="center"/>
    </xf>
    <xf numFmtId="0" fontId="16" fillId="18" borderId="0" xfId="0" applyFont="1" applyFill="1" applyBorder="1" applyAlignment="1">
      <alignment vertical="center"/>
    </xf>
    <xf numFmtId="185" fontId="52" fillId="18" borderId="0" xfId="0" applyNumberFormat="1" applyFont="1" applyFill="1" applyBorder="1"/>
    <xf numFmtId="0" fontId="68" fillId="18" borderId="0" xfId="0" applyFont="1" applyFill="1" applyBorder="1" applyAlignment="1">
      <alignment horizontal="right" vertical="center"/>
    </xf>
    <xf numFmtId="186" fontId="84" fillId="18" borderId="0" xfId="0" applyNumberFormat="1" applyFont="1" applyFill="1" applyBorder="1"/>
    <xf numFmtId="179" fontId="68" fillId="18" borderId="0" xfId="0" applyNumberFormat="1" applyFont="1" applyFill="1" applyBorder="1" applyAlignment="1">
      <alignment vertical="center"/>
    </xf>
    <xf numFmtId="0" fontId="68" fillId="18" borderId="0" xfId="0" applyFont="1" applyFill="1" applyBorder="1" applyAlignment="1">
      <alignment vertical="center"/>
    </xf>
    <xf numFmtId="186" fontId="90" fillId="49" borderId="0" xfId="140" applyNumberFormat="1" applyFont="1" applyFill="1" applyBorder="1" applyAlignment="1">
      <alignment vertical="center"/>
    </xf>
    <xf numFmtId="186" fontId="90" fillId="6" borderId="0" xfId="140" applyNumberFormat="1" applyFont="1" applyFill="1" applyBorder="1" applyAlignment="1">
      <alignment vertical="center"/>
    </xf>
    <xf numFmtId="186" fontId="90" fillId="48" borderId="0" xfId="140" applyNumberFormat="1" applyFont="1" applyFill="1" applyBorder="1" applyAlignment="1">
      <alignment vertical="center"/>
    </xf>
    <xf numFmtId="179" fontId="53" fillId="18" borderId="0" xfId="0" applyNumberFormat="1" applyFont="1" applyFill="1" applyBorder="1" applyAlignment="1">
      <alignment horizontal="center" vertical="center"/>
    </xf>
    <xf numFmtId="0" fontId="53" fillId="18" borderId="0" xfId="0" applyFont="1" applyFill="1" applyAlignment="1">
      <alignment horizontal="center" vertical="center"/>
    </xf>
    <xf numFmtId="0" fontId="16" fillId="18" borderId="0" xfId="0" applyFont="1" applyFill="1" applyBorder="1" applyAlignment="1">
      <alignment horizontal="left" vertical="center"/>
    </xf>
    <xf numFmtId="185" fontId="0" fillId="48" borderId="0" xfId="0" applyNumberFormat="1" applyFont="1" applyFill="1" applyBorder="1" applyAlignment="1">
      <alignment vertical="center"/>
    </xf>
    <xf numFmtId="0" fontId="0" fillId="18" borderId="0" xfId="0" applyFont="1" applyFill="1" applyBorder="1" applyAlignment="1">
      <alignment horizontal="left" vertical="center"/>
    </xf>
    <xf numFmtId="185" fontId="0" fillId="32" borderId="0" xfId="0" applyNumberFormat="1" applyFont="1" applyFill="1" applyAlignment="1">
      <alignment vertical="center"/>
    </xf>
    <xf numFmtId="9" fontId="68" fillId="32" borderId="0" xfId="0" applyNumberFormat="1" applyFont="1" applyFill="1" applyAlignment="1">
      <alignment vertical="center"/>
    </xf>
    <xf numFmtId="185" fontId="0" fillId="32" borderId="0" xfId="0" applyNumberFormat="1" applyFont="1" applyFill="1" applyBorder="1" applyAlignment="1">
      <alignment vertical="center"/>
    </xf>
    <xf numFmtId="0" fontId="91" fillId="18" borderId="0" xfId="0" applyFont="1" applyFill="1" applyBorder="1" applyAlignment="1">
      <alignment horizontal="center" vertical="center"/>
    </xf>
    <xf numFmtId="188" fontId="49" fillId="18" borderId="0" xfId="0" applyNumberFormat="1" applyFont="1" applyFill="1" applyBorder="1" applyAlignment="1">
      <alignment horizontal="center" vertical="center"/>
    </xf>
    <xf numFmtId="2" fontId="0" fillId="0" borderId="0" xfId="140" applyNumberFormat="1" applyFont="1" applyAlignment="1">
      <alignment horizontal="center" vertical="center"/>
    </xf>
    <xf numFmtId="2" fontId="16" fillId="0" borderId="0" xfId="0" applyNumberFormat="1" applyFont="1" applyAlignment="1">
      <alignment horizontal="center" vertical="center"/>
    </xf>
    <xf numFmtId="2" fontId="0" fillId="0" borderId="0" xfId="0" applyNumberFormat="1" applyAlignment="1">
      <alignment horizontal="center" vertical="center"/>
    </xf>
    <xf numFmtId="179" fontId="0" fillId="0" borderId="0" xfId="0" applyNumberFormat="1" applyFont="1" applyAlignment="1">
      <alignment vertical="center"/>
    </xf>
    <xf numFmtId="0" fontId="60" fillId="18" borderId="0" xfId="0" applyFont="1" applyFill="1" applyBorder="1" applyAlignment="1">
      <alignment vertical="center"/>
    </xf>
    <xf numFmtId="182" fontId="53" fillId="18" borderId="0" xfId="0" applyNumberFormat="1" applyFont="1" applyFill="1" applyBorder="1" applyAlignment="1">
      <alignment horizontal="center" vertical="center"/>
    </xf>
    <xf numFmtId="182" fontId="0" fillId="0" borderId="0" xfId="0" applyNumberFormat="1"/>
    <xf numFmtId="0" fontId="60" fillId="18" borderId="0" xfId="0" applyFont="1" applyFill="1" applyBorder="1" applyAlignment="1">
      <alignment horizontal="center" vertical="center"/>
    </xf>
    <xf numFmtId="0" fontId="60" fillId="18" borderId="0" xfId="0" applyFont="1" applyFill="1" applyAlignment="1">
      <alignment horizontal="right" vertical="center"/>
    </xf>
    <xf numFmtId="0" fontId="0" fillId="42" borderId="0" xfId="0" applyFill="1" applyBorder="1" applyAlignment="1">
      <alignment vertical="center"/>
    </xf>
    <xf numFmtId="182" fontId="49" fillId="38" borderId="0" xfId="0" applyNumberFormat="1" applyFont="1" applyFill="1"/>
    <xf numFmtId="179" fontId="49" fillId="38" borderId="0" xfId="0" applyNumberFormat="1" applyFont="1" applyFill="1"/>
    <xf numFmtId="188" fontId="49" fillId="38" borderId="0" xfId="0" applyNumberFormat="1" applyFont="1" applyFill="1"/>
    <xf numFmtId="2" fontId="49" fillId="38" borderId="0" xfId="0" applyNumberFormat="1" applyFont="1" applyFill="1"/>
    <xf numFmtId="3" fontId="0" fillId="0" borderId="0" xfId="0" applyNumberFormat="1"/>
    <xf numFmtId="179" fontId="0" fillId="0" borderId="0" xfId="0" applyNumberFormat="1"/>
    <xf numFmtId="9" fontId="0" fillId="0" borderId="0" xfId="0" applyNumberFormat="1"/>
    <xf numFmtId="1" fontId="63" fillId="3" borderId="33" xfId="0" applyNumberFormat="1" applyFont="1" applyFill="1" applyBorder="1" applyAlignment="1" applyProtection="1">
      <alignment horizontal="center" vertical="center" wrapText="1"/>
      <protection locked="0"/>
    </xf>
    <xf numFmtId="0" fontId="37" fillId="18" borderId="0" xfId="0" quotePrefix="1" applyFont="1" applyFill="1" applyAlignment="1">
      <alignment horizontal="center" vertical="center"/>
    </xf>
    <xf numFmtId="2" fontId="37" fillId="0" borderId="24" xfId="135" applyNumberFormat="1" applyFont="1" applyFill="1" applyBorder="1" applyAlignment="1">
      <alignment horizontal="center"/>
    </xf>
    <xf numFmtId="2" fontId="37" fillId="0" borderId="24" xfId="112" applyNumberFormat="1" applyFont="1" applyFill="1" applyBorder="1" applyAlignment="1">
      <alignment horizontal="center"/>
    </xf>
    <xf numFmtId="10" fontId="37" fillId="6" borderId="0" xfId="112" applyNumberFormat="1" applyFont="1" applyFill="1" applyAlignment="1">
      <alignment horizontal="center"/>
    </xf>
    <xf numFmtId="188" fontId="38" fillId="6" borderId="0" xfId="112" applyNumberFormat="1" applyFont="1" applyFill="1" applyAlignment="1">
      <alignment horizontal="center"/>
    </xf>
    <xf numFmtId="0" fontId="94" fillId="0" borderId="0" xfId="112" applyFont="1"/>
    <xf numFmtId="0" fontId="38" fillId="0" borderId="0" xfId="112" applyFont="1" applyAlignment="1">
      <alignment horizontal="center"/>
    </xf>
    <xf numFmtId="3" fontId="49" fillId="0" borderId="0" xfId="0" applyNumberFormat="1" applyFont="1"/>
    <xf numFmtId="182" fontId="49" fillId="0" borderId="0" xfId="0" applyNumberFormat="1" applyFont="1"/>
    <xf numFmtId="0" fontId="53" fillId="0" borderId="0" xfId="0" applyFont="1"/>
    <xf numFmtId="0" fontId="0" fillId="18" borderId="0" xfId="0" applyFont="1" applyFill="1" applyAlignment="1">
      <alignment horizontal="left" vertical="center"/>
    </xf>
    <xf numFmtId="0" fontId="0" fillId="30" borderId="0" xfId="0" applyFont="1" applyFill="1" applyBorder="1" applyAlignment="1" applyProtection="1">
      <alignment vertical="top"/>
      <protection locked="0"/>
    </xf>
    <xf numFmtId="0" fontId="47" fillId="30" borderId="0" xfId="0" applyNumberFormat="1" applyFont="1" applyFill="1" applyBorder="1" applyAlignment="1" applyProtection="1">
      <alignment vertical="top"/>
      <protection locked="0"/>
    </xf>
    <xf numFmtId="0" fontId="85" fillId="18" borderId="0" xfId="0" applyFont="1" applyFill="1" applyBorder="1" applyAlignment="1">
      <alignment horizontal="center" vertical="center"/>
    </xf>
    <xf numFmtId="1" fontId="0" fillId="0" borderId="0" xfId="140" applyNumberFormat="1" applyFont="1" applyAlignment="1">
      <alignment vertical="center"/>
    </xf>
    <xf numFmtId="9" fontId="61" fillId="0" borderId="0" xfId="140" applyFont="1" applyAlignment="1">
      <alignment vertical="center"/>
    </xf>
    <xf numFmtId="0" fontId="37" fillId="9" borderId="0" xfId="0" applyFont="1" applyFill="1" applyAlignment="1" applyProtection="1">
      <alignment vertical="center"/>
    </xf>
    <xf numFmtId="0" fontId="55" fillId="9" borderId="0" xfId="0" applyFont="1" applyFill="1" applyAlignment="1" applyProtection="1">
      <alignment vertical="center"/>
    </xf>
    <xf numFmtId="0" fontId="93" fillId="18" borderId="0" xfId="0" applyFont="1" applyFill="1" applyBorder="1" applyAlignment="1">
      <alignment vertical="center"/>
    </xf>
    <xf numFmtId="0" fontId="0" fillId="18" borderId="0" xfId="0" applyFont="1" applyFill="1" applyBorder="1" applyAlignment="1">
      <alignment horizontal="right" vertical="center"/>
    </xf>
    <xf numFmtId="0" fontId="16" fillId="18" borderId="0" xfId="0" applyFont="1" applyFill="1" applyBorder="1" applyAlignment="1">
      <alignment horizontal="right" vertical="center"/>
    </xf>
    <xf numFmtId="186" fontId="90" fillId="34" borderId="0" xfId="140" applyNumberFormat="1" applyFont="1" applyFill="1" applyBorder="1" applyAlignment="1">
      <alignment vertical="center"/>
    </xf>
    <xf numFmtId="186" fontId="90" fillId="18" borderId="0" xfId="140" applyNumberFormat="1" applyFont="1" applyFill="1" applyBorder="1" applyAlignment="1">
      <alignment vertical="center"/>
    </xf>
    <xf numFmtId="186" fontId="90" fillId="32" borderId="0" xfId="140" applyNumberFormat="1" applyFont="1" applyFill="1" applyBorder="1" applyAlignment="1">
      <alignment vertical="center"/>
    </xf>
    <xf numFmtId="0" fontId="0" fillId="18" borderId="44" xfId="0" applyFont="1" applyFill="1" applyBorder="1" applyAlignment="1">
      <alignment horizontal="right" vertical="center"/>
    </xf>
    <xf numFmtId="0" fontId="0" fillId="18" borderId="45" xfId="0" applyFont="1" applyFill="1" applyBorder="1" applyAlignment="1">
      <alignment vertical="center"/>
    </xf>
    <xf numFmtId="185" fontId="88" fillId="34" borderId="45" xfId="0" applyNumberFormat="1" applyFont="1" applyFill="1" applyBorder="1" applyAlignment="1">
      <alignment vertical="center"/>
    </xf>
    <xf numFmtId="185" fontId="11" fillId="18" borderId="45" xfId="0" applyNumberFormat="1" applyFont="1" applyFill="1" applyBorder="1"/>
    <xf numFmtId="185" fontId="0" fillId="18" borderId="45" xfId="0" applyNumberFormat="1" applyFont="1" applyFill="1" applyBorder="1" applyAlignment="1">
      <alignment vertical="center"/>
    </xf>
    <xf numFmtId="185" fontId="16" fillId="48" borderId="45" xfId="0" applyNumberFormat="1" applyFont="1" applyFill="1" applyBorder="1" applyAlignment="1">
      <alignment vertical="center"/>
    </xf>
    <xf numFmtId="185" fontId="16" fillId="48" borderId="46" xfId="0" applyNumberFormat="1" applyFont="1" applyFill="1" applyBorder="1" applyAlignment="1">
      <alignment vertical="center"/>
    </xf>
    <xf numFmtId="9" fontId="63" fillId="3" borderId="39" xfId="0" applyNumberFormat="1" applyFont="1" applyFill="1" applyBorder="1" applyAlignment="1" applyProtection="1">
      <alignment horizontal="center" vertical="center"/>
      <protection locked="0"/>
    </xf>
    <xf numFmtId="10" fontId="16" fillId="0" borderId="0" xfId="0" applyNumberFormat="1" applyFont="1" applyAlignment="1">
      <alignment horizontal="center" vertical="center"/>
    </xf>
    <xf numFmtId="10" fontId="0" fillId="0" borderId="0" xfId="0" applyNumberFormat="1" applyAlignment="1">
      <alignment horizontal="center" vertical="center"/>
    </xf>
    <xf numFmtId="0" fontId="74" fillId="9" borderId="0" xfId="0" applyFont="1" applyFill="1" applyBorder="1" applyAlignment="1">
      <alignment horizontal="center" vertical="center"/>
    </xf>
    <xf numFmtId="0" fontId="37" fillId="0" borderId="0" xfId="0" applyFont="1" applyBorder="1" applyAlignment="1">
      <alignment horizontal="center" vertical="center"/>
    </xf>
    <xf numFmtId="188" fontId="0" fillId="0" borderId="0" xfId="0" applyNumberFormat="1"/>
    <xf numFmtId="0" fontId="57" fillId="18" borderId="0" xfId="0" applyFont="1" applyFill="1" applyBorder="1" applyAlignment="1">
      <alignment vertical="center"/>
    </xf>
    <xf numFmtId="0" fontId="0" fillId="18" borderId="44" xfId="0" applyFont="1" applyFill="1" applyBorder="1" applyAlignment="1">
      <alignment vertical="center"/>
    </xf>
    <xf numFmtId="185" fontId="0" fillId="32" borderId="45" xfId="0" applyNumberFormat="1" applyFont="1" applyFill="1" applyBorder="1" applyAlignment="1">
      <alignment vertical="center"/>
    </xf>
    <xf numFmtId="185" fontId="0" fillId="32" borderId="46" xfId="0" applyNumberFormat="1" applyFont="1" applyFill="1" applyBorder="1" applyAlignment="1">
      <alignment vertical="center"/>
    </xf>
    <xf numFmtId="0" fontId="16" fillId="32" borderId="0" xfId="0" applyFont="1" applyFill="1" applyAlignment="1">
      <alignment horizontal="center" vertical="center"/>
    </xf>
    <xf numFmtId="188" fontId="38" fillId="0" borderId="0" xfId="0" applyNumberFormat="1" applyFont="1" applyFill="1" applyBorder="1" applyAlignment="1">
      <alignment horizontal="center" vertical="center"/>
    </xf>
    <xf numFmtId="188" fontId="38" fillId="9" borderId="0" xfId="0" applyNumberFormat="1" applyFont="1" applyFill="1" applyBorder="1" applyAlignment="1">
      <alignment horizontal="center" vertical="center"/>
    </xf>
    <xf numFmtId="188" fontId="38" fillId="9" borderId="0" xfId="0" applyNumberFormat="1" applyFont="1" applyFill="1" applyBorder="1" applyAlignment="1" applyProtection="1">
      <alignment horizontal="center" vertical="center"/>
    </xf>
    <xf numFmtId="1" fontId="0" fillId="0" borderId="0" xfId="0" applyNumberFormat="1" applyAlignment="1">
      <alignment vertical="center"/>
    </xf>
    <xf numFmtId="2" fontId="0" fillId="0" borderId="0" xfId="0" applyNumberFormat="1" applyBorder="1" applyAlignment="1">
      <alignment vertical="center"/>
    </xf>
    <xf numFmtId="10" fontId="0" fillId="32" borderId="0" xfId="140" applyNumberFormat="1" applyFont="1" applyFill="1" applyAlignment="1">
      <alignment horizontal="center" vertical="center"/>
    </xf>
    <xf numFmtId="10" fontId="16" fillId="0" borderId="0" xfId="0" applyNumberFormat="1" applyFont="1" applyAlignment="1">
      <alignment vertical="center"/>
    </xf>
    <xf numFmtId="0" fontId="60" fillId="18" borderId="0" xfId="0" applyFont="1" applyFill="1" applyBorder="1" applyAlignment="1">
      <alignment horizontal="left" vertical="center"/>
    </xf>
    <xf numFmtId="0" fontId="37" fillId="18" borderId="0" xfId="0" applyFont="1" applyFill="1" applyAlignment="1">
      <alignment horizontal="left" vertical="center"/>
    </xf>
    <xf numFmtId="0" fontId="96" fillId="4" borderId="0" xfId="0" applyFont="1" applyFill="1" applyAlignment="1">
      <alignment horizontal="left" vertical="center"/>
    </xf>
    <xf numFmtId="0" fontId="0" fillId="38" borderId="0" xfId="0" applyFill="1" applyBorder="1" applyAlignment="1">
      <alignment horizontal="left" vertical="center"/>
    </xf>
    <xf numFmtId="0" fontId="0" fillId="38" borderId="0" xfId="0" applyFill="1" applyBorder="1" applyAlignment="1">
      <alignment horizontal="center" vertical="center"/>
    </xf>
    <xf numFmtId="0" fontId="0" fillId="38" borderId="0" xfId="0" applyFill="1" applyBorder="1"/>
    <xf numFmtId="0" fontId="0" fillId="0" borderId="0" xfId="0" applyBorder="1" applyAlignment="1">
      <alignment horizontal="left" vertical="center"/>
    </xf>
    <xf numFmtId="0" fontId="0" fillId="0" borderId="0" xfId="0" applyBorder="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2" borderId="0" xfId="0" applyFill="1" applyBorder="1" applyAlignment="1">
      <alignment horizontal="center" vertical="center"/>
    </xf>
    <xf numFmtId="0" fontId="0" fillId="2" borderId="9" xfId="0" applyFill="1" applyBorder="1" applyAlignment="1">
      <alignment horizontal="center" vertical="center"/>
    </xf>
    <xf numFmtId="0" fontId="0" fillId="0" borderId="9" xfId="0" applyBorder="1" applyAlignment="1">
      <alignment horizontal="center" vertical="center"/>
    </xf>
    <xf numFmtId="0" fontId="0" fillId="6" borderId="0" xfId="0" applyFill="1" applyBorder="1" applyAlignment="1">
      <alignment horizontal="center" vertical="center"/>
    </xf>
    <xf numFmtId="0" fontId="0" fillId="0" borderId="10" xfId="0" applyBorder="1" applyAlignment="1">
      <alignment horizontal="center" vertical="center"/>
    </xf>
    <xf numFmtId="0" fontId="0" fillId="6" borderId="11" xfId="0" applyFill="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9" fillId="19" borderId="0" xfId="0" applyFont="1" applyFill="1" applyAlignment="1">
      <alignment vertical="center"/>
    </xf>
    <xf numFmtId="0" fontId="0" fillId="19" borderId="0" xfId="0" applyFill="1" applyAlignment="1">
      <alignment vertical="center"/>
    </xf>
    <xf numFmtId="0" fontId="37" fillId="9" borderId="0" xfId="0" applyFont="1" applyFill="1" applyAlignment="1">
      <alignment vertical="center" wrapText="1"/>
    </xf>
    <xf numFmtId="0" fontId="59" fillId="18" borderId="0" xfId="0" applyFont="1" applyFill="1" applyAlignment="1">
      <alignment vertical="center" wrapText="1"/>
    </xf>
    <xf numFmtId="0" fontId="37" fillId="18" borderId="0" xfId="0" applyFont="1" applyFill="1" applyAlignment="1">
      <alignment vertical="center" wrapText="1"/>
    </xf>
    <xf numFmtId="0" fontId="37" fillId="18" borderId="0" xfId="0" applyFont="1" applyFill="1" applyBorder="1" applyAlignment="1">
      <alignment vertical="center" wrapText="1"/>
    </xf>
    <xf numFmtId="185" fontId="89" fillId="18" borderId="0" xfId="0" applyNumberFormat="1" applyFont="1" applyFill="1" applyAlignment="1">
      <alignment vertical="center" wrapText="1"/>
    </xf>
    <xf numFmtId="186" fontId="90" fillId="18" borderId="0" xfId="140" applyNumberFormat="1" applyFont="1" applyFill="1" applyAlignment="1">
      <alignment vertical="center" wrapText="1"/>
    </xf>
    <xf numFmtId="185" fontId="80" fillId="18" borderId="0" xfId="0" applyNumberFormat="1" applyFont="1" applyFill="1" applyAlignment="1">
      <alignment vertical="center" wrapText="1"/>
    </xf>
    <xf numFmtId="185" fontId="83" fillId="18" borderId="0" xfId="0" applyNumberFormat="1" applyFont="1" applyFill="1" applyAlignment="1">
      <alignment vertical="center" wrapText="1"/>
    </xf>
    <xf numFmtId="185" fontId="81" fillId="18" borderId="0" xfId="0" applyNumberFormat="1" applyFont="1" applyFill="1" applyAlignment="1">
      <alignment vertical="center" wrapText="1"/>
    </xf>
    <xf numFmtId="186" fontId="82" fillId="18" borderId="0" xfId="140" applyNumberFormat="1" applyFont="1" applyFill="1" applyAlignment="1">
      <alignment vertical="center" wrapText="1"/>
    </xf>
    <xf numFmtId="0" fontId="37" fillId="0" borderId="0" xfId="0" applyFont="1" applyAlignment="1">
      <alignment vertical="center" wrapText="1"/>
    </xf>
    <xf numFmtId="0" fontId="53" fillId="18" borderId="0" xfId="0" applyFont="1" applyFill="1" applyBorder="1" applyAlignment="1">
      <alignment horizontal="center" vertical="center"/>
    </xf>
    <xf numFmtId="0" fontId="0" fillId="3" borderId="11" xfId="0" applyFill="1" applyBorder="1" applyAlignment="1">
      <alignment horizontal="center" vertical="center"/>
    </xf>
    <xf numFmtId="9" fontId="37" fillId="0" borderId="0" xfId="112" applyNumberFormat="1" applyFont="1"/>
    <xf numFmtId="9" fontId="0" fillId="2" borderId="0" xfId="0" applyNumberFormat="1" applyFill="1" applyAlignment="1">
      <alignment horizontal="center" vertical="center"/>
    </xf>
    <xf numFmtId="1" fontId="49" fillId="0" borderId="0" xfId="0" applyNumberFormat="1" applyFont="1"/>
    <xf numFmtId="179" fontId="49" fillId="0" borderId="0" xfId="140" applyNumberFormat="1" applyFont="1"/>
    <xf numFmtId="0" fontId="99" fillId="18" borderId="0" xfId="0" applyFont="1" applyFill="1" applyBorder="1" applyAlignment="1">
      <alignment vertical="center" wrapText="1"/>
    </xf>
    <xf numFmtId="0" fontId="99" fillId="18" borderId="0" xfId="0" applyFont="1" applyFill="1" applyAlignment="1">
      <alignment vertical="center" wrapText="1"/>
    </xf>
    <xf numFmtId="9" fontId="0" fillId="32" borderId="0" xfId="0" applyNumberFormat="1" applyFill="1" applyAlignment="1">
      <alignment horizontal="center" vertical="center"/>
    </xf>
    <xf numFmtId="0" fontId="102" fillId="18" borderId="0" xfId="0" applyFont="1" applyFill="1" applyAlignment="1">
      <alignment vertical="center"/>
    </xf>
    <xf numFmtId="0" fontId="56" fillId="9" borderId="0" xfId="0" applyFont="1" applyFill="1" applyAlignment="1" applyProtection="1">
      <alignment vertical="center"/>
    </xf>
    <xf numFmtId="0" fontId="101" fillId="18" borderId="0" xfId="0" applyFont="1" applyFill="1" applyBorder="1" applyAlignment="1">
      <alignment vertical="center" wrapText="1"/>
    </xf>
    <xf numFmtId="185" fontId="0" fillId="18" borderId="47" xfId="0" applyNumberFormat="1" applyFont="1" applyFill="1" applyBorder="1" applyAlignment="1">
      <alignment vertical="center"/>
    </xf>
    <xf numFmtId="185" fontId="0" fillId="18" borderId="48" xfId="0" applyNumberFormat="1" applyFont="1" applyFill="1" applyBorder="1" applyAlignment="1">
      <alignment vertical="center"/>
    </xf>
    <xf numFmtId="186" fontId="0" fillId="6" borderId="0" xfId="140" applyNumberFormat="1" applyFont="1" applyFill="1" applyBorder="1" applyAlignment="1">
      <alignment vertical="center"/>
    </xf>
    <xf numFmtId="0" fontId="97" fillId="40" borderId="0" xfId="0" applyFont="1" applyFill="1" applyBorder="1" applyAlignment="1">
      <alignment horizontal="right" vertical="center"/>
    </xf>
    <xf numFmtId="0" fontId="100" fillId="40" borderId="0" xfId="0" applyFont="1" applyFill="1" applyBorder="1" applyAlignment="1">
      <alignment horizontal="center" vertical="center"/>
    </xf>
    <xf numFmtId="0" fontId="97" fillId="3" borderId="0" xfId="0" applyFont="1" applyFill="1" applyBorder="1" applyAlignment="1">
      <alignment horizontal="center" vertical="center"/>
    </xf>
    <xf numFmtId="9" fontId="49" fillId="38" borderId="0" xfId="140" applyFont="1" applyFill="1"/>
    <xf numFmtId="0" fontId="103" fillId="9" borderId="0" xfId="0" applyFont="1" applyFill="1" applyAlignment="1">
      <alignment horizontal="right" vertical="center" wrapText="1"/>
    </xf>
    <xf numFmtId="184" fontId="0" fillId="47" borderId="0" xfId="0" applyNumberFormat="1" applyFill="1" applyAlignment="1">
      <alignment horizontal="center" vertical="center"/>
    </xf>
    <xf numFmtId="1" fontId="0" fillId="47" borderId="0" xfId="140" applyNumberFormat="1" applyFont="1" applyFill="1" applyAlignment="1">
      <alignment horizontal="center" vertical="center"/>
    </xf>
    <xf numFmtId="179" fontId="0" fillId="47" borderId="0" xfId="140" applyNumberFormat="1" applyFont="1" applyFill="1" applyAlignment="1">
      <alignment vertical="center"/>
    </xf>
    <xf numFmtId="0" fontId="53" fillId="18" borderId="0" xfId="0" applyFont="1" applyFill="1" applyAlignment="1">
      <alignment horizontal="right" vertical="center"/>
    </xf>
    <xf numFmtId="2" fontId="0" fillId="47" borderId="0" xfId="140" applyNumberFormat="1" applyFont="1" applyFill="1" applyAlignment="1">
      <alignment vertical="center"/>
    </xf>
    <xf numFmtId="0" fontId="53" fillId="18" borderId="32" xfId="0" applyFont="1" applyFill="1" applyBorder="1" applyAlignment="1">
      <alignment horizontal="left" vertical="center"/>
    </xf>
    <xf numFmtId="0" fontId="87" fillId="18" borderId="0" xfId="0" quotePrefix="1" applyFont="1" applyFill="1" applyAlignment="1">
      <alignment vertical="center"/>
    </xf>
    <xf numFmtId="0" fontId="87" fillId="18" borderId="0" xfId="0" applyFont="1" applyFill="1" applyAlignment="1">
      <alignment vertical="center"/>
    </xf>
    <xf numFmtId="0" fontId="85" fillId="18" borderId="0" xfId="0" applyFont="1" applyFill="1" applyAlignment="1">
      <alignment horizontal="left" vertical="center"/>
    </xf>
    <xf numFmtId="0" fontId="85" fillId="18" borderId="0" xfId="0" applyFont="1" applyFill="1" applyAlignment="1">
      <alignment vertical="center"/>
    </xf>
    <xf numFmtId="0" fontId="0" fillId="32" borderId="0" xfId="0" quotePrefix="1" applyFill="1" applyAlignment="1">
      <alignment horizontal="center" vertical="center"/>
    </xf>
    <xf numFmtId="0" fontId="104" fillId="18" borderId="0" xfId="0" applyFont="1" applyFill="1" applyBorder="1" applyAlignment="1">
      <alignment vertical="center" wrapText="1"/>
    </xf>
    <xf numFmtId="0" fontId="0" fillId="9" borderId="0" xfId="0" applyFont="1" applyFill="1" applyAlignment="1" applyProtection="1">
      <alignment horizontal="right" vertical="center"/>
    </xf>
    <xf numFmtId="9" fontId="0" fillId="0" borderId="0" xfId="140" applyFont="1" applyFill="1" applyAlignment="1">
      <alignment horizontal="center" vertical="center"/>
    </xf>
    <xf numFmtId="0" fontId="49" fillId="9" borderId="0" xfId="0" applyFont="1" applyFill="1" applyAlignment="1">
      <alignment horizontal="left" vertical="center" wrapText="1"/>
    </xf>
    <xf numFmtId="0" fontId="105" fillId="18" borderId="0" xfId="0" applyFont="1" applyFill="1" applyBorder="1" applyAlignment="1" applyProtection="1">
      <alignment horizontal="center" vertical="center"/>
    </xf>
    <xf numFmtId="5" fontId="0" fillId="18" borderId="19" xfId="0" applyNumberFormat="1" applyFont="1" applyFill="1" applyBorder="1" applyAlignment="1">
      <alignment horizontal="center" vertical="center"/>
    </xf>
    <xf numFmtId="9" fontId="16" fillId="39" borderId="0" xfId="0" applyNumberFormat="1" applyFont="1" applyFill="1" applyAlignment="1">
      <alignment horizontal="center" vertical="center"/>
    </xf>
    <xf numFmtId="0" fontId="97" fillId="3" borderId="40" xfId="0" applyFont="1" applyFill="1" applyBorder="1" applyAlignment="1">
      <alignment vertical="center" wrapText="1"/>
    </xf>
    <xf numFmtId="0" fontId="98" fillId="3" borderId="41" xfId="0" applyFont="1" applyFill="1" applyBorder="1" applyAlignment="1">
      <alignment vertical="center" wrapText="1"/>
    </xf>
    <xf numFmtId="0" fontId="12" fillId="3" borderId="41" xfId="0" applyFont="1" applyFill="1" applyBorder="1" applyAlignment="1">
      <alignment vertical="center" wrapText="1"/>
    </xf>
    <xf numFmtId="188" fontId="0" fillId="32" borderId="0" xfId="0" applyNumberFormat="1" applyFill="1" applyAlignment="1">
      <alignment horizontal="center" vertical="center"/>
    </xf>
    <xf numFmtId="9" fontId="49" fillId="0" borderId="0" xfId="140" applyFont="1"/>
    <xf numFmtId="9" fontId="49" fillId="0" borderId="0" xfId="140" applyNumberFormat="1" applyFont="1"/>
    <xf numFmtId="0" fontId="37" fillId="18" borderId="0" xfId="0" applyFont="1" applyFill="1" applyAlignment="1">
      <alignment horizontal="center" vertical="center"/>
    </xf>
    <xf numFmtId="184" fontId="0" fillId="39" borderId="25" xfId="0" applyNumberFormat="1" applyFill="1" applyBorder="1" applyAlignment="1">
      <alignment horizontal="center" vertical="center"/>
    </xf>
    <xf numFmtId="184" fontId="0" fillId="39" borderId="0" xfId="0" applyNumberFormat="1" applyFill="1" applyBorder="1" applyAlignment="1">
      <alignment horizontal="center" vertical="center"/>
    </xf>
    <xf numFmtId="184" fontId="0" fillId="39" borderId="26" xfId="0" applyNumberFormat="1" applyFill="1" applyBorder="1" applyAlignment="1">
      <alignment horizontal="center" vertical="center"/>
    </xf>
    <xf numFmtId="0" fontId="0" fillId="0" borderId="0" xfId="0" applyFill="1" applyBorder="1" applyAlignment="1">
      <alignment horizontal="center" vertical="center"/>
    </xf>
    <xf numFmtId="3" fontId="16" fillId="0" borderId="0" xfId="0" applyNumberFormat="1" applyFont="1" applyBorder="1" applyAlignment="1">
      <alignment horizontal="center" vertical="center"/>
    </xf>
    <xf numFmtId="3" fontId="0" fillId="44" borderId="25" xfId="0" applyNumberFormat="1" applyFill="1" applyBorder="1" applyAlignment="1">
      <alignment horizontal="center" vertical="center"/>
    </xf>
    <xf numFmtId="10" fontId="16" fillId="0" borderId="0" xfId="140" applyNumberFormat="1" applyFont="1" applyAlignment="1">
      <alignment vertical="center"/>
    </xf>
    <xf numFmtId="185" fontId="16" fillId="18" borderId="0" xfId="0" applyNumberFormat="1" applyFont="1" applyFill="1" applyBorder="1" applyAlignment="1">
      <alignment vertical="center"/>
    </xf>
    <xf numFmtId="179" fontId="37" fillId="3" borderId="24" xfId="140" applyNumberFormat="1" applyFont="1" applyFill="1" applyBorder="1" applyAlignment="1">
      <alignment horizontal="center"/>
    </xf>
    <xf numFmtId="184" fontId="37" fillId="0" borderId="0" xfId="112" applyNumberFormat="1" applyFont="1"/>
    <xf numFmtId="9" fontId="37" fillId="0" borderId="0" xfId="140" applyFont="1"/>
    <xf numFmtId="0" fontId="57" fillId="34" borderId="0" xfId="0" applyFont="1" applyFill="1" applyAlignment="1">
      <alignment vertical="center"/>
    </xf>
    <xf numFmtId="0" fontId="95" fillId="34" borderId="0" xfId="0" applyFont="1" applyFill="1" applyAlignment="1">
      <alignment vertical="center"/>
    </xf>
    <xf numFmtId="0" fontId="0" fillId="34" borderId="0" xfId="0" applyFont="1" applyFill="1" applyAlignment="1">
      <alignment vertical="center"/>
    </xf>
    <xf numFmtId="0" fontId="16" fillId="34" borderId="0" xfId="0" applyFont="1" applyFill="1" applyAlignment="1">
      <alignment vertical="center"/>
    </xf>
    <xf numFmtId="0" fontId="106" fillId="34" borderId="0" xfId="0" applyFont="1" applyFill="1" applyAlignment="1">
      <alignment vertical="center"/>
    </xf>
    <xf numFmtId="0" fontId="107" fillId="34" borderId="0" xfId="0" applyFont="1" applyFill="1" applyAlignment="1">
      <alignment vertical="center"/>
    </xf>
    <xf numFmtId="0" fontId="14" fillId="34" borderId="0" xfId="0" applyFont="1" applyFill="1" applyAlignment="1">
      <alignment vertical="center"/>
    </xf>
    <xf numFmtId="179" fontId="37" fillId="26" borderId="25" xfId="140" applyNumberFormat="1" applyFont="1" applyFill="1" applyBorder="1" applyAlignment="1">
      <alignment horizontal="center"/>
    </xf>
    <xf numFmtId="179" fontId="49" fillId="38" borderId="0" xfId="140" applyNumberFormat="1" applyFont="1" applyFill="1"/>
    <xf numFmtId="179" fontId="0" fillId="0" borderId="0" xfId="140" applyNumberFormat="1" applyFont="1" applyBorder="1" applyAlignment="1">
      <alignment horizontal="center"/>
    </xf>
    <xf numFmtId="0" fontId="108" fillId="3" borderId="41" xfId="0" applyFont="1" applyFill="1" applyBorder="1" applyAlignment="1">
      <alignment vertical="center" wrapText="1"/>
    </xf>
    <xf numFmtId="0" fontId="109" fillId="18" borderId="0" xfId="0" applyFont="1" applyFill="1" applyBorder="1" applyAlignment="1">
      <alignment vertical="center" wrapText="1"/>
    </xf>
    <xf numFmtId="185" fontId="110" fillId="18" borderId="0" xfId="0" applyNumberFormat="1" applyFont="1" applyFill="1" applyAlignment="1">
      <alignment vertical="center" wrapText="1"/>
    </xf>
    <xf numFmtId="0" fontId="57" fillId="34" borderId="0" xfId="0" applyFont="1" applyFill="1" applyAlignment="1">
      <alignment horizontal="left" vertical="center"/>
    </xf>
    <xf numFmtId="0" fontId="111" fillId="34" borderId="0" xfId="0" applyFont="1" applyFill="1" applyAlignment="1">
      <alignment horizontal="left" vertical="center"/>
    </xf>
    <xf numFmtId="0" fontId="103" fillId="34" borderId="0" xfId="0" applyFont="1" applyFill="1" applyAlignment="1">
      <alignment horizontal="left" vertical="center"/>
    </xf>
    <xf numFmtId="189" fontId="12" fillId="3" borderId="41" xfId="0" applyNumberFormat="1" applyFont="1" applyFill="1" applyBorder="1" applyAlignment="1">
      <alignment vertical="center" wrapText="1"/>
    </xf>
    <xf numFmtId="189" fontId="85" fillId="18" borderId="0" xfId="0" applyNumberFormat="1" applyFont="1" applyFill="1" applyBorder="1" applyAlignment="1">
      <alignment horizontal="center" vertical="center"/>
    </xf>
    <xf numFmtId="189" fontId="37" fillId="18" borderId="0" xfId="0" applyNumberFormat="1" applyFont="1" applyFill="1" applyAlignment="1">
      <alignment vertical="center"/>
    </xf>
    <xf numFmtId="0" fontId="112" fillId="34" borderId="0" xfId="0" applyFont="1" applyFill="1" applyAlignment="1">
      <alignment horizontal="left" vertical="center"/>
    </xf>
    <xf numFmtId="0" fontId="113" fillId="34" borderId="0" xfId="0" applyFont="1" applyFill="1" applyAlignment="1">
      <alignment horizontal="left" vertical="center"/>
    </xf>
    <xf numFmtId="0" fontId="114" fillId="34" borderId="0" xfId="0" applyFont="1" applyFill="1" applyAlignment="1">
      <alignment horizontal="left" vertical="center"/>
    </xf>
    <xf numFmtId="0" fontId="12" fillId="3" borderId="41" xfId="0" applyNumberFormat="1" applyFont="1" applyFill="1" applyBorder="1" applyAlignment="1">
      <alignment vertical="center" wrapText="1"/>
    </xf>
    <xf numFmtId="0" fontId="85" fillId="18" borderId="0" xfId="0" applyNumberFormat="1" applyFont="1" applyFill="1" applyBorder="1" applyAlignment="1">
      <alignment horizontal="center" vertical="center"/>
    </xf>
    <xf numFmtId="0" fontId="109" fillId="18" borderId="0" xfId="0" applyNumberFormat="1" applyFont="1" applyFill="1" applyBorder="1" applyAlignment="1">
      <alignment horizontal="center" vertical="center"/>
    </xf>
    <xf numFmtId="0" fontId="109" fillId="18" borderId="0" xfId="0" applyNumberFormat="1" applyFont="1" applyFill="1" applyAlignment="1">
      <alignment vertical="center"/>
    </xf>
    <xf numFmtId="0" fontId="115" fillId="18" borderId="0" xfId="0" applyNumberFormat="1" applyFont="1" applyFill="1" applyAlignment="1">
      <alignment vertical="center"/>
    </xf>
    <xf numFmtId="0" fontId="16" fillId="34" borderId="0" xfId="0" applyFont="1" applyFill="1" applyAlignment="1">
      <alignment horizontal="right" vertical="center"/>
    </xf>
    <xf numFmtId="0" fontId="38" fillId="9" borderId="0" xfId="0" applyFont="1" applyFill="1" applyAlignment="1">
      <alignment vertical="center"/>
    </xf>
    <xf numFmtId="0" fontId="38" fillId="9" borderId="0" xfId="0" applyFont="1" applyFill="1" applyAlignment="1">
      <alignment horizontal="right" vertical="center"/>
    </xf>
    <xf numFmtId="10" fontId="0" fillId="0" borderId="0" xfId="140" applyNumberFormat="1" applyFont="1" applyAlignment="1">
      <alignment horizontal="center" vertical="center"/>
    </xf>
    <xf numFmtId="9" fontId="0" fillId="47" borderId="0" xfId="0" applyNumberFormat="1" applyFill="1" applyAlignment="1">
      <alignment horizontal="center" vertical="center"/>
    </xf>
    <xf numFmtId="0" fontId="85" fillId="18" borderId="0" xfId="0" applyFont="1" applyFill="1" applyBorder="1" applyAlignment="1">
      <alignment horizontal="right" vertical="center"/>
    </xf>
    <xf numFmtId="184" fontId="49" fillId="18" borderId="0" xfId="0" applyNumberFormat="1" applyFont="1" applyFill="1" applyBorder="1" applyAlignment="1">
      <alignment horizontal="center" vertical="center"/>
    </xf>
    <xf numFmtId="1" fontId="0" fillId="6" borderId="0" xfId="0" applyNumberFormat="1" applyFill="1" applyAlignment="1">
      <alignment horizontal="center" vertical="center"/>
    </xf>
    <xf numFmtId="1" fontId="0" fillId="19" borderId="0" xfId="0" applyNumberFormat="1" applyFill="1" applyAlignment="1">
      <alignment vertical="center"/>
    </xf>
    <xf numFmtId="185" fontId="16" fillId="37" borderId="0" xfId="0" applyNumberFormat="1" applyFont="1" applyFill="1" applyBorder="1" applyAlignment="1">
      <alignment vertical="center"/>
    </xf>
    <xf numFmtId="185" fontId="88" fillId="37" borderId="0" xfId="0" applyNumberFormat="1" applyFont="1" applyFill="1" applyBorder="1" applyAlignment="1">
      <alignment vertical="center"/>
    </xf>
    <xf numFmtId="185" fontId="88" fillId="37" borderId="45" xfId="0" applyNumberFormat="1" applyFont="1" applyFill="1" applyBorder="1" applyAlignment="1">
      <alignment vertical="center"/>
    </xf>
    <xf numFmtId="185" fontId="89" fillId="37" borderId="0" xfId="0" applyNumberFormat="1" applyFont="1" applyFill="1" applyBorder="1" applyAlignment="1">
      <alignment vertical="center"/>
    </xf>
    <xf numFmtId="0" fontId="0" fillId="47" borderId="0" xfId="0" applyFill="1"/>
    <xf numFmtId="0" fontId="87" fillId="32" borderId="39" xfId="0" applyFont="1" applyFill="1" applyBorder="1" applyAlignment="1" applyProtection="1">
      <alignment horizontal="center" vertical="center" wrapText="1"/>
      <protection locked="0"/>
    </xf>
    <xf numFmtId="9" fontId="0" fillId="39" borderId="0" xfId="0" applyNumberFormat="1" applyFill="1" applyAlignment="1">
      <alignment vertical="center"/>
    </xf>
    <xf numFmtId="182" fontId="0" fillId="0" borderId="0" xfId="0" applyNumberFormat="1" applyAlignment="1">
      <alignment vertical="center"/>
    </xf>
    <xf numFmtId="190" fontId="0" fillId="0" borderId="0" xfId="0" applyNumberFormat="1" applyAlignment="1">
      <alignment vertical="center"/>
    </xf>
    <xf numFmtId="10" fontId="0" fillId="0" borderId="0" xfId="140" applyNumberFormat="1" applyFont="1" applyAlignment="1">
      <alignment vertical="center"/>
    </xf>
    <xf numFmtId="179" fontId="0" fillId="0" borderId="0" xfId="140" applyNumberFormat="1" applyFont="1" applyFill="1" applyAlignment="1">
      <alignment vertical="center"/>
    </xf>
    <xf numFmtId="179" fontId="0" fillId="0" borderId="0" xfId="0" applyNumberFormat="1" applyFont="1" applyFill="1" applyAlignment="1">
      <alignment vertical="center"/>
    </xf>
    <xf numFmtId="179" fontId="0" fillId="0" borderId="0" xfId="0" applyNumberFormat="1" applyFill="1" applyAlignment="1">
      <alignment vertical="center"/>
    </xf>
    <xf numFmtId="9" fontId="0" fillId="0" borderId="0" xfId="0" applyNumberFormat="1" applyFill="1" applyAlignment="1">
      <alignment vertical="center"/>
    </xf>
    <xf numFmtId="10" fontId="16" fillId="43" borderId="0" xfId="0" applyNumberFormat="1" applyFont="1" applyFill="1" applyAlignment="1">
      <alignment vertical="center"/>
    </xf>
    <xf numFmtId="10" fontId="0" fillId="43" borderId="0" xfId="0" applyNumberFormat="1" applyFill="1" applyAlignment="1">
      <alignment vertical="center"/>
    </xf>
    <xf numFmtId="0" fontId="0" fillId="18" borderId="47" xfId="0" applyFont="1" applyFill="1" applyBorder="1" applyAlignment="1">
      <alignment vertical="center"/>
    </xf>
    <xf numFmtId="185" fontId="0" fillId="18" borderId="45" xfId="0" applyNumberFormat="1" applyFont="1" applyFill="1" applyBorder="1"/>
    <xf numFmtId="185" fontId="0" fillId="18" borderId="0" xfId="0" applyNumberFormat="1" applyFont="1" applyFill="1"/>
    <xf numFmtId="186" fontId="68" fillId="18" borderId="0" xfId="140" applyNumberFormat="1" applyFont="1" applyFill="1"/>
    <xf numFmtId="185" fontId="0" fillId="18" borderId="0" xfId="0" applyNumberFormat="1" applyFont="1" applyFill="1" applyBorder="1"/>
    <xf numFmtId="185" fontId="16" fillId="18" borderId="0" xfId="0" applyNumberFormat="1" applyFont="1" applyFill="1" applyBorder="1"/>
    <xf numFmtId="186" fontId="68" fillId="18" borderId="0" xfId="0" applyNumberFormat="1" applyFont="1" applyFill="1" applyBorder="1"/>
    <xf numFmtId="3" fontId="37" fillId="3" borderId="24" xfId="140" applyNumberFormat="1" applyFont="1" applyFill="1" applyBorder="1" applyAlignment="1">
      <alignment horizontal="center"/>
    </xf>
    <xf numFmtId="2" fontId="0" fillId="0" borderId="0" xfId="0" applyNumberFormat="1" applyAlignment="1">
      <alignment horizontal="left" vertical="center"/>
    </xf>
    <xf numFmtId="37" fontId="37" fillId="3" borderId="15" xfId="112" applyNumberFormat="1" applyFont="1" applyFill="1" applyBorder="1" applyAlignment="1">
      <alignment horizontal="center"/>
    </xf>
    <xf numFmtId="0" fontId="52" fillId="4" borderId="0" xfId="173" applyFont="1" applyFill="1"/>
    <xf numFmtId="0" fontId="11" fillId="4" borderId="0" xfId="173" applyFont="1" applyFill="1"/>
    <xf numFmtId="0" fontId="42" fillId="0" borderId="0" xfId="174" applyFont="1"/>
    <xf numFmtId="0" fontId="42" fillId="0" borderId="0" xfId="174" applyFont="1" applyFill="1" applyBorder="1"/>
    <xf numFmtId="0" fontId="65" fillId="0" borderId="0" xfId="163" applyFont="1" applyAlignment="1">
      <alignment horizontal="left" vertical="center"/>
    </xf>
    <xf numFmtId="0" fontId="65" fillId="0" borderId="0" xfId="163" applyFont="1" applyAlignment="1">
      <alignment horizontal="center" vertical="center"/>
    </xf>
    <xf numFmtId="0" fontId="42" fillId="0" borderId="0" xfId="173" applyFont="1"/>
    <xf numFmtId="0" fontId="11" fillId="5" borderId="0" xfId="173" applyFont="1" applyFill="1" applyAlignment="1">
      <alignment horizontal="left"/>
    </xf>
    <xf numFmtId="0" fontId="11" fillId="5" borderId="0" xfId="173" applyFont="1" applyFill="1"/>
    <xf numFmtId="0" fontId="11" fillId="5" borderId="0" xfId="173" applyFont="1" applyFill="1" applyAlignment="1">
      <alignment horizontal="center"/>
    </xf>
    <xf numFmtId="0" fontId="16" fillId="0" borderId="0" xfId="173" applyFont="1"/>
    <xf numFmtId="0" fontId="66" fillId="0" borderId="0" xfId="173" applyFont="1"/>
    <xf numFmtId="0" fontId="42" fillId="43" borderId="0" xfId="173" applyFont="1" applyFill="1"/>
    <xf numFmtId="0" fontId="47" fillId="0" borderId="0" xfId="173" quotePrefix="1" applyFont="1"/>
    <xf numFmtId="0" fontId="42" fillId="6" borderId="0" xfId="173" applyFont="1" applyFill="1"/>
    <xf numFmtId="0" fontId="11" fillId="50" borderId="0" xfId="173" applyFont="1" applyFill="1"/>
    <xf numFmtId="0" fontId="11" fillId="38" borderId="0" xfId="173" applyFont="1" applyFill="1"/>
    <xf numFmtId="0" fontId="47" fillId="0" borderId="0" xfId="173" applyFont="1"/>
    <xf numFmtId="0" fontId="47" fillId="0" borderId="0" xfId="173" applyFont="1" applyFill="1"/>
    <xf numFmtId="0" fontId="66" fillId="0" borderId="0" xfId="173" applyFont="1" applyFill="1" applyAlignment="1">
      <alignment horizontal="right"/>
    </xf>
    <xf numFmtId="1" fontId="66" fillId="0" borderId="0" xfId="173" applyNumberFormat="1" applyFont="1" applyFill="1"/>
    <xf numFmtId="0" fontId="52" fillId="5" borderId="0" xfId="173" applyFont="1" applyFill="1" applyAlignment="1">
      <alignment vertical="center"/>
    </xf>
    <xf numFmtId="0" fontId="11" fillId="5" borderId="0" xfId="173" applyFont="1" applyFill="1" applyAlignment="1">
      <alignment vertical="center"/>
    </xf>
    <xf numFmtId="0" fontId="42" fillId="51" borderId="19" xfId="173" applyFont="1" applyFill="1" applyBorder="1"/>
    <xf numFmtId="0" fontId="5" fillId="0" borderId="0" xfId="173"/>
    <xf numFmtId="0" fontId="66" fillId="0" borderId="0" xfId="173" quotePrefix="1" applyFont="1"/>
    <xf numFmtId="0" fontId="42" fillId="43" borderId="19" xfId="173" applyFont="1" applyFill="1" applyBorder="1" applyAlignment="1">
      <alignment vertical="center" wrapText="1"/>
    </xf>
    <xf numFmtId="0" fontId="16" fillId="0" borderId="0" xfId="173" applyFont="1" applyFill="1" applyAlignment="1">
      <alignment horizontal="center" vertical="center" wrapText="1"/>
    </xf>
    <xf numFmtId="0" fontId="42" fillId="0" borderId="0" xfId="173" applyFont="1" applyAlignment="1">
      <alignment horizontal="center" vertical="center"/>
    </xf>
    <xf numFmtId="0" fontId="42" fillId="0" borderId="0" xfId="173" applyFont="1" applyAlignment="1">
      <alignment horizontal="left" vertical="center"/>
    </xf>
    <xf numFmtId="0" fontId="66" fillId="0" borderId="0" xfId="173" quotePrefix="1" applyFont="1" applyAlignment="1">
      <alignment horizontal="center"/>
    </xf>
    <xf numFmtId="0" fontId="47" fillId="6" borderId="19" xfId="173" quotePrefix="1" applyFont="1" applyFill="1" applyBorder="1" applyAlignment="1">
      <alignment horizontal="center" vertical="center"/>
    </xf>
    <xf numFmtId="0" fontId="42" fillId="43" borderId="19" xfId="173" applyFont="1" applyFill="1" applyBorder="1" applyAlignment="1">
      <alignment horizontal="center" vertical="center" wrapText="1"/>
    </xf>
    <xf numFmtId="0" fontId="5" fillId="0" borderId="19" xfId="173" applyBorder="1"/>
    <xf numFmtId="0" fontId="116" fillId="0" borderId="0" xfId="173" applyFont="1"/>
    <xf numFmtId="0" fontId="42" fillId="6" borderId="0" xfId="173" applyFont="1" applyFill="1" applyAlignment="1">
      <alignment horizontal="center"/>
    </xf>
    <xf numFmtId="0" fontId="0" fillId="43" borderId="19" xfId="173" applyFont="1" applyFill="1" applyBorder="1" applyAlignment="1">
      <alignment horizontal="center" vertical="center" wrapText="1"/>
    </xf>
    <xf numFmtId="0" fontId="0" fillId="43" borderId="19" xfId="173" applyFont="1" applyFill="1" applyBorder="1" applyAlignment="1">
      <alignment vertical="center" wrapText="1"/>
    </xf>
    <xf numFmtId="0" fontId="52" fillId="4" borderId="0" xfId="175" applyFont="1" applyFill="1"/>
    <xf numFmtId="0" fontId="11" fillId="4" borderId="0" xfId="175" applyFont="1" applyFill="1"/>
    <xf numFmtId="0" fontId="42" fillId="9" borderId="0" xfId="176" applyFont="1" applyFill="1"/>
    <xf numFmtId="0" fontId="42" fillId="9" borderId="0" xfId="176" applyFont="1" applyFill="1" applyBorder="1"/>
    <xf numFmtId="0" fontId="42" fillId="9" borderId="0" xfId="176" applyFont="1" applyFill="1" applyAlignment="1"/>
    <xf numFmtId="0" fontId="65" fillId="9" borderId="0" xfId="163" applyFont="1" applyFill="1" applyAlignment="1">
      <alignment horizontal="left" vertical="center"/>
    </xf>
    <xf numFmtId="0" fontId="65" fillId="9" borderId="0" xfId="163" applyFont="1" applyFill="1" applyAlignment="1">
      <alignment horizontal="center" vertical="center"/>
    </xf>
    <xf numFmtId="0" fontId="42" fillId="9" borderId="0" xfId="175" applyFont="1" applyFill="1"/>
    <xf numFmtId="0" fontId="11" fillId="5" borderId="0" xfId="175" applyFont="1" applyFill="1" applyAlignment="1">
      <alignment horizontal="left"/>
    </xf>
    <xf numFmtId="0" fontId="11" fillId="5" borderId="0" xfId="175" applyFont="1" applyFill="1"/>
    <xf numFmtId="0" fontId="11" fillId="5" borderId="0" xfId="175" applyFont="1" applyFill="1" applyAlignment="1">
      <alignment horizontal="center"/>
    </xf>
    <xf numFmtId="0" fontId="16" fillId="9" borderId="0" xfId="175" applyFont="1" applyFill="1"/>
    <xf numFmtId="0" fontId="66" fillId="9" borderId="0" xfId="175" applyFont="1" applyFill="1"/>
    <xf numFmtId="0" fontId="42" fillId="43" borderId="0" xfId="175" applyFont="1" applyFill="1"/>
    <xf numFmtId="0" fontId="47" fillId="9" borderId="0" xfId="175" quotePrefix="1" applyFont="1" applyFill="1"/>
    <xf numFmtId="0" fontId="42" fillId="6" borderId="0" xfId="175" applyFont="1" applyFill="1"/>
    <xf numFmtId="0" fontId="42" fillId="52" borderId="0" xfId="175" applyFont="1" applyFill="1"/>
    <xf numFmtId="0" fontId="11" fillId="50" borderId="0" xfId="175" applyFont="1" applyFill="1"/>
    <xf numFmtId="0" fontId="11" fillId="38" borderId="0" xfId="175" applyFont="1" applyFill="1"/>
    <xf numFmtId="0" fontId="42" fillId="0" borderId="0" xfId="175" applyFont="1"/>
    <xf numFmtId="0" fontId="11" fillId="5" borderId="0" xfId="175" applyFont="1" applyFill="1" applyAlignment="1">
      <alignment vertical="center"/>
    </xf>
    <xf numFmtId="0" fontId="52" fillId="5" borderId="0" xfId="175" applyFont="1" applyFill="1" applyAlignment="1">
      <alignment vertical="center"/>
    </xf>
    <xf numFmtId="0" fontId="4" fillId="9" borderId="0" xfId="175" applyFill="1"/>
    <xf numFmtId="0" fontId="4" fillId="9" borderId="0" xfId="175" applyFill="1" applyAlignment="1">
      <alignment horizontal="center"/>
    </xf>
    <xf numFmtId="0" fontId="4" fillId="9" borderId="0" xfId="175" applyFill="1" applyBorder="1"/>
    <xf numFmtId="0" fontId="4" fillId="9" borderId="0" xfId="175" applyFill="1" applyBorder="1" applyAlignment="1">
      <alignment horizontal="center"/>
    </xf>
    <xf numFmtId="0" fontId="118" fillId="38" borderId="0" xfId="175" applyFont="1" applyFill="1" applyAlignment="1">
      <alignment horizontal="center" vertical="center"/>
    </xf>
    <xf numFmtId="0" fontId="119" fillId="9" borderId="0" xfId="175" applyFont="1" applyFill="1" applyBorder="1"/>
    <xf numFmtId="0" fontId="4" fillId="9" borderId="0" xfId="175" applyFill="1" applyAlignment="1">
      <alignment vertical="top" wrapText="1"/>
    </xf>
    <xf numFmtId="0" fontId="4" fillId="43" borderId="0" xfId="175" applyFont="1" applyFill="1" applyAlignment="1">
      <alignment horizontal="center" vertical="center"/>
    </xf>
    <xf numFmtId="0" fontId="4" fillId="9" borderId="0" xfId="175" applyFill="1" applyAlignment="1">
      <alignment horizontal="left"/>
    </xf>
    <xf numFmtId="0" fontId="4" fillId="43" borderId="0" xfId="176" applyFill="1"/>
    <xf numFmtId="0" fontId="4" fillId="0" borderId="0" xfId="176"/>
    <xf numFmtId="10" fontId="4" fillId="0" borderId="0" xfId="176" applyNumberFormat="1"/>
    <xf numFmtId="9" fontId="4" fillId="0" borderId="0" xfId="176" applyNumberFormat="1"/>
    <xf numFmtId="0" fontId="52" fillId="4" borderId="0" xfId="176" applyFont="1" applyFill="1"/>
    <xf numFmtId="0" fontId="11" fillId="4" borderId="0" xfId="176" applyFont="1" applyFill="1"/>
    <xf numFmtId="0" fontId="11" fillId="5" borderId="0" xfId="176" applyFont="1" applyFill="1" applyAlignment="1">
      <alignment horizontal="left"/>
    </xf>
    <xf numFmtId="0" fontId="11" fillId="5" borderId="0" xfId="176" applyFont="1" applyFill="1"/>
    <xf numFmtId="0" fontId="11" fillId="5" borderId="0" xfId="176" applyFont="1" applyFill="1" applyAlignment="1">
      <alignment horizontal="center"/>
    </xf>
    <xf numFmtId="0" fontId="16" fillId="9" borderId="0" xfId="176" applyFont="1" applyFill="1"/>
    <xf numFmtId="0" fontId="66" fillId="9" borderId="0" xfId="176" applyFont="1" applyFill="1"/>
    <xf numFmtId="0" fontId="42" fillId="43" borderId="0" xfId="176" applyFont="1" applyFill="1"/>
    <xf numFmtId="0" fontId="47" fillId="9" borderId="0" xfId="176" quotePrefix="1" applyFont="1" applyFill="1"/>
    <xf numFmtId="0" fontId="42" fillId="0" borderId="0" xfId="176" applyFont="1"/>
    <xf numFmtId="0" fontId="42" fillId="6" borderId="0" xfId="176" applyFont="1" applyFill="1"/>
    <xf numFmtId="0" fontId="47" fillId="0" borderId="0" xfId="176" quotePrefix="1" applyFont="1"/>
    <xf numFmtId="0" fontId="42" fillId="53" borderId="0" xfId="176" applyFont="1" applyFill="1"/>
    <xf numFmtId="0" fontId="11" fillId="50" borderId="0" xfId="176" applyFont="1" applyFill="1"/>
    <xf numFmtId="0" fontId="11" fillId="38" borderId="0" xfId="176" applyFont="1" applyFill="1"/>
    <xf numFmtId="0" fontId="11" fillId="5" borderId="0" xfId="176" applyFont="1" applyFill="1" applyAlignment="1">
      <alignment vertical="center"/>
    </xf>
    <xf numFmtId="0" fontId="52" fillId="5" borderId="0" xfId="176" applyFont="1" applyFill="1" applyAlignment="1">
      <alignment vertical="center"/>
    </xf>
    <xf numFmtId="0" fontId="4" fillId="9" borderId="0" xfId="176" applyFill="1"/>
    <xf numFmtId="0" fontId="116" fillId="9" borderId="0" xfId="176" applyFont="1" applyFill="1"/>
    <xf numFmtId="0" fontId="116" fillId="9" borderId="0" xfId="176" applyFont="1" applyFill="1" applyAlignment="1">
      <alignment horizontal="center"/>
    </xf>
    <xf numFmtId="0" fontId="4" fillId="9" borderId="0" xfId="176" applyFill="1" applyAlignment="1">
      <alignment horizontal="center"/>
    </xf>
    <xf numFmtId="0" fontId="4" fillId="6" borderId="0" xfId="176" applyFill="1" applyAlignment="1">
      <alignment horizontal="center"/>
    </xf>
    <xf numFmtId="0" fontId="4" fillId="9" borderId="0" xfId="176" applyFill="1" applyAlignment="1">
      <alignment horizontal="center" vertical="center"/>
    </xf>
    <xf numFmtId="0" fontId="4" fillId="43" borderId="0" xfId="176" applyFont="1" applyFill="1" applyAlignment="1">
      <alignment horizontal="center" vertical="center"/>
    </xf>
    <xf numFmtId="0" fontId="116" fillId="9" borderId="0" xfId="176" applyFont="1" applyFill="1" applyAlignment="1">
      <alignment vertical="center"/>
    </xf>
    <xf numFmtId="0" fontId="4" fillId="9" borderId="0" xfId="176" applyFill="1" applyAlignment="1">
      <alignment vertical="center"/>
    </xf>
    <xf numFmtId="0" fontId="116" fillId="9" borderId="0" xfId="176" applyFont="1" applyFill="1" applyAlignment="1">
      <alignment horizontal="center" vertical="center"/>
    </xf>
    <xf numFmtId="0" fontId="4" fillId="9" borderId="0" xfId="176" applyFill="1" applyAlignment="1">
      <alignment horizontal="left"/>
    </xf>
    <xf numFmtId="0" fontId="3" fillId="6" borderId="0" xfId="176" applyFont="1" applyFill="1" applyAlignment="1">
      <alignment horizontal="center"/>
    </xf>
    <xf numFmtId="0" fontId="0" fillId="33" borderId="0" xfId="176" applyFont="1" applyFill="1" applyAlignment="1">
      <alignment horizontal="center"/>
    </xf>
    <xf numFmtId="0" fontId="3" fillId="0" borderId="0" xfId="176" applyFont="1"/>
    <xf numFmtId="0" fontId="116" fillId="43" borderId="0" xfId="176" applyFont="1" applyFill="1"/>
    <xf numFmtId="0" fontId="116" fillId="0" borderId="0" xfId="176" applyFont="1"/>
    <xf numFmtId="0" fontId="2" fillId="43" borderId="0" xfId="176" applyFont="1" applyFill="1" applyAlignment="1">
      <alignment horizontal="center" vertical="center"/>
    </xf>
    <xf numFmtId="0" fontId="2" fillId="43" borderId="0" xfId="176" applyFont="1" applyFill="1"/>
    <xf numFmtId="0" fontId="2" fillId="9" borderId="0" xfId="176" applyFont="1" applyFill="1"/>
    <xf numFmtId="179" fontId="37" fillId="3" borderId="24" xfId="112" applyNumberFormat="1" applyFont="1" applyFill="1" applyBorder="1" applyAlignment="1">
      <alignment horizontal="center"/>
    </xf>
    <xf numFmtId="0" fontId="1" fillId="43" borderId="0" xfId="176" applyFont="1" applyFill="1" applyAlignment="1">
      <alignment horizontal="center" vertical="center"/>
    </xf>
    <xf numFmtId="0" fontId="122" fillId="19" borderId="40" xfId="0" applyFont="1" applyFill="1" applyBorder="1" applyAlignment="1">
      <alignment vertical="center" wrapText="1"/>
    </xf>
    <xf numFmtId="0" fontId="87" fillId="19" borderId="41" xfId="0" applyFont="1" applyFill="1" applyBorder="1" applyAlignment="1">
      <alignment vertical="center" wrapText="1"/>
    </xf>
    <xf numFmtId="0" fontId="109" fillId="19" borderId="41" xfId="0" applyFont="1" applyFill="1" applyBorder="1" applyAlignment="1">
      <alignment vertical="center" wrapText="1"/>
    </xf>
    <xf numFmtId="0" fontId="14" fillId="19" borderId="41" xfId="0" applyFont="1" applyFill="1" applyBorder="1" applyAlignment="1">
      <alignment vertical="center" wrapText="1"/>
    </xf>
    <xf numFmtId="189" fontId="14" fillId="19" borderId="41" xfId="0" applyNumberFormat="1" applyFont="1" applyFill="1" applyBorder="1" applyAlignment="1">
      <alignment vertical="center" wrapText="1"/>
    </xf>
    <xf numFmtId="0" fontId="14" fillId="19" borderId="41" xfId="0" applyNumberFormat="1" applyFont="1" applyFill="1" applyBorder="1" applyAlignment="1">
      <alignment vertical="center" wrapText="1"/>
    </xf>
    <xf numFmtId="9" fontId="11" fillId="3" borderId="0" xfId="0" applyNumberFormat="1" applyFont="1" applyFill="1" applyAlignment="1">
      <alignment horizontal="center" vertical="center"/>
    </xf>
    <xf numFmtId="0" fontId="37" fillId="0" borderId="20" xfId="112" applyFont="1" applyBorder="1" applyAlignment="1">
      <alignment horizontal="center"/>
    </xf>
    <xf numFmtId="0" fontId="56" fillId="9" borderId="0" xfId="0" applyFont="1" applyFill="1" applyAlignment="1">
      <alignment horizontal="right" vertical="center"/>
    </xf>
    <xf numFmtId="0" fontId="85" fillId="32" borderId="43" xfId="0" applyFont="1" applyFill="1" applyBorder="1" applyAlignment="1" applyProtection="1">
      <alignment horizontal="center" vertical="center" wrapText="1"/>
      <protection locked="0"/>
    </xf>
    <xf numFmtId="0" fontId="85" fillId="32" borderId="0" xfId="0" applyFont="1" applyFill="1" applyBorder="1" applyAlignment="1" applyProtection="1">
      <alignment horizontal="center" vertical="center" wrapText="1"/>
      <protection locked="0"/>
    </xf>
    <xf numFmtId="0" fontId="85" fillId="32" borderId="49" xfId="0" applyFont="1" applyFill="1" applyBorder="1" applyAlignment="1" applyProtection="1">
      <alignment horizontal="center" vertical="center" wrapText="1"/>
      <protection locked="0"/>
    </xf>
    <xf numFmtId="0" fontId="85" fillId="32" borderId="50" xfId="0" applyFont="1" applyFill="1" applyBorder="1" applyAlignment="1" applyProtection="1">
      <alignment horizontal="center" vertical="center" wrapText="1"/>
      <protection locked="0"/>
    </xf>
    <xf numFmtId="0" fontId="85" fillId="32" borderId="51" xfId="0" applyFont="1" applyFill="1" applyBorder="1" applyAlignment="1" applyProtection="1">
      <alignment horizontal="center" vertical="center" wrapText="1"/>
      <protection locked="0"/>
    </xf>
    <xf numFmtId="0" fontId="101" fillId="18" borderId="0" xfId="0" applyFont="1" applyFill="1" applyBorder="1" applyAlignment="1">
      <alignment horizontal="center" vertical="center"/>
    </xf>
    <xf numFmtId="0" fontId="4" fillId="9" borderId="0" xfId="175" applyFill="1" applyAlignment="1">
      <alignment horizontal="left" wrapText="1"/>
    </xf>
  </cellXfs>
  <cellStyles count="177">
    <cellStyle name="0" xfId="2"/>
    <cellStyle name="000" xfId="3"/>
    <cellStyle name="000 2" xfId="4"/>
    <cellStyle name="3_D" xfId="5"/>
    <cellStyle name="3_D 2" xfId="6"/>
    <cellStyle name="3_D_BTS_DTK" xfId="7"/>
    <cellStyle name="3_D_BTS_DTK 2" xfId="8"/>
    <cellStyle name="3_D_Tool" xfId="9"/>
    <cellStyle name="3_D_Tool 2" xfId="10"/>
    <cellStyle name="3_DNoColor" xfId="11"/>
    <cellStyle name="3_DNoColor 2" xfId="12"/>
    <cellStyle name="3_DNoColor_BTS_DTK" xfId="13"/>
    <cellStyle name="3_DNoColor_BTS_DTK 2" xfId="14"/>
    <cellStyle name="CellLock" xfId="15"/>
    <cellStyle name="CellLock 2" xfId="16"/>
    <cellStyle name="CellUnlock" xfId="17"/>
    <cellStyle name="CellUnlock 2" xfId="18"/>
    <cellStyle name="Column_Title" xfId="19"/>
    <cellStyle name="Comma" xfId="166" builtinId="3"/>
    <cellStyle name="Comma  - Style1" xfId="20"/>
    <cellStyle name="Comma  - Style2" xfId="21"/>
    <cellStyle name="Comma  - Style3" xfId="22"/>
    <cellStyle name="Comma  - Style4" xfId="23"/>
    <cellStyle name="Comma  - Style5" xfId="24"/>
    <cellStyle name="Comma  - Style6" xfId="25"/>
    <cellStyle name="Comma  - Style7" xfId="26"/>
    <cellStyle name="Comma  - Style8" xfId="27"/>
    <cellStyle name="Comma [0]" xfId="167" builtinId="6"/>
    <cellStyle name="Comma [0] 2" xfId="28"/>
    <cellStyle name="Comma [0] 2 2" xfId="143"/>
    <cellStyle name="Comma [0] 3" xfId="29"/>
    <cellStyle name="Comma [0] 3 2" xfId="30"/>
    <cellStyle name="Comma [0] 3 2 2" xfId="144"/>
    <cellStyle name="Comma [0] 3 3" xfId="145"/>
    <cellStyle name="Comma [0] Centered" xfId="31"/>
    <cellStyle name="Comma [0] Centered 2" xfId="32"/>
    <cellStyle name="Comma 0" xfId="33"/>
    <cellStyle name="Comma 000" xfId="34"/>
    <cellStyle name="Comma 000,0" xfId="35"/>
    <cellStyle name="Comma 000,0 2" xfId="36"/>
    <cellStyle name="Comma 000,000" xfId="37"/>
    <cellStyle name="Comma 000,000 2" xfId="38"/>
    <cellStyle name="Comma 000_Toyota_Dealer_Sim.2004Jul28" xfId="39"/>
    <cellStyle name="Comma 1" xfId="40"/>
    <cellStyle name="Comma 2" xfId="41"/>
    <cellStyle name="Comma 2 2" xfId="146"/>
    <cellStyle name="Comma 3" xfId="42"/>
    <cellStyle name="Comma 3 2" xfId="43"/>
    <cellStyle name="Comma 3 2 2" xfId="147"/>
    <cellStyle name="Comma 3 3" xfId="148"/>
    <cellStyle name="Comma 4" xfId="44"/>
    <cellStyle name="Comma 4 2" xfId="45"/>
    <cellStyle name="Comma 4 2 2" xfId="149"/>
    <cellStyle name="Comma 4 3" xfId="150"/>
    <cellStyle name="Comma 5" xfId="46"/>
    <cellStyle name="Comma 5 2" xfId="47"/>
    <cellStyle name="Comma 5 2 2" xfId="151"/>
    <cellStyle name="Comma 5 3" xfId="152"/>
    <cellStyle name="Comma 6" xfId="48"/>
    <cellStyle name="Comma 6 2" xfId="49"/>
    <cellStyle name="Comma 6 2 2" xfId="153"/>
    <cellStyle name="Comma 6 3" xfId="154"/>
    <cellStyle name="Comma 7" xfId="50"/>
    <cellStyle name="Comma 7 2" xfId="155"/>
    <cellStyle name="Comma 8" xfId="51"/>
    <cellStyle name="Comma 8 2" xfId="156"/>
    <cellStyle name="Comma Centered" xfId="52"/>
    <cellStyle name="Comma Centered 2" xfId="53"/>
    <cellStyle name="Comma Centered 2 2" xfId="157"/>
    <cellStyle name="Comma Centered 3" xfId="158"/>
    <cellStyle name="Comma, Centered" xfId="54"/>
    <cellStyle name="Comma, No Dec" xfId="55"/>
    <cellStyle name="Comma, No Dec 2" xfId="56"/>
    <cellStyle name="Comma, No Dec No 0" xfId="57"/>
    <cellStyle name="Comma, Pos" xfId="58"/>
    <cellStyle name="Comma, Pos 2" xfId="59"/>
    <cellStyle name="Comma, Pos, No Dec" xfId="60"/>
    <cellStyle name="Comma, Pos, No Dec, No 0" xfId="61"/>
    <cellStyle name="Comma, Pos, No Dec, No 0 2" xfId="62"/>
    <cellStyle name="Comma, Pos, No Dec_BarclaysFeedbacks" xfId="63"/>
    <cellStyle name="Comma0" xfId="64"/>
    <cellStyle name="Comma0 - Style4" xfId="65"/>
    <cellStyle name="Comma000" xfId="66"/>
    <cellStyle name="Comma1 - Style1" xfId="67"/>
    <cellStyle name="ContentsHyperlink" xfId="68"/>
    <cellStyle name="Curren - Style2" xfId="69"/>
    <cellStyle name="Curren - Style5" xfId="70"/>
    <cellStyle name="Currency" xfId="170" builtinId="4"/>
    <cellStyle name="Currency [0] (000)" xfId="71"/>
    <cellStyle name="Currency 2" xfId="72"/>
    <cellStyle name="Currency 2 2" xfId="73"/>
    <cellStyle name="Currency, No Dec" xfId="74"/>
    <cellStyle name="Currency, No Dec 2" xfId="75"/>
    <cellStyle name="Currency, Pos, 2 Dec" xfId="76"/>
    <cellStyle name="Currency, Pos, 2 Dec 2" xfId="77"/>
    <cellStyle name="Currency, Pos, No Dec" xfId="78"/>
    <cellStyle name="Currency, Pos, No Dec 2" xfId="79"/>
    <cellStyle name="Currency0" xfId="80"/>
    <cellStyle name="Date" xfId="81"/>
    <cellStyle name="DateTTM" xfId="82"/>
    <cellStyle name="DateTTM 2" xfId="83"/>
    <cellStyle name="Decision" xfId="84"/>
    <cellStyle name="Euro" xfId="85"/>
    <cellStyle name="Euro 2" xfId="86"/>
    <cellStyle name="Feedback000" xfId="87"/>
    <cellStyle name="Feedback000 2" xfId="88"/>
    <cellStyle name="Feedback000,000" xfId="89"/>
    <cellStyle name="Feedback000,000 2" xfId="90"/>
    <cellStyle name="Feedback000_Autodesk_SW_BAFeedbacks" xfId="91"/>
    <cellStyle name="Fixed" xfId="92"/>
    <cellStyle name="Fixed3 - Style3" xfId="93"/>
    <cellStyle name="Fraction (1)" xfId="94"/>
    <cellStyle name="Grey" xfId="95"/>
    <cellStyle name="Grey 2" xfId="96"/>
    <cellStyle name="Hyperlink" xfId="163" builtinId="8"/>
    <cellStyle name="Input [yellow]" xfId="97"/>
    <cellStyle name="Input [yellow] 2" xfId="98"/>
    <cellStyle name="InputBox" xfId="99"/>
    <cellStyle name="InputBox 2" xfId="100"/>
    <cellStyle name="no dec" xfId="101"/>
    <cellStyle name="Normal" xfId="0" builtinId="0"/>
    <cellStyle name="Normal - Style1" xfId="102"/>
    <cellStyle name="Normal 10" xfId="161"/>
    <cellStyle name="Normal 11" xfId="164"/>
    <cellStyle name="Normal 11 2" xfId="172"/>
    <cellStyle name="Normal 12" xfId="168"/>
    <cellStyle name="Normal 13" xfId="171"/>
    <cellStyle name="Normal 14" xfId="173"/>
    <cellStyle name="Normal 15" xfId="162"/>
    <cellStyle name="Normal 15 12" xfId="174"/>
    <cellStyle name="Normal 15 12 2" xfId="176"/>
    <cellStyle name="Normal 16" xfId="169"/>
    <cellStyle name="Normal 17" xfId="175"/>
    <cellStyle name="Normal 19" xfId="165"/>
    <cellStyle name="Normal 2" xfId="1"/>
    <cellStyle name="Normal 2 2" xfId="103"/>
    <cellStyle name="Normal 2 3" xfId="159"/>
    <cellStyle name="Normal 3" xfId="104"/>
    <cellStyle name="Normal 4" xfId="105"/>
    <cellStyle name="Normal 4 2" xfId="106"/>
    <cellStyle name="Normal 5" xfId="107"/>
    <cellStyle name="Normal 5 2" xfId="108"/>
    <cellStyle name="Normal 6" xfId="109"/>
    <cellStyle name="Normal 6 2" xfId="110"/>
    <cellStyle name="Normal 7" xfId="111"/>
    <cellStyle name="Normal 8" xfId="112"/>
    <cellStyle name="Normal 9" xfId="141"/>
    <cellStyle name="Normal 9 2" xfId="142"/>
    <cellStyle name="Number [0]" xfId="113"/>
    <cellStyle name="Percen - Style2" xfId="114"/>
    <cellStyle name="Percen - Style3" xfId="115"/>
    <cellStyle name="Percent" xfId="140" builtinId="5"/>
    <cellStyle name="Percent (1)" xfId="116"/>
    <cellStyle name="Percent (2)" xfId="117"/>
    <cellStyle name="Percent [2]" xfId="118"/>
    <cellStyle name="Percent 0" xfId="119"/>
    <cellStyle name="Percent 0 2" xfId="120"/>
    <cellStyle name="Percent 00" xfId="121"/>
    <cellStyle name="Percent 00 2" xfId="122"/>
    <cellStyle name="Percent 00 2 2" xfId="123"/>
    <cellStyle name="Percent 00 3" xfId="124"/>
    <cellStyle name="Percent 2" xfId="125"/>
    <cellStyle name="Percent 3" xfId="126"/>
    <cellStyle name="Percent 3 2" xfId="127"/>
    <cellStyle name="Percent 4" xfId="128"/>
    <cellStyle name="Percent 4 2" xfId="129"/>
    <cellStyle name="Percent 5" xfId="130"/>
    <cellStyle name="Percent 5 2" xfId="131"/>
    <cellStyle name="Percent 6" xfId="132"/>
    <cellStyle name="Percent 6 2" xfId="133"/>
    <cellStyle name="Percent 7" xfId="134"/>
    <cellStyle name="Percent 8" xfId="135"/>
    <cellStyle name="Percent 9" xfId="160"/>
    <cellStyle name="Percent, Pos" xfId="136"/>
    <cellStyle name="Percent, Pos 2" xfId="137"/>
    <cellStyle name="Percent, Pos, No 0" xfId="138"/>
    <cellStyle name="Percent, Pos, No 0 2" xfId="139"/>
  </cellStyles>
  <dxfs count="325">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4"/>
      </font>
    </dxf>
    <dxf>
      <font>
        <color theme="4"/>
      </font>
    </dxf>
    <dxf>
      <font>
        <color theme="4"/>
      </font>
    </dxf>
    <dxf>
      <font>
        <color theme="4"/>
      </font>
    </dxf>
    <dxf>
      <font>
        <color theme="4"/>
      </font>
    </dxf>
    <dxf>
      <font>
        <color theme="4"/>
      </font>
    </dxf>
    <dxf>
      <font>
        <color theme="4"/>
      </font>
    </dxf>
    <dxf>
      <font>
        <color theme="4"/>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5"/>
      </font>
      <fill>
        <patternFill>
          <bgColor theme="5"/>
        </patternFill>
      </fill>
      <border>
        <left/>
        <right/>
        <top/>
        <bottom/>
      </border>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5"/>
      </font>
      <fill>
        <patternFill>
          <bgColor theme="5"/>
        </patternFill>
      </fill>
      <border>
        <left/>
        <right/>
        <top/>
        <bottom/>
      </border>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ont>
        <color theme="0"/>
      </font>
      <fill>
        <patternFill>
          <bgColor theme="8"/>
        </patternFill>
      </fill>
    </dxf>
    <dxf>
      <font>
        <color theme="0"/>
      </font>
      <fill>
        <patternFill>
          <bgColor rgb="FFC00000"/>
        </patternFill>
      </fill>
    </dxf>
    <dxf>
      <fill>
        <patternFill>
          <bgColor rgb="FFCCCCCC"/>
        </patternFill>
      </fill>
    </dxf>
    <dxf>
      <fill>
        <patternFill>
          <bgColor rgb="FFCCCCCC"/>
        </patternFill>
      </fill>
    </dxf>
    <dxf>
      <fill>
        <patternFill>
          <bgColor rgb="FFCCCCCC"/>
        </patternFill>
      </fill>
    </dxf>
    <dxf>
      <fill>
        <patternFill>
          <bgColor rgb="FFCC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67616500767592735"/>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81D5-4870-A41C-AB8B211FE333}"/>
              </c:ext>
            </c:extLst>
          </c:dPt>
          <c:dPt>
            <c:idx val="1"/>
            <c:invertIfNegative val="0"/>
            <c:bubble3D val="0"/>
            <c:extLst>
              <c:ext xmlns:c16="http://schemas.microsoft.com/office/drawing/2014/chart" uri="{C3380CC4-5D6E-409C-BE32-E72D297353CC}">
                <c16:uniqueId val="{00000003-81D5-4870-A41C-AB8B211FE333}"/>
              </c:ext>
            </c:extLst>
          </c:dPt>
          <c:dPt>
            <c:idx val="2"/>
            <c:invertIfNegative val="0"/>
            <c:bubble3D val="0"/>
            <c:extLst>
              <c:ext xmlns:c16="http://schemas.microsoft.com/office/drawing/2014/chart" uri="{C3380CC4-5D6E-409C-BE32-E72D297353CC}">
                <c16:uniqueId val="{00000005-81D5-4870-A41C-AB8B211FE333}"/>
              </c:ext>
            </c:extLst>
          </c:dPt>
          <c:dPt>
            <c:idx val="3"/>
            <c:invertIfNegative val="0"/>
            <c:bubble3D val="0"/>
            <c:extLst>
              <c:ext xmlns:c16="http://schemas.microsoft.com/office/drawing/2014/chart" uri="{C3380CC4-5D6E-409C-BE32-E72D297353CC}">
                <c16:uniqueId val="{00000007-81D5-4870-A41C-AB8B211FE333}"/>
              </c:ext>
            </c:extLst>
          </c:dPt>
          <c:dPt>
            <c:idx val="4"/>
            <c:invertIfNegative val="0"/>
            <c:bubble3D val="0"/>
            <c:extLst>
              <c:ext xmlns:c16="http://schemas.microsoft.com/office/drawing/2014/chart" uri="{C3380CC4-5D6E-409C-BE32-E72D297353CC}">
                <c16:uniqueId val="{00000009-81D5-4870-A41C-AB8B211FE333}"/>
              </c:ext>
            </c:extLst>
          </c:dPt>
          <c:dPt>
            <c:idx val="5"/>
            <c:invertIfNegative val="0"/>
            <c:bubble3D val="0"/>
            <c:extLst>
              <c:ext xmlns:c16="http://schemas.microsoft.com/office/drawing/2014/chart" uri="{C3380CC4-5D6E-409C-BE32-E72D297353CC}">
                <c16:uniqueId val="{0000000B-310B-4EB2-AAF4-E18C91A894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5="http://schemas.microsoft.com/office/drawing/2012/chart" uri="{02D57815-91ED-43cb-92C2-25804820EDAC}">
              <c15:categoryFilterExceptions>
                <c15:categoryFilterException>
                  <c15:sqref>Graphs!$B$8</c15:sqref>
                  <c15:spPr xmlns:c15="http://schemas.microsoft.com/office/drawing/2012/chart">
                    <a:solidFill>
                      <a:schemeClr val="accent1"/>
                    </a:solidFill>
                    <a:ln w="19050">
                      <a:noFill/>
                    </a:ln>
                    <a:effectLst/>
                  </c15:spPr>
                  <c15:invertIfNegative val="0"/>
                  <c15:bubble3D val="0"/>
                </c15:categoryFilterException>
              </c15:categoryFilterExceptions>
            </c:ext>
            <c:ext xmlns:c16="http://schemas.microsoft.com/office/drawing/2014/chart" uri="{C3380CC4-5D6E-409C-BE32-E72D297353CC}">
              <c16:uniqueId val="{0000000E-81D5-4870-A41C-AB8B211FE333}"/>
            </c:ext>
          </c:extLst>
        </c:ser>
        <c:dLbls>
          <c:showLegendKey val="0"/>
          <c:showVal val="0"/>
          <c:showCatName val="0"/>
          <c:showSerName val="0"/>
          <c:showPercent val="0"/>
          <c:showBubbleSize val="0"/>
        </c:dLbls>
        <c:gapWidth val="100"/>
        <c:axId val="123180160"/>
        <c:axId val="123181696"/>
      </c:barChart>
      <c:catAx>
        <c:axId val="1231801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3181696"/>
        <c:crosses val="autoZero"/>
        <c:auto val="1"/>
        <c:lblAlgn val="ctr"/>
        <c:lblOffset val="100"/>
        <c:noMultiLvlLbl val="0"/>
      </c:catAx>
      <c:valAx>
        <c:axId val="123181696"/>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1231801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137254901960784E-2"/>
          <c:y val="0.28368794326241137"/>
          <c:w val="0.9137254901960784"/>
          <c:h val="0.52081867426146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1-17F1-42E8-A5A3-C938B86FDD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Graphs!$A$15:$A$16</c:f>
              <c:strCache>
                <c:ptCount val="2"/>
                <c:pt idx="0">
                  <c:v>Starting</c:v>
                </c:pt>
                <c:pt idx="1">
                  <c:v>Current</c:v>
                </c:pt>
              </c:strCache>
            </c:strRef>
          </c:cat>
          <c:val>
            <c:numRef>
              <c:f>Graphs!$B$15:$B$16</c:f>
              <c:numCache>
                <c:formatCode>0.0</c:formatCode>
                <c:ptCount val="2"/>
                <c:pt idx="0">
                  <c:v>50</c:v>
                </c:pt>
                <c:pt idx="1">
                  <c:v>50</c:v>
                </c:pt>
              </c:numCache>
            </c:numRef>
          </c:val>
          <c:extLst>
            <c:ext xmlns:c16="http://schemas.microsoft.com/office/drawing/2014/chart" uri="{C3380CC4-5D6E-409C-BE32-E72D297353CC}">
              <c16:uniqueId val="{00000002-17F1-42E8-A5A3-C938B86FDD59}"/>
            </c:ext>
          </c:extLst>
        </c:ser>
        <c:dLbls>
          <c:showLegendKey val="0"/>
          <c:showVal val="0"/>
          <c:showCatName val="0"/>
          <c:showSerName val="0"/>
          <c:showPercent val="0"/>
          <c:showBubbleSize val="0"/>
        </c:dLbls>
        <c:gapWidth val="150"/>
        <c:axId val="123190656"/>
        <c:axId val="125125760"/>
      </c:barChart>
      <c:catAx>
        <c:axId val="12319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25125760"/>
        <c:crosses val="autoZero"/>
        <c:auto val="1"/>
        <c:lblAlgn val="ctr"/>
        <c:lblOffset val="100"/>
        <c:noMultiLvlLbl val="0"/>
      </c:catAx>
      <c:valAx>
        <c:axId val="125125760"/>
        <c:scaling>
          <c:orientation val="minMax"/>
        </c:scaling>
        <c:delete val="1"/>
        <c:axPos val="l"/>
        <c:numFmt formatCode="0.0" sourceLinked="1"/>
        <c:majorTickMark val="none"/>
        <c:minorTickMark val="none"/>
        <c:tickLblPos val="nextTo"/>
        <c:crossAx val="12319065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67616500767592735"/>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B8D2-47EA-A445-47ADA7343A9F}"/>
              </c:ext>
            </c:extLst>
          </c:dPt>
          <c:dPt>
            <c:idx val="1"/>
            <c:invertIfNegative val="0"/>
            <c:bubble3D val="0"/>
            <c:extLst>
              <c:ext xmlns:c16="http://schemas.microsoft.com/office/drawing/2014/chart" uri="{C3380CC4-5D6E-409C-BE32-E72D297353CC}">
                <c16:uniqueId val="{00000003-B8D2-47EA-A445-47ADA7343A9F}"/>
              </c:ext>
            </c:extLst>
          </c:dPt>
          <c:dPt>
            <c:idx val="2"/>
            <c:invertIfNegative val="0"/>
            <c:bubble3D val="0"/>
            <c:extLst>
              <c:ext xmlns:c16="http://schemas.microsoft.com/office/drawing/2014/chart" uri="{C3380CC4-5D6E-409C-BE32-E72D297353CC}">
                <c16:uniqueId val="{00000005-B8D2-47EA-A445-47ADA7343A9F}"/>
              </c:ext>
            </c:extLst>
          </c:dPt>
          <c:dPt>
            <c:idx val="3"/>
            <c:invertIfNegative val="0"/>
            <c:bubble3D val="0"/>
            <c:extLst>
              <c:ext xmlns:c16="http://schemas.microsoft.com/office/drawing/2014/chart" uri="{C3380CC4-5D6E-409C-BE32-E72D297353CC}">
                <c16:uniqueId val="{00000007-B8D2-47EA-A445-47ADA7343A9F}"/>
              </c:ext>
            </c:extLst>
          </c:dPt>
          <c:dPt>
            <c:idx val="4"/>
            <c:invertIfNegative val="0"/>
            <c:bubble3D val="0"/>
            <c:extLst>
              <c:ext xmlns:c16="http://schemas.microsoft.com/office/drawing/2014/chart" uri="{C3380CC4-5D6E-409C-BE32-E72D297353CC}">
                <c16:uniqueId val="{00000009-B8D2-47EA-A445-47ADA7343A9F}"/>
              </c:ext>
            </c:extLst>
          </c:dPt>
          <c:dPt>
            <c:idx val="5"/>
            <c:invertIfNegative val="0"/>
            <c:bubble3D val="0"/>
            <c:extLst>
              <c:ext xmlns:c16="http://schemas.microsoft.com/office/drawing/2014/chart" uri="{C3380CC4-5D6E-409C-BE32-E72D297353CC}">
                <c16:uniqueId val="{0000000B-ADF0-4BCA-858F-D37782AE1D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C-B8D2-47EA-A445-47ADA7343A9F}"/>
            </c:ext>
          </c:extLst>
        </c:ser>
        <c:dLbls>
          <c:showLegendKey val="0"/>
          <c:showVal val="0"/>
          <c:showCatName val="0"/>
          <c:showSerName val="0"/>
          <c:showPercent val="0"/>
          <c:showBubbleSize val="0"/>
        </c:dLbls>
        <c:gapWidth val="100"/>
        <c:axId val="88203264"/>
        <c:axId val="88204800"/>
      </c:barChart>
      <c:catAx>
        <c:axId val="88203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8204800"/>
        <c:crosses val="autoZero"/>
        <c:auto val="1"/>
        <c:lblAlgn val="ctr"/>
        <c:lblOffset val="100"/>
        <c:noMultiLvlLbl val="0"/>
      </c:catAx>
      <c:valAx>
        <c:axId val="88204800"/>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88203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39584107780518"/>
          <c:y val="0.16031406458260997"/>
          <c:w val="0.46952564405844122"/>
          <c:h val="0.62247211986126205"/>
        </c:manualLayout>
      </c:layout>
      <c:doughnutChart>
        <c:varyColors val="1"/>
        <c:dLbls>
          <c:showLegendKey val="0"/>
          <c:showVal val="0"/>
          <c:showCatName val="0"/>
          <c:showSerName val="0"/>
          <c:showPercent val="0"/>
          <c:showBubbleSize val="0"/>
          <c:showLeaderLines val="0"/>
        </c:dLbls>
        <c:firstSliceAng val="0"/>
        <c:holeSize val="61"/>
      </c:doughnutChart>
      <c:spPr>
        <a:noFill/>
        <a:ln>
          <a:noFill/>
        </a:ln>
        <a:effectLst/>
      </c:spPr>
    </c:plotArea>
    <c:legend>
      <c:legendPos val="r"/>
      <c:layout>
        <c:manualLayout>
          <c:xMode val="edge"/>
          <c:yMode val="edge"/>
          <c:x val="0.66718636914571727"/>
          <c:y val="0.18939378665860226"/>
          <c:w val="0.29959103949215649"/>
          <c:h val="0.60950183503022293"/>
        </c:manualLayout>
      </c:layout>
      <c:overlay val="0"/>
      <c:spPr>
        <a:noFill/>
        <a:ln>
          <a:noFill/>
        </a:ln>
        <a:effectLst/>
      </c:spPr>
      <c:txPr>
        <a:bodyPr rot="0" spcFirstLastPara="1" vertOverflow="ellipsis" vert="horz" wrap="square" anchor="ctr" anchorCtr="1"/>
        <a:lstStyle/>
        <a:p>
          <a:pPr>
            <a:defRPr sz="500" b="0" i="0" u="none" strike="noStrike" kern="1200" baseline="0">
              <a:solidFill>
                <a:schemeClr val="tx1">
                  <a:lumMod val="65000"/>
                  <a:lumOff val="35000"/>
                </a:schemeClr>
              </a:solidFill>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67616500767592735"/>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3CFA-4F67-9452-21CD59FBD25C}"/>
              </c:ext>
            </c:extLst>
          </c:dPt>
          <c:dPt>
            <c:idx val="1"/>
            <c:invertIfNegative val="0"/>
            <c:bubble3D val="0"/>
            <c:extLst>
              <c:ext xmlns:c16="http://schemas.microsoft.com/office/drawing/2014/chart" uri="{C3380CC4-5D6E-409C-BE32-E72D297353CC}">
                <c16:uniqueId val="{00000003-3CFA-4F67-9452-21CD59FBD25C}"/>
              </c:ext>
            </c:extLst>
          </c:dPt>
          <c:dPt>
            <c:idx val="2"/>
            <c:invertIfNegative val="0"/>
            <c:bubble3D val="0"/>
            <c:extLst>
              <c:ext xmlns:c16="http://schemas.microsoft.com/office/drawing/2014/chart" uri="{C3380CC4-5D6E-409C-BE32-E72D297353CC}">
                <c16:uniqueId val="{00000005-3CFA-4F67-9452-21CD59FBD25C}"/>
              </c:ext>
            </c:extLst>
          </c:dPt>
          <c:dPt>
            <c:idx val="3"/>
            <c:invertIfNegative val="0"/>
            <c:bubble3D val="0"/>
            <c:extLst>
              <c:ext xmlns:c16="http://schemas.microsoft.com/office/drawing/2014/chart" uri="{C3380CC4-5D6E-409C-BE32-E72D297353CC}">
                <c16:uniqueId val="{00000007-3CFA-4F67-9452-21CD59FBD25C}"/>
              </c:ext>
            </c:extLst>
          </c:dPt>
          <c:dPt>
            <c:idx val="4"/>
            <c:invertIfNegative val="0"/>
            <c:bubble3D val="0"/>
            <c:extLst>
              <c:ext xmlns:c16="http://schemas.microsoft.com/office/drawing/2014/chart" uri="{C3380CC4-5D6E-409C-BE32-E72D297353CC}">
                <c16:uniqueId val="{00000009-3CFA-4F67-9452-21CD59FBD25C}"/>
              </c:ext>
            </c:extLst>
          </c:dPt>
          <c:dPt>
            <c:idx val="5"/>
            <c:invertIfNegative val="0"/>
            <c:bubble3D val="0"/>
            <c:extLst>
              <c:ext xmlns:c16="http://schemas.microsoft.com/office/drawing/2014/chart" uri="{C3380CC4-5D6E-409C-BE32-E72D297353CC}">
                <c16:uniqueId val="{0000000B-EA5F-4D47-9E82-BFFB8CA3B88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C-3CFA-4F67-9452-21CD59FBD25C}"/>
            </c:ext>
          </c:extLst>
        </c:ser>
        <c:dLbls>
          <c:showLegendKey val="0"/>
          <c:showVal val="0"/>
          <c:showCatName val="0"/>
          <c:showSerName val="0"/>
          <c:showPercent val="0"/>
          <c:showBubbleSize val="0"/>
        </c:dLbls>
        <c:gapWidth val="100"/>
        <c:axId val="88008576"/>
        <c:axId val="88010112"/>
      </c:barChart>
      <c:catAx>
        <c:axId val="88008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8010112"/>
        <c:crosses val="autoZero"/>
        <c:auto val="1"/>
        <c:lblAlgn val="ctr"/>
        <c:lblOffset val="100"/>
        <c:noMultiLvlLbl val="0"/>
      </c:catAx>
      <c:valAx>
        <c:axId val="88010112"/>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88008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67616500767592735"/>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430C-45BD-8381-523F93538BEF}"/>
              </c:ext>
            </c:extLst>
          </c:dPt>
          <c:dPt>
            <c:idx val="1"/>
            <c:invertIfNegative val="0"/>
            <c:bubble3D val="0"/>
            <c:extLst>
              <c:ext xmlns:c16="http://schemas.microsoft.com/office/drawing/2014/chart" uri="{C3380CC4-5D6E-409C-BE32-E72D297353CC}">
                <c16:uniqueId val="{00000003-430C-45BD-8381-523F93538BEF}"/>
              </c:ext>
            </c:extLst>
          </c:dPt>
          <c:dPt>
            <c:idx val="2"/>
            <c:invertIfNegative val="0"/>
            <c:bubble3D val="0"/>
            <c:extLst>
              <c:ext xmlns:c16="http://schemas.microsoft.com/office/drawing/2014/chart" uri="{C3380CC4-5D6E-409C-BE32-E72D297353CC}">
                <c16:uniqueId val="{00000005-430C-45BD-8381-523F93538BEF}"/>
              </c:ext>
            </c:extLst>
          </c:dPt>
          <c:dPt>
            <c:idx val="3"/>
            <c:invertIfNegative val="0"/>
            <c:bubble3D val="0"/>
            <c:extLst>
              <c:ext xmlns:c16="http://schemas.microsoft.com/office/drawing/2014/chart" uri="{C3380CC4-5D6E-409C-BE32-E72D297353CC}">
                <c16:uniqueId val="{00000007-430C-45BD-8381-523F93538BEF}"/>
              </c:ext>
            </c:extLst>
          </c:dPt>
          <c:dPt>
            <c:idx val="4"/>
            <c:invertIfNegative val="0"/>
            <c:bubble3D val="0"/>
            <c:extLst>
              <c:ext xmlns:c16="http://schemas.microsoft.com/office/drawing/2014/chart" uri="{C3380CC4-5D6E-409C-BE32-E72D297353CC}">
                <c16:uniqueId val="{00000009-430C-45BD-8381-523F93538BEF}"/>
              </c:ext>
            </c:extLst>
          </c:dPt>
          <c:dPt>
            <c:idx val="5"/>
            <c:invertIfNegative val="0"/>
            <c:bubble3D val="0"/>
            <c:extLst>
              <c:ext xmlns:c16="http://schemas.microsoft.com/office/drawing/2014/chart" uri="{C3380CC4-5D6E-409C-BE32-E72D297353CC}">
                <c16:uniqueId val="{0000000B-AA11-451E-93E1-2C9E5BFC46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C-430C-45BD-8381-523F93538BEF}"/>
            </c:ext>
          </c:extLst>
        </c:ser>
        <c:dLbls>
          <c:showLegendKey val="0"/>
          <c:showVal val="0"/>
          <c:showCatName val="0"/>
          <c:showSerName val="0"/>
          <c:showPercent val="0"/>
          <c:showBubbleSize val="0"/>
        </c:dLbls>
        <c:gapWidth val="100"/>
        <c:axId val="87861888"/>
        <c:axId val="87871872"/>
      </c:barChart>
      <c:catAx>
        <c:axId val="87861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871872"/>
        <c:crosses val="autoZero"/>
        <c:auto val="1"/>
        <c:lblAlgn val="ctr"/>
        <c:lblOffset val="100"/>
        <c:noMultiLvlLbl val="0"/>
      </c:catAx>
      <c:valAx>
        <c:axId val="87871872"/>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878618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Y1 Budget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Graphs!$D$1</c:f>
              <c:strCache>
                <c:ptCount val="1"/>
                <c:pt idx="0">
                  <c:v>Y1 Cost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Graphs!$A$2:$A$9</c15:sqref>
                  </c15:fullRef>
                </c:ext>
              </c:extLst>
              <c:f>Graphs!$A$3:$A$9</c:f>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Graphs!$D$2:$D$9</c15:sqref>
                  </c15:fullRef>
                </c:ext>
              </c:extLst>
              <c:f>Graphs!$D$3:$D$9</c:f>
              <c:numCache>
                <c:formatCode>"$"#,##0,</c:formatCode>
                <c:ptCount val="7"/>
                <c:pt idx="0">
                  <c:v>0</c:v>
                </c:pt>
                <c:pt idx="1">
                  <c:v>0</c:v>
                </c:pt>
                <c:pt idx="2">
                  <c:v>0</c:v>
                </c:pt>
                <c:pt idx="3">
                  <c:v>0</c:v>
                </c:pt>
                <c:pt idx="4">
                  <c:v>0</c:v>
                </c:pt>
                <c:pt idx="5">
                  <c:v>0</c:v>
                </c:pt>
                <c:pt idx="6">
                  <c:v>25000000</c:v>
                </c:pt>
              </c:numCache>
            </c:numRef>
          </c:val>
          <c:extLst xmlns:c15="http://schemas.microsoft.com/office/drawing/2012/chart">
            <c:ext xmlns:c16="http://schemas.microsoft.com/office/drawing/2014/chart" uri="{C3380CC4-5D6E-409C-BE32-E72D297353CC}">
              <c16:uniqueId val="{00000005-2E74-4DDE-A169-F0E644331A5F}"/>
            </c:ext>
          </c:extLst>
        </c:ser>
        <c:dLbls>
          <c:showLegendKey val="0"/>
          <c:showVal val="0"/>
          <c:showCatName val="0"/>
          <c:showSerName val="0"/>
          <c:showPercent val="0"/>
          <c:showBubbleSize val="0"/>
        </c:dLbls>
        <c:gapWidth val="219"/>
        <c:overlap val="-27"/>
        <c:axId val="88722816"/>
        <c:axId val="88769664"/>
        <c:extLst>
          <c:ext xmlns:c15="http://schemas.microsoft.com/office/drawing/2012/chart" uri="{02D57815-91ED-43cb-92C2-25804820EDAC}">
            <c15:filteredBarSeries>
              <c15:ser>
                <c:idx val="0"/>
                <c:order val="0"/>
                <c:tx>
                  <c:strRef>
                    <c:extLst>
                      <c:ext uri="{02D57815-91ED-43cb-92C2-25804820EDAC}">
                        <c15:formulaRef>
                          <c15:sqref>Graphs!$B$1</c15:sqref>
                        </c15:formulaRef>
                      </c:ext>
                    </c:extLst>
                    <c:strCache>
                      <c:ptCount val="1"/>
                    </c:strCache>
                  </c:strRef>
                </c:tx>
                <c:spPr>
                  <a:solidFill>
                    <a:schemeClr val="accent1"/>
                  </a:solidFill>
                  <a:ln>
                    <a:noFill/>
                  </a:ln>
                  <a:effectLst/>
                </c:spPr>
                <c:invertIfNegative val="0"/>
                <c:cat>
                  <c:strRef>
                    <c:extLst>
                      <c:ex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uri="{02D57815-91ED-43cb-92C2-25804820EDAC}">
                        <c15:fullRef>
                          <c15:sqref>Graphs!$B$2:$B$9</c15:sqref>
                        </c15:fullRef>
                        <c15:formulaRef>
                          <c15:sqref>Graphs!$B$3:$B$9</c15:sqref>
                        </c15:formulaRef>
                      </c:ext>
                    </c:extLst>
                    <c:numCache>
                      <c:formatCode>0%</c:formatCode>
                      <c:ptCount val="7"/>
                      <c:pt idx="0">
                        <c:v>0</c:v>
                      </c:pt>
                      <c:pt idx="1">
                        <c:v>0</c:v>
                      </c:pt>
                      <c:pt idx="2">
                        <c:v>0</c:v>
                      </c:pt>
                      <c:pt idx="3">
                        <c:v>0</c:v>
                      </c:pt>
                      <c:pt idx="4">
                        <c:v>0</c:v>
                      </c:pt>
                      <c:pt idx="6">
                        <c:v>1</c:v>
                      </c:pt>
                    </c:numCache>
                  </c:numRef>
                </c:val>
                <c:extLst>
                  <c:ext xmlns:c16="http://schemas.microsoft.com/office/drawing/2014/chart" uri="{C3380CC4-5D6E-409C-BE32-E72D297353CC}">
                    <c16:uniqueId val="{00000004-2E74-4DDE-A169-F0E644331A5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Graphs!$C$1</c15:sqref>
                        </c15:formulaRef>
                      </c:ext>
                    </c:extLst>
                    <c:strCache>
                      <c:ptCount val="1"/>
                      <c:pt idx="0">
                        <c:v>Total Cost</c:v>
                      </c:pt>
                    </c:strCache>
                  </c:strRef>
                </c:tx>
                <c:spPr>
                  <a:solidFill>
                    <a:schemeClr val="accent4"/>
                  </a:solidFill>
                  <a:ln>
                    <a:noFill/>
                  </a:ln>
                  <a:effectLst/>
                </c:spPr>
                <c:invertIfNegative val="0"/>
                <c:dPt>
                  <c:idx val="4"/>
                  <c:invertIfNegative val="0"/>
                  <c:bubble3D val="0"/>
                  <c:extLst xmlns:c15="http://schemas.microsoft.com/office/drawing/2012/chart">
                    <c:ext xmlns:c16="http://schemas.microsoft.com/office/drawing/2014/chart" uri="{C3380CC4-5D6E-409C-BE32-E72D297353CC}">
                      <c16:uniqueId val="{00000000-47FD-47A5-9C34-5945657AE992}"/>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2-47FD-47A5-9C34-5945657AE992}"/>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Graphs!$C$2:$C$9</c15:sqref>
                        </c15:fullRef>
                        <c15:formulaRef>
                          <c15:sqref>Graphs!$C$3:$C$9</c15:sqref>
                        </c15:formulaRef>
                      </c:ext>
                    </c:extLst>
                    <c:numCache>
                      <c:formatCode>"$"#,##0,</c:formatCode>
                      <c:ptCount val="7"/>
                      <c:pt idx="0">
                        <c:v>0</c:v>
                      </c:pt>
                      <c:pt idx="1">
                        <c:v>0</c:v>
                      </c:pt>
                      <c:pt idx="2">
                        <c:v>0</c:v>
                      </c:pt>
                      <c:pt idx="3">
                        <c:v>0</c:v>
                      </c:pt>
                      <c:pt idx="4">
                        <c:v>0</c:v>
                      </c:pt>
                      <c:pt idx="5">
                        <c:v>0</c:v>
                      </c:pt>
                      <c:pt idx="6">
                        <c:v>35000000</c:v>
                      </c:pt>
                    </c:numCache>
                  </c:numRef>
                </c:val>
                <c:extLst xmlns:c15="http://schemas.microsoft.com/office/drawing/2012/chart">
                  <c:ext xmlns:c16="http://schemas.microsoft.com/office/drawing/2014/chart" uri="{C3380CC4-5D6E-409C-BE32-E72D297353CC}">
                    <c16:uniqueId val="{00000003-2E74-4DDE-A169-F0E644331A5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Graphs!$E$1</c15:sqref>
                        </c15:formulaRef>
                      </c:ext>
                    </c:extLst>
                    <c:strCache>
                      <c:ptCount val="1"/>
                      <c:pt idx="0">
                        <c:v>Y2 Cost</c:v>
                      </c:pt>
                    </c:strCache>
                  </c:strRef>
                </c:tx>
                <c:spPr>
                  <a:solidFill>
                    <a:schemeClr val="accent4"/>
                  </a:solidFill>
                  <a:ln>
                    <a:noFill/>
                  </a:ln>
                  <a:effectLst/>
                </c:spPr>
                <c:invertIfNegative val="0"/>
                <c:cat>
                  <c:strRef>
                    <c:extLst>
                      <c:ext xmlns:c15="http://schemas.microsoft.com/office/drawing/2012/char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Graphs!$E$2:$E$9</c15:sqref>
                        </c15:fullRef>
                        <c15:formulaRef>
                          <c15:sqref>Graphs!$E$3:$E$9</c15:sqref>
                        </c15:formulaRef>
                      </c:ext>
                    </c:extLst>
                    <c:numCache>
                      <c:formatCode>"$"#,##0,</c:formatCode>
                      <c:ptCount val="7"/>
                      <c:pt idx="0">
                        <c:v>0</c:v>
                      </c:pt>
                      <c:pt idx="1">
                        <c:v>0</c:v>
                      </c:pt>
                      <c:pt idx="2">
                        <c:v>0</c:v>
                      </c:pt>
                      <c:pt idx="3">
                        <c:v>0</c:v>
                      </c:pt>
                      <c:pt idx="4">
                        <c:v>0</c:v>
                      </c:pt>
                      <c:pt idx="5">
                        <c:v>0</c:v>
                      </c:pt>
                      <c:pt idx="6">
                        <c:v>10000000</c:v>
                      </c:pt>
                    </c:numCache>
                  </c:numRef>
                </c:val>
                <c:extLst xmlns:c15="http://schemas.microsoft.com/office/drawing/2012/chart">
                  <c:ext xmlns:c16="http://schemas.microsoft.com/office/drawing/2014/chart" uri="{C3380CC4-5D6E-409C-BE32-E72D297353CC}">
                    <c16:uniqueId val="{00000003-CF98-45C7-AE2B-537EDEA13547}"/>
                  </c:ext>
                </c:extLst>
              </c15:ser>
            </c15:filteredBarSeries>
          </c:ext>
        </c:extLst>
      </c:barChart>
      <c:catAx>
        <c:axId val="8872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69664"/>
        <c:crosses val="autoZero"/>
        <c:auto val="1"/>
        <c:lblAlgn val="ctr"/>
        <c:lblOffset val="100"/>
        <c:noMultiLvlLbl val="0"/>
      </c:catAx>
      <c:valAx>
        <c:axId val="88769664"/>
        <c:scaling>
          <c:orientation val="minMax"/>
        </c:scaling>
        <c:delete val="1"/>
        <c:axPos val="l"/>
        <c:numFmt formatCode="General" sourceLinked="1"/>
        <c:majorTickMark val="none"/>
        <c:minorTickMark val="none"/>
        <c:tickLblPos val="nextTo"/>
        <c:crossAx val="8872281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Y2 Budget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7281746031746032E-2"/>
          <c:y val="0.22051424753463858"/>
          <c:w val="0.94543650793650791"/>
          <c:h val="0.60226320700107583"/>
        </c:manualLayout>
      </c:layout>
      <c:barChart>
        <c:barDir val="col"/>
        <c:grouping val="clustered"/>
        <c:varyColors val="0"/>
        <c:ser>
          <c:idx val="3"/>
          <c:order val="3"/>
          <c:tx>
            <c:strRef>
              <c:f>Graphs!$E$1</c:f>
              <c:strCache>
                <c:ptCount val="1"/>
                <c:pt idx="0">
                  <c:v>Y2 Cost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Graphs!$A$2:$A$9</c15:sqref>
                  </c15:fullRef>
                </c:ext>
              </c:extLst>
              <c:f>Graphs!$A$3:$A$9</c:f>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Graphs!$E$2:$E$9</c15:sqref>
                  </c15:fullRef>
                </c:ext>
              </c:extLst>
              <c:f>Graphs!$E$3:$E$9</c:f>
              <c:numCache>
                <c:formatCode>"$"#,##0,</c:formatCode>
                <c:ptCount val="7"/>
                <c:pt idx="0">
                  <c:v>0</c:v>
                </c:pt>
                <c:pt idx="1">
                  <c:v>0</c:v>
                </c:pt>
                <c:pt idx="2">
                  <c:v>0</c:v>
                </c:pt>
                <c:pt idx="3">
                  <c:v>0</c:v>
                </c:pt>
                <c:pt idx="4">
                  <c:v>0</c:v>
                </c:pt>
                <c:pt idx="5">
                  <c:v>0</c:v>
                </c:pt>
                <c:pt idx="6">
                  <c:v>10000000</c:v>
                </c:pt>
              </c:numCache>
            </c:numRef>
          </c:val>
          <c:extLst>
            <c:ext xmlns:c16="http://schemas.microsoft.com/office/drawing/2014/chart" uri="{C3380CC4-5D6E-409C-BE32-E72D297353CC}">
              <c16:uniqueId val="{00000001-8CAF-4A77-9DB5-ED259FE72ED3}"/>
            </c:ext>
          </c:extLst>
        </c:ser>
        <c:dLbls>
          <c:showLegendKey val="0"/>
          <c:showVal val="0"/>
          <c:showCatName val="0"/>
          <c:showSerName val="0"/>
          <c:showPercent val="0"/>
          <c:showBubbleSize val="0"/>
        </c:dLbls>
        <c:gapWidth val="219"/>
        <c:overlap val="-27"/>
        <c:axId val="88876928"/>
        <c:axId val="88878464"/>
        <c:extLst>
          <c:ext xmlns:c15="http://schemas.microsoft.com/office/drawing/2012/chart" uri="{02D57815-91ED-43cb-92C2-25804820EDAC}">
            <c15:filteredBarSeries>
              <c15:ser>
                <c:idx val="0"/>
                <c:order val="0"/>
                <c:tx>
                  <c:strRef>
                    <c:extLst>
                      <c:ext uri="{02D57815-91ED-43cb-92C2-25804820EDAC}">
                        <c15:formulaRef>
                          <c15:sqref>Graphs!$B$1</c15:sqref>
                        </c15:formulaRef>
                      </c:ext>
                    </c:extLst>
                    <c:strCache>
                      <c:ptCount val="1"/>
                    </c:strCache>
                  </c:strRef>
                </c:tx>
                <c:spPr>
                  <a:solidFill>
                    <a:schemeClr val="accent1"/>
                  </a:solidFill>
                  <a:ln>
                    <a:noFill/>
                  </a:ln>
                  <a:effectLst/>
                </c:spPr>
                <c:invertIfNegative val="0"/>
                <c:cat>
                  <c:strRef>
                    <c:extLst>
                      <c:ex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uri="{02D57815-91ED-43cb-92C2-25804820EDAC}">
                        <c15:fullRef>
                          <c15:sqref>Graphs!$B$2:$B$9</c15:sqref>
                        </c15:fullRef>
                        <c15:formulaRef>
                          <c15:sqref>Graphs!$B$3:$B$9</c15:sqref>
                        </c15:formulaRef>
                      </c:ext>
                    </c:extLst>
                    <c:numCache>
                      <c:formatCode>0%</c:formatCode>
                      <c:ptCount val="7"/>
                      <c:pt idx="0">
                        <c:v>0</c:v>
                      </c:pt>
                      <c:pt idx="1">
                        <c:v>0</c:v>
                      </c:pt>
                      <c:pt idx="2">
                        <c:v>0</c:v>
                      </c:pt>
                      <c:pt idx="3">
                        <c:v>0</c:v>
                      </c:pt>
                      <c:pt idx="4">
                        <c:v>0</c:v>
                      </c:pt>
                      <c:pt idx="6">
                        <c:v>1</c:v>
                      </c:pt>
                    </c:numCache>
                  </c:numRef>
                </c:val>
                <c:extLst>
                  <c:ext xmlns:c16="http://schemas.microsoft.com/office/drawing/2014/chart" uri="{C3380CC4-5D6E-409C-BE32-E72D297353CC}">
                    <c16:uniqueId val="{00000002-8CAF-4A77-9DB5-ED259FE72ED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Graphs!$C$1</c15:sqref>
                        </c15:formulaRef>
                      </c:ext>
                    </c:extLst>
                    <c:strCache>
                      <c:ptCount val="1"/>
                      <c:pt idx="0">
                        <c:v>Total Cost</c:v>
                      </c:pt>
                    </c:strCache>
                  </c:strRef>
                </c:tx>
                <c:spPr>
                  <a:solidFill>
                    <a:schemeClr val="accent4"/>
                  </a:solidFill>
                  <a:ln>
                    <a:noFill/>
                  </a:ln>
                  <a:effectLst/>
                </c:spPr>
                <c:invertIfNegative val="0"/>
                <c:dPt>
                  <c:idx val="4"/>
                  <c:invertIfNegative val="0"/>
                  <c:bubble3D val="0"/>
                  <c:spPr>
                    <a:solidFill>
                      <a:schemeClr val="accent4"/>
                    </a:solidFill>
                    <a:ln>
                      <a:noFill/>
                    </a:ln>
                    <a:effectLst/>
                  </c:spPr>
                  <c:extLst xmlns:c15="http://schemas.microsoft.com/office/drawing/2012/chart">
                    <c:ext xmlns:c16="http://schemas.microsoft.com/office/drawing/2014/chart" uri="{C3380CC4-5D6E-409C-BE32-E72D297353CC}">
                      <c16:uniqueId val="{00000001-C7FD-4F3A-BECE-F8B13AA8C78F}"/>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3-C7FD-4F3A-BECE-F8B13AA8C78F}"/>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Graphs!$C$2:$C$9</c15:sqref>
                        </c15:fullRef>
                        <c15:formulaRef>
                          <c15:sqref>Graphs!$C$3:$C$9</c15:sqref>
                        </c15:formulaRef>
                      </c:ext>
                    </c:extLst>
                    <c:numCache>
                      <c:formatCode>"$"#,##0,</c:formatCode>
                      <c:ptCount val="7"/>
                      <c:pt idx="0">
                        <c:v>0</c:v>
                      </c:pt>
                      <c:pt idx="1">
                        <c:v>0</c:v>
                      </c:pt>
                      <c:pt idx="2">
                        <c:v>0</c:v>
                      </c:pt>
                      <c:pt idx="3">
                        <c:v>0</c:v>
                      </c:pt>
                      <c:pt idx="4">
                        <c:v>0</c:v>
                      </c:pt>
                      <c:pt idx="5">
                        <c:v>0</c:v>
                      </c:pt>
                      <c:pt idx="6">
                        <c:v>35000000</c:v>
                      </c:pt>
                    </c:numCache>
                  </c:numRef>
                </c:val>
                <c:extLst xmlns:c15="http://schemas.microsoft.com/office/drawing/2012/chart">
                  <c:ext xmlns:c16="http://schemas.microsoft.com/office/drawing/2014/chart" uri="{C3380CC4-5D6E-409C-BE32-E72D297353CC}">
                    <c16:uniqueId val="{00000007-8CAF-4A77-9DB5-ED259FE72ED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Graphs!$D$1</c15:sqref>
                        </c15:formulaRef>
                      </c:ext>
                    </c:extLst>
                    <c:strCache>
                      <c:ptCount val="1"/>
                      <c:pt idx="0">
                        <c:v>Y1 Cost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Graphs!$A$2:$A$9</c15:sqref>
                        </c15:fullRef>
                        <c15:formulaRef>
                          <c15:sqref>Graphs!$A$3:$A$9</c15:sqref>
                        </c15:formulaRef>
                      </c:ext>
                    </c:extLst>
                    <c:strCache>
                      <c:ptCount val="7"/>
                      <c:pt idx="0">
                        <c:v>Product</c:v>
                      </c:pt>
                      <c:pt idx="1">
                        <c:v>GTM</c:v>
                      </c:pt>
                      <c:pt idx="2">
                        <c:v>People</c:v>
                      </c:pt>
                      <c:pt idx="3">
                        <c:v>Back Office</c:v>
                      </c:pt>
                      <c:pt idx="4">
                        <c:v>Trust</c:v>
                      </c:pt>
                      <c:pt idx="5">
                        <c:v>Budget Events</c:v>
                      </c:pt>
                      <c:pt idx="6">
                        <c:v>Budget Left</c:v>
                      </c:pt>
                    </c:strCache>
                  </c:strRef>
                </c:cat>
                <c:val>
                  <c:numRef>
                    <c:extLst>
                      <c:ext xmlns:c15="http://schemas.microsoft.com/office/drawing/2012/chart" uri="{02D57815-91ED-43cb-92C2-25804820EDAC}">
                        <c15:fullRef>
                          <c15:sqref>Graphs!$D$2:$D$9</c15:sqref>
                        </c15:fullRef>
                        <c15:formulaRef>
                          <c15:sqref>Graphs!$D$3:$D$9</c15:sqref>
                        </c15:formulaRef>
                      </c:ext>
                    </c:extLst>
                    <c:numCache>
                      <c:formatCode>"$"#,##0,</c:formatCode>
                      <c:ptCount val="7"/>
                      <c:pt idx="0">
                        <c:v>0</c:v>
                      </c:pt>
                      <c:pt idx="1">
                        <c:v>0</c:v>
                      </c:pt>
                      <c:pt idx="2">
                        <c:v>0</c:v>
                      </c:pt>
                      <c:pt idx="3">
                        <c:v>0</c:v>
                      </c:pt>
                      <c:pt idx="4">
                        <c:v>0</c:v>
                      </c:pt>
                      <c:pt idx="5">
                        <c:v>0</c:v>
                      </c:pt>
                      <c:pt idx="6">
                        <c:v>25000000</c:v>
                      </c:pt>
                    </c:numCache>
                  </c:numRef>
                </c:val>
                <c:extLst xmlns:c15="http://schemas.microsoft.com/office/drawing/2012/chart">
                  <c:ext xmlns:c16="http://schemas.microsoft.com/office/drawing/2014/chart" uri="{C3380CC4-5D6E-409C-BE32-E72D297353CC}">
                    <c16:uniqueId val="{00000000-8CAF-4A77-9DB5-ED259FE72ED3}"/>
                  </c:ext>
                </c:extLst>
              </c15:ser>
            </c15:filteredBarSeries>
          </c:ext>
        </c:extLst>
      </c:barChart>
      <c:catAx>
        <c:axId val="8887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78464"/>
        <c:crosses val="autoZero"/>
        <c:auto val="1"/>
        <c:lblAlgn val="ctr"/>
        <c:lblOffset val="100"/>
        <c:noMultiLvlLbl val="0"/>
      </c:catAx>
      <c:valAx>
        <c:axId val="88878464"/>
        <c:scaling>
          <c:orientation val="minMax"/>
        </c:scaling>
        <c:delete val="1"/>
        <c:axPos val="l"/>
        <c:numFmt formatCode="General" sourceLinked="1"/>
        <c:majorTickMark val="none"/>
        <c:minorTickMark val="none"/>
        <c:tickLblPos val="nextTo"/>
        <c:crossAx val="88876928"/>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67616500767592735"/>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05C2-49C0-8E06-6E208009DB28}"/>
              </c:ext>
            </c:extLst>
          </c:dPt>
          <c:dPt>
            <c:idx val="1"/>
            <c:invertIfNegative val="0"/>
            <c:bubble3D val="0"/>
            <c:extLst>
              <c:ext xmlns:c16="http://schemas.microsoft.com/office/drawing/2014/chart" uri="{C3380CC4-5D6E-409C-BE32-E72D297353CC}">
                <c16:uniqueId val="{00000003-05C2-49C0-8E06-6E208009DB28}"/>
              </c:ext>
            </c:extLst>
          </c:dPt>
          <c:dPt>
            <c:idx val="2"/>
            <c:invertIfNegative val="0"/>
            <c:bubble3D val="0"/>
            <c:extLst>
              <c:ext xmlns:c16="http://schemas.microsoft.com/office/drawing/2014/chart" uri="{C3380CC4-5D6E-409C-BE32-E72D297353CC}">
                <c16:uniqueId val="{00000005-05C2-49C0-8E06-6E208009DB28}"/>
              </c:ext>
            </c:extLst>
          </c:dPt>
          <c:dPt>
            <c:idx val="3"/>
            <c:invertIfNegative val="0"/>
            <c:bubble3D val="0"/>
            <c:extLst>
              <c:ext xmlns:c16="http://schemas.microsoft.com/office/drawing/2014/chart" uri="{C3380CC4-5D6E-409C-BE32-E72D297353CC}">
                <c16:uniqueId val="{00000007-05C2-49C0-8E06-6E208009DB28}"/>
              </c:ext>
            </c:extLst>
          </c:dPt>
          <c:dPt>
            <c:idx val="4"/>
            <c:invertIfNegative val="0"/>
            <c:bubble3D val="0"/>
            <c:extLst>
              <c:ext xmlns:c16="http://schemas.microsoft.com/office/drawing/2014/chart" uri="{C3380CC4-5D6E-409C-BE32-E72D297353CC}">
                <c16:uniqueId val="{00000009-05C2-49C0-8E06-6E208009DB28}"/>
              </c:ext>
            </c:extLst>
          </c:dPt>
          <c:dPt>
            <c:idx val="5"/>
            <c:invertIfNegative val="0"/>
            <c:bubble3D val="0"/>
            <c:extLst>
              <c:ext xmlns:c16="http://schemas.microsoft.com/office/drawing/2014/chart" uri="{C3380CC4-5D6E-409C-BE32-E72D297353CC}">
                <c16:uniqueId val="{0000000B-E4F9-4FEA-97ED-CB950379CE4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C-05C2-49C0-8E06-6E208009DB28}"/>
            </c:ext>
          </c:extLst>
        </c:ser>
        <c:dLbls>
          <c:showLegendKey val="0"/>
          <c:showVal val="0"/>
          <c:showCatName val="0"/>
          <c:showSerName val="0"/>
          <c:showPercent val="0"/>
          <c:showBubbleSize val="0"/>
        </c:dLbls>
        <c:gapWidth val="100"/>
        <c:axId val="88929792"/>
        <c:axId val="88931328"/>
      </c:barChart>
      <c:catAx>
        <c:axId val="88929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8931328"/>
        <c:crosses val="autoZero"/>
        <c:auto val="1"/>
        <c:lblAlgn val="ctr"/>
        <c:lblOffset val="100"/>
        <c:noMultiLvlLbl val="0"/>
      </c:catAx>
      <c:valAx>
        <c:axId val="8893132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889297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6800676662852"/>
          <c:y val="6.6717110192476808E-2"/>
          <c:w val="0.77269581346621619"/>
          <c:h val="0.77266315928837637"/>
        </c:manualLayout>
      </c:layout>
      <c:barChart>
        <c:barDir val="bar"/>
        <c:grouping val="clustered"/>
        <c:varyColors val="0"/>
        <c:ser>
          <c:idx val="1"/>
          <c:order val="0"/>
          <c:tx>
            <c:strRef>
              <c:f>Graphs!$C$18</c:f>
              <c:strCache>
                <c:ptCount val="1"/>
                <c:pt idx="0">
                  <c:v>Timeline</c:v>
                </c:pt>
              </c:strCache>
            </c:strRef>
          </c:tx>
          <c:spPr>
            <a:solidFill>
              <a:schemeClr val="accent2"/>
            </a:solidFill>
            <a:ln>
              <a:noFill/>
            </a:ln>
            <a:effectLst/>
          </c:spPr>
          <c:invertIfNegative val="0"/>
          <c:dPt>
            <c:idx val="1"/>
            <c:invertIfNegative val="0"/>
            <c:bubble3D val="0"/>
            <c:spPr>
              <a:solidFill>
                <a:schemeClr val="accent5"/>
              </a:solidFill>
              <a:ln>
                <a:noFill/>
              </a:ln>
              <a:effectLst/>
            </c:spPr>
            <c:extLst>
              <c:ext xmlns:c16="http://schemas.microsoft.com/office/drawing/2014/chart" uri="{C3380CC4-5D6E-409C-BE32-E72D297353CC}">
                <c16:uniqueId val="{00000001-85F7-445D-8307-836C9B5BB8AD}"/>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3-85F7-445D-8307-836C9B5BB8AD}"/>
              </c:ext>
            </c:extLst>
          </c:dPt>
          <c:dPt>
            <c:idx val="3"/>
            <c:invertIfNegative val="0"/>
            <c:bubble3D val="0"/>
            <c:spPr>
              <a:solidFill>
                <a:schemeClr val="tx2"/>
              </a:solidFill>
              <a:ln>
                <a:noFill/>
              </a:ln>
              <a:effectLst/>
            </c:spPr>
            <c:extLst>
              <c:ext xmlns:c16="http://schemas.microsoft.com/office/drawing/2014/chart" uri="{C3380CC4-5D6E-409C-BE32-E72D297353CC}">
                <c16:uniqueId val="{00000005-85F7-445D-8307-836C9B5BB8AD}"/>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7-85F7-445D-8307-836C9B5BB8AD}"/>
              </c:ext>
            </c:extLst>
          </c:dPt>
          <c:dPt>
            <c:idx val="6"/>
            <c:invertIfNegative val="0"/>
            <c:bubble3D val="0"/>
            <c:spPr>
              <a:solidFill>
                <a:schemeClr val="accent3"/>
              </a:solidFill>
              <a:ln>
                <a:noFill/>
              </a:ln>
              <a:effectLst/>
            </c:spPr>
            <c:extLst>
              <c:ext xmlns:c16="http://schemas.microsoft.com/office/drawing/2014/chart" uri="{C3380CC4-5D6E-409C-BE32-E72D297353CC}">
                <c16:uniqueId val="{0000000E-DADB-4942-ABBB-89F15EE32F16}"/>
              </c:ext>
            </c:extLst>
          </c:dPt>
          <c:cat>
            <c:strRef>
              <c:f>Graphs!$A$19:$A$26</c:f>
              <c:strCache>
                <c:ptCount val="8"/>
                <c:pt idx="0">
                  <c:v>Harmonization</c:v>
                </c:pt>
                <c:pt idx="1">
                  <c:v>IT</c:v>
                </c:pt>
                <c:pt idx="2">
                  <c:v>Trust/Security</c:v>
                </c:pt>
                <c:pt idx="3">
                  <c:v>GTM</c:v>
                </c:pt>
                <c:pt idx="4">
                  <c:v>Product</c:v>
                </c:pt>
                <c:pt idx="5">
                  <c:v>External Sales</c:v>
                </c:pt>
                <c:pt idx="6">
                  <c:v>CSG</c:v>
                </c:pt>
                <c:pt idx="7">
                  <c:v>Brand Integration</c:v>
                </c:pt>
              </c:strCache>
            </c:strRef>
          </c:cat>
          <c:val>
            <c:numRef>
              <c:f>Graphs!$C$19:$C$26</c:f>
              <c:numCache>
                <c:formatCode>General</c:formatCode>
                <c:ptCount val="8"/>
                <c:pt idx="0">
                  <c:v>24</c:v>
                </c:pt>
                <c:pt idx="1">
                  <c:v>24</c:v>
                </c:pt>
                <c:pt idx="2">
                  <c:v>24</c:v>
                </c:pt>
                <c:pt idx="3">
                  <c:v>24</c:v>
                </c:pt>
                <c:pt idx="4">
                  <c:v>24</c:v>
                </c:pt>
                <c:pt idx="5">
                  <c:v>27</c:v>
                </c:pt>
                <c:pt idx="6">
                  <c:v>27</c:v>
                </c:pt>
                <c:pt idx="7">
                  <c:v>27</c:v>
                </c:pt>
              </c:numCache>
            </c:numRef>
          </c:val>
          <c:extLst>
            <c:ext xmlns:c16="http://schemas.microsoft.com/office/drawing/2014/chart" uri="{C3380CC4-5D6E-409C-BE32-E72D297353CC}">
              <c16:uniqueId val="{00000008-85F7-445D-8307-836C9B5BB8AD}"/>
            </c:ext>
          </c:extLst>
        </c:ser>
        <c:dLbls>
          <c:showLegendKey val="0"/>
          <c:showVal val="0"/>
          <c:showCatName val="0"/>
          <c:showSerName val="0"/>
          <c:showPercent val="0"/>
          <c:showBubbleSize val="0"/>
        </c:dLbls>
        <c:gapWidth val="182"/>
        <c:axId val="89369600"/>
        <c:axId val="89383680"/>
        <c:extLst/>
      </c:barChart>
      <c:catAx>
        <c:axId val="893696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3680"/>
        <c:crosses val="autoZero"/>
        <c:auto val="1"/>
        <c:lblAlgn val="ctr"/>
        <c:lblOffset val="100"/>
        <c:noMultiLvlLbl val="0"/>
      </c:catAx>
      <c:valAx>
        <c:axId val="89383680"/>
        <c:scaling>
          <c:orientation val="minMax"/>
          <c:max val="15"/>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layout>
            <c:manualLayout>
              <c:xMode val="edge"/>
              <c:yMode val="edge"/>
              <c:x val="0.51843847635540241"/>
              <c:y val="0.925254085222931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69600"/>
        <c:crosses val="autoZero"/>
        <c:crossBetween val="between"/>
        <c:majorUnit val="3"/>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55157267789707E-2"/>
          <c:y val="5.4860595255781713E-2"/>
          <c:w val="0.96230736847344378"/>
          <c:h val="0.53823377681238116"/>
        </c:manualLayout>
      </c:layout>
      <c:barChart>
        <c:barDir val="col"/>
        <c:grouping val="clustered"/>
        <c:varyColors val="0"/>
        <c:ser>
          <c:idx val="0"/>
          <c:order val="0"/>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1-4A96-4FFA-9601-75BCECA5998A}"/>
              </c:ext>
            </c:extLst>
          </c:dPt>
          <c:dPt>
            <c:idx val="1"/>
            <c:invertIfNegative val="0"/>
            <c:bubble3D val="0"/>
            <c:extLst>
              <c:ext xmlns:c16="http://schemas.microsoft.com/office/drawing/2014/chart" uri="{C3380CC4-5D6E-409C-BE32-E72D297353CC}">
                <c16:uniqueId val="{00000003-4A96-4FFA-9601-75BCECA5998A}"/>
              </c:ext>
            </c:extLst>
          </c:dPt>
          <c:dPt>
            <c:idx val="2"/>
            <c:invertIfNegative val="0"/>
            <c:bubble3D val="0"/>
            <c:extLst>
              <c:ext xmlns:c16="http://schemas.microsoft.com/office/drawing/2014/chart" uri="{C3380CC4-5D6E-409C-BE32-E72D297353CC}">
                <c16:uniqueId val="{00000005-4A96-4FFA-9601-75BCECA5998A}"/>
              </c:ext>
            </c:extLst>
          </c:dPt>
          <c:dPt>
            <c:idx val="3"/>
            <c:invertIfNegative val="0"/>
            <c:bubble3D val="0"/>
            <c:extLst>
              <c:ext xmlns:c16="http://schemas.microsoft.com/office/drawing/2014/chart" uri="{C3380CC4-5D6E-409C-BE32-E72D297353CC}">
                <c16:uniqueId val="{00000007-4A96-4FFA-9601-75BCECA5998A}"/>
              </c:ext>
            </c:extLst>
          </c:dPt>
          <c:dPt>
            <c:idx val="4"/>
            <c:invertIfNegative val="0"/>
            <c:bubble3D val="0"/>
            <c:extLst>
              <c:ext xmlns:c16="http://schemas.microsoft.com/office/drawing/2014/chart" uri="{C3380CC4-5D6E-409C-BE32-E72D297353CC}">
                <c16:uniqueId val="{00000009-4A96-4FFA-9601-75BCECA5998A}"/>
              </c:ext>
            </c:extLst>
          </c:dPt>
          <c:dPt>
            <c:idx val="5"/>
            <c:invertIfNegative val="0"/>
            <c:bubble3D val="0"/>
            <c:extLst>
              <c:ext xmlns:c16="http://schemas.microsoft.com/office/drawing/2014/chart" uri="{C3380CC4-5D6E-409C-BE32-E72D297353CC}">
                <c16:uniqueId val="{0000000B-D18A-4FB3-B936-65FCFD272383}"/>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Graphs!$A$3:$A$9</c15:sqref>
                  </c15:fullRef>
                </c:ext>
              </c:extLst>
              <c:f>(Graphs!$A$3:$A$7,Graphs!$A$9)</c:f>
              <c:strCache>
                <c:ptCount val="6"/>
                <c:pt idx="0">
                  <c:v>Product</c:v>
                </c:pt>
                <c:pt idx="1">
                  <c:v>GTM</c:v>
                </c:pt>
                <c:pt idx="2">
                  <c:v>People</c:v>
                </c:pt>
                <c:pt idx="3">
                  <c:v>Back Office</c:v>
                </c:pt>
                <c:pt idx="4">
                  <c:v>Trust</c:v>
                </c:pt>
                <c:pt idx="5">
                  <c:v>Budget Left</c:v>
                </c:pt>
              </c:strCache>
            </c:strRef>
          </c:cat>
          <c:val>
            <c:numRef>
              <c:extLst>
                <c:ext xmlns:c15="http://schemas.microsoft.com/office/drawing/2012/chart" uri="{02D57815-91ED-43cb-92C2-25804820EDAC}">
                  <c15:fullRef>
                    <c15:sqref>Graphs!$B$3:$B$9</c15:sqref>
                  </c15:fullRef>
                </c:ext>
              </c:extLst>
              <c:f>(Graphs!$B$3:$B$7,Graphs!$B$9)</c:f>
              <c:numCache>
                <c:formatCode>0%</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C-4A96-4FFA-9601-75BCECA5998A}"/>
            </c:ext>
          </c:extLst>
        </c:ser>
        <c:dLbls>
          <c:showLegendKey val="0"/>
          <c:showVal val="0"/>
          <c:showCatName val="0"/>
          <c:showSerName val="0"/>
          <c:showPercent val="0"/>
          <c:showBubbleSize val="0"/>
        </c:dLbls>
        <c:gapWidth val="100"/>
        <c:axId val="89193472"/>
        <c:axId val="89481984"/>
      </c:barChart>
      <c:catAx>
        <c:axId val="891934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481984"/>
        <c:crosses val="autoZero"/>
        <c:auto val="1"/>
        <c:lblAlgn val="ctr"/>
        <c:lblOffset val="100"/>
        <c:noMultiLvlLbl val="0"/>
      </c:catAx>
      <c:valAx>
        <c:axId val="89481984"/>
        <c:scaling>
          <c:orientation val="minMax"/>
        </c:scaling>
        <c:delete val="1"/>
        <c:axPos val="l"/>
        <c:numFmt formatCode="0%" sourceLinked="1"/>
        <c:majorTickMark val="out"/>
        <c:minorTickMark val="none"/>
        <c:tickLblPos val="nextTo"/>
        <c:crossAx val="891934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Actual</a:t>
            </a:r>
            <a:r>
              <a:rPr lang="en-US" baseline="0"/>
              <a:t> and Forecasted Revenue Growth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CaseGraphs!$B$3</c:f>
              <c:strCache>
                <c:ptCount val="1"/>
                <c:pt idx="0">
                  <c:v>Core Business</c:v>
                </c:pt>
              </c:strCache>
            </c:strRef>
          </c:tx>
          <c:spPr>
            <a:ln w="28575" cap="rnd">
              <a:solidFill>
                <a:schemeClr val="accent2"/>
              </a:solidFill>
              <a:round/>
            </a:ln>
            <a:effectLst/>
          </c:spPr>
          <c:marker>
            <c:symbol val="square"/>
            <c:size val="8"/>
            <c:spPr>
              <a:solidFill>
                <a:schemeClr val="accent2"/>
              </a:solidFill>
              <a:ln w="9525">
                <a:solidFill>
                  <a:schemeClr val="accent2"/>
                </a:solidFill>
              </a:ln>
              <a:effectLst/>
            </c:spPr>
          </c:marker>
          <c:cat>
            <c:strRef>
              <c:f>CaseGraphs!$C$1:$F$1</c:f>
              <c:strCache>
                <c:ptCount val="4"/>
                <c:pt idx="0">
                  <c:v>Y0</c:v>
                </c:pt>
                <c:pt idx="1">
                  <c:v>Y1</c:v>
                </c:pt>
                <c:pt idx="2">
                  <c:v>Y2</c:v>
                </c:pt>
                <c:pt idx="3">
                  <c:v>Y3</c:v>
                </c:pt>
              </c:strCache>
            </c:strRef>
          </c:cat>
          <c:val>
            <c:numRef>
              <c:f>CaseGraphs!$C$3:$F$3</c:f>
              <c:numCache>
                <c:formatCode>0.0%</c:formatCode>
                <c:ptCount val="4"/>
                <c:pt idx="0" formatCode="0%">
                  <c:v>0.13</c:v>
                </c:pt>
                <c:pt idx="1">
                  <c:v>0.12999999999999989</c:v>
                </c:pt>
                <c:pt idx="2">
                  <c:v>0.1100000000000001</c:v>
                </c:pt>
                <c:pt idx="3">
                  <c:v>0.10000000000000009</c:v>
                </c:pt>
              </c:numCache>
            </c:numRef>
          </c:val>
          <c:smooth val="0"/>
          <c:extLst>
            <c:ext xmlns:c16="http://schemas.microsoft.com/office/drawing/2014/chart" uri="{C3380CC4-5D6E-409C-BE32-E72D297353CC}">
              <c16:uniqueId val="{00000000-7A5B-4ADE-9CA5-312FE3FEDA58}"/>
            </c:ext>
          </c:extLst>
        </c:ser>
        <c:ser>
          <c:idx val="3"/>
          <c:order val="3"/>
          <c:tx>
            <c:strRef>
              <c:f>CaseGraphs!$B$5</c:f>
              <c:strCache>
                <c:ptCount val="1"/>
                <c:pt idx="0">
                  <c:v>Snowflake</c:v>
                </c:pt>
              </c:strCache>
            </c:strRef>
          </c:tx>
          <c:spPr>
            <a:ln w="28575" cap="rnd">
              <a:solidFill>
                <a:schemeClr val="accent4"/>
              </a:solidFill>
              <a:round/>
            </a:ln>
            <a:effectLst/>
          </c:spPr>
          <c:marker>
            <c:symbol val="triangle"/>
            <c:size val="7"/>
            <c:spPr>
              <a:solidFill>
                <a:schemeClr val="accent4"/>
              </a:solidFill>
              <a:ln w="9525">
                <a:solidFill>
                  <a:schemeClr val="accent4"/>
                </a:solidFill>
              </a:ln>
              <a:effectLst/>
            </c:spPr>
          </c:marker>
          <c:cat>
            <c:strRef>
              <c:f>CaseGraphs!$C$1:$F$1</c:f>
              <c:strCache>
                <c:ptCount val="4"/>
                <c:pt idx="0">
                  <c:v>Y0</c:v>
                </c:pt>
                <c:pt idx="1">
                  <c:v>Y1</c:v>
                </c:pt>
                <c:pt idx="2">
                  <c:v>Y2</c:v>
                </c:pt>
                <c:pt idx="3">
                  <c:v>Y3</c:v>
                </c:pt>
              </c:strCache>
            </c:strRef>
          </c:cat>
          <c:val>
            <c:numRef>
              <c:f>CaseGraphs!$C$5:$F$5</c:f>
              <c:numCache>
                <c:formatCode>0.0%</c:formatCode>
                <c:ptCount val="4"/>
                <c:pt idx="0" formatCode="0%">
                  <c:v>0.4</c:v>
                </c:pt>
                <c:pt idx="1">
                  <c:v>0.446659179158994</c:v>
                </c:pt>
                <c:pt idx="2">
                  <c:v>0.36534359141448292</c:v>
                </c:pt>
                <c:pt idx="3">
                  <c:v>0.35000000000000009</c:v>
                </c:pt>
              </c:numCache>
            </c:numRef>
          </c:val>
          <c:smooth val="0"/>
          <c:extLst>
            <c:ext xmlns:c16="http://schemas.microsoft.com/office/drawing/2014/chart" uri="{C3380CC4-5D6E-409C-BE32-E72D297353CC}">
              <c16:uniqueId val="{00000001-7A5B-4ADE-9CA5-312FE3FEDA58}"/>
            </c:ext>
          </c:extLst>
        </c:ser>
        <c:dLbls>
          <c:showLegendKey val="0"/>
          <c:showVal val="0"/>
          <c:showCatName val="0"/>
          <c:showSerName val="0"/>
          <c:showPercent val="0"/>
          <c:showBubbleSize val="0"/>
        </c:dLbls>
        <c:marker val="1"/>
        <c:smooth val="0"/>
        <c:axId val="71044096"/>
        <c:axId val="71058560"/>
        <c:extLst>
          <c:ext xmlns:c15="http://schemas.microsoft.com/office/drawing/2012/chart" uri="{02D57815-91ED-43cb-92C2-25804820EDAC}">
            <c15:filteredLineSeries>
              <c15:ser>
                <c:idx val="0"/>
                <c:order val="0"/>
                <c:tx>
                  <c:strRef>
                    <c:extLst>
                      <c:ext uri="{02D57815-91ED-43cb-92C2-25804820EDAC}">
                        <c15:formulaRef>
                          <c15:sqref>CaseGraphs!$B$2</c15:sqref>
                        </c15:formulaRef>
                      </c:ext>
                    </c:extLst>
                    <c:strCache>
                      <c:ptCount val="1"/>
                      <c:pt idx="0">
                        <c:v>Core Business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CaseGraphs!$C$1:$F$1</c15:sqref>
                        </c15:formulaRef>
                      </c:ext>
                    </c:extLst>
                    <c:strCache>
                      <c:ptCount val="4"/>
                      <c:pt idx="0">
                        <c:v>Y0</c:v>
                      </c:pt>
                      <c:pt idx="1">
                        <c:v>Y1</c:v>
                      </c:pt>
                      <c:pt idx="2">
                        <c:v>Y2</c:v>
                      </c:pt>
                      <c:pt idx="3">
                        <c:v>Y3</c:v>
                      </c:pt>
                    </c:strCache>
                  </c:strRef>
                </c:cat>
                <c:val>
                  <c:numRef>
                    <c:extLst>
                      <c:ext uri="{02D57815-91ED-43cb-92C2-25804820EDAC}">
                        <c15:formulaRef>
                          <c15:sqref>CaseGraphs!$C$2:$F$2</c15:sqref>
                        </c15:formulaRef>
                      </c:ext>
                    </c:extLst>
                    <c:numCache>
                      <c:formatCode>#,##0</c:formatCode>
                      <c:ptCount val="4"/>
                      <c:pt idx="0">
                        <c:v>6667216000</c:v>
                      </c:pt>
                      <c:pt idx="1">
                        <c:v>7533954079.999999</c:v>
                      </c:pt>
                      <c:pt idx="2">
                        <c:v>8362689028.7999992</c:v>
                      </c:pt>
                      <c:pt idx="3">
                        <c:v>9198957931.6800003</c:v>
                      </c:pt>
                    </c:numCache>
                  </c:numRef>
                </c:val>
                <c:smooth val="0"/>
                <c:extLst>
                  <c:ext xmlns:c16="http://schemas.microsoft.com/office/drawing/2014/chart" uri="{C3380CC4-5D6E-409C-BE32-E72D297353CC}">
                    <c16:uniqueId val="{00000002-7A5B-4ADE-9CA5-312FE3FEDA58}"/>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CaseGraphs!$B$4</c15:sqref>
                        </c15:formulaRef>
                      </c:ext>
                    </c:extLst>
                    <c:strCache>
                      <c:ptCount val="1"/>
                      <c:pt idx="0">
                        <c:v>Snowflake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xmlns:c15="http://schemas.microsoft.com/office/drawing/2012/chart">
                      <c:ext xmlns:c15="http://schemas.microsoft.com/office/drawing/2012/chart" uri="{02D57815-91ED-43cb-92C2-25804820EDAC}">
                        <c15:formulaRef>
                          <c15:sqref>CaseGraphs!$C$1:$F$1</c15:sqref>
                        </c15:formulaRef>
                      </c:ext>
                    </c:extLst>
                    <c:strCache>
                      <c:ptCount val="4"/>
                      <c:pt idx="0">
                        <c:v>Y0</c:v>
                      </c:pt>
                      <c:pt idx="1">
                        <c:v>Y1</c:v>
                      </c:pt>
                      <c:pt idx="2">
                        <c:v>Y2</c:v>
                      </c:pt>
                      <c:pt idx="3">
                        <c:v>Y3</c:v>
                      </c:pt>
                    </c:strCache>
                  </c:strRef>
                </c:cat>
                <c:val>
                  <c:numRef>
                    <c:extLst xmlns:c15="http://schemas.microsoft.com/office/drawing/2012/chart">
                      <c:ext xmlns:c15="http://schemas.microsoft.com/office/drawing/2012/chart" uri="{02D57815-91ED-43cb-92C2-25804820EDAC}">
                        <c15:formulaRef>
                          <c15:sqref>CaseGraphs!$C$4:$F$4</c15:sqref>
                        </c15:formulaRef>
                      </c:ext>
                    </c:extLst>
                    <c:numCache>
                      <c:formatCode>#,##0</c:formatCode>
                      <c:ptCount val="4"/>
                      <c:pt idx="0">
                        <c:v>97519391.714228541</c:v>
                      </c:pt>
                      <c:pt idx="1">
                        <c:v>141077323.16939026</c:v>
                      </c:pt>
                      <c:pt idx="2">
                        <c:v>192619019.08323693</c:v>
                      </c:pt>
                      <c:pt idx="3">
                        <c:v>260035675.76236987</c:v>
                      </c:pt>
                    </c:numCache>
                  </c:numRef>
                </c:val>
                <c:smooth val="0"/>
                <c:extLst xmlns:c15="http://schemas.microsoft.com/office/drawing/2012/chart">
                  <c:ext xmlns:c16="http://schemas.microsoft.com/office/drawing/2014/chart" uri="{C3380CC4-5D6E-409C-BE32-E72D297353CC}">
                    <c16:uniqueId val="{00000003-7A5B-4ADE-9CA5-312FE3FEDA58}"/>
                  </c:ext>
                </c:extLst>
              </c15:ser>
            </c15:filteredLineSeries>
          </c:ext>
        </c:extLst>
      </c:lineChart>
      <c:catAx>
        <c:axId val="7104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58560"/>
        <c:crosses val="autoZero"/>
        <c:auto val="1"/>
        <c:lblAlgn val="ctr"/>
        <c:lblOffset val="100"/>
        <c:noMultiLvlLbl val="0"/>
      </c:catAx>
      <c:valAx>
        <c:axId val="71058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44096"/>
        <c:crosses val="autoZero"/>
        <c:crossBetween val="between"/>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Gotham Book"/>
                <a:ea typeface="+mn-ea"/>
                <a:cs typeface="+mn-cs"/>
              </a:defRPr>
            </a:pPr>
            <a:r>
              <a:rPr lang="en-US"/>
              <a:t>Snowflake Y0 Customer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Gotham Book"/>
              <a:ea typeface="+mn-ea"/>
              <a:cs typeface="+mn-cs"/>
            </a:defRPr>
          </a:pPr>
          <a:endParaRPr lang="en-US"/>
        </a:p>
      </c:txPr>
    </c:title>
    <c:autoTitleDeleted val="0"/>
    <c:plotArea>
      <c:layout/>
      <c:barChart>
        <c:barDir val="col"/>
        <c:grouping val="percentStacked"/>
        <c:varyColors val="0"/>
        <c:ser>
          <c:idx val="0"/>
          <c:order val="0"/>
          <c:tx>
            <c:strRef>
              <c:f>CaseGraphs!$B$10</c:f>
              <c:strCache>
                <c:ptCount val="1"/>
                <c:pt idx="0">
                  <c:v>Enterprise</c:v>
                </c:pt>
              </c:strCache>
            </c:strRef>
          </c:tx>
          <c:spPr>
            <a:solidFill>
              <a:schemeClr val="accent1"/>
            </a:solidFill>
            <a:ln>
              <a:solidFill>
                <a:schemeClr val="bg1"/>
              </a:solidFill>
            </a:ln>
            <a:effectLst/>
          </c:spPr>
          <c:invertIfNegative val="0"/>
          <c:cat>
            <c:strRef>
              <c:f>CaseGraphs!$C$9:$D$9</c:f>
              <c:strCache>
                <c:ptCount val="2"/>
                <c:pt idx="0">
                  <c:v>Revenue</c:v>
                </c:pt>
                <c:pt idx="1">
                  <c:v>Customers</c:v>
                </c:pt>
              </c:strCache>
            </c:strRef>
          </c:cat>
          <c:val>
            <c:numRef>
              <c:f>CaseGraphs!$C$10:$D$10</c:f>
              <c:numCache>
                <c:formatCode>0%</c:formatCode>
                <c:ptCount val="2"/>
                <c:pt idx="0">
                  <c:v>0.5</c:v>
                </c:pt>
                <c:pt idx="1">
                  <c:v>0.1</c:v>
                </c:pt>
              </c:numCache>
            </c:numRef>
          </c:val>
          <c:extLst>
            <c:ext xmlns:c16="http://schemas.microsoft.com/office/drawing/2014/chart" uri="{C3380CC4-5D6E-409C-BE32-E72D297353CC}">
              <c16:uniqueId val="{00000000-7EFD-493D-88E0-A55B9603AF57}"/>
            </c:ext>
          </c:extLst>
        </c:ser>
        <c:ser>
          <c:idx val="1"/>
          <c:order val="1"/>
          <c:tx>
            <c:strRef>
              <c:f>CaseGraphs!$B$11</c:f>
              <c:strCache>
                <c:ptCount val="1"/>
                <c:pt idx="0">
                  <c:v>ESMB</c:v>
                </c:pt>
              </c:strCache>
            </c:strRef>
          </c:tx>
          <c:spPr>
            <a:solidFill>
              <a:schemeClr val="accent2"/>
            </a:solidFill>
            <a:ln>
              <a:solidFill>
                <a:schemeClr val="bg1"/>
              </a:solidFill>
            </a:ln>
            <a:effectLst/>
          </c:spPr>
          <c:invertIfNegative val="0"/>
          <c:cat>
            <c:strRef>
              <c:f>CaseGraphs!$C$9:$D$9</c:f>
              <c:strCache>
                <c:ptCount val="2"/>
                <c:pt idx="0">
                  <c:v>Revenue</c:v>
                </c:pt>
                <c:pt idx="1">
                  <c:v>Customers</c:v>
                </c:pt>
              </c:strCache>
            </c:strRef>
          </c:cat>
          <c:val>
            <c:numRef>
              <c:f>CaseGraphs!$C$11:$D$11</c:f>
              <c:numCache>
                <c:formatCode>0%</c:formatCode>
                <c:ptCount val="2"/>
                <c:pt idx="0">
                  <c:v>0.35</c:v>
                </c:pt>
                <c:pt idx="1">
                  <c:v>0.65</c:v>
                </c:pt>
              </c:numCache>
            </c:numRef>
          </c:val>
          <c:extLst>
            <c:ext xmlns:c16="http://schemas.microsoft.com/office/drawing/2014/chart" uri="{C3380CC4-5D6E-409C-BE32-E72D297353CC}">
              <c16:uniqueId val="{00000001-7EFD-493D-88E0-A55B9603AF57}"/>
            </c:ext>
          </c:extLst>
        </c:ser>
        <c:ser>
          <c:idx val="2"/>
          <c:order val="2"/>
          <c:tx>
            <c:strRef>
              <c:f>CaseGraphs!$B$12</c:f>
              <c:strCache>
                <c:ptCount val="1"/>
                <c:pt idx="0">
                  <c:v>Commercial</c:v>
                </c:pt>
              </c:strCache>
            </c:strRef>
          </c:tx>
          <c:spPr>
            <a:solidFill>
              <a:schemeClr val="accent3"/>
            </a:solidFill>
            <a:ln>
              <a:solidFill>
                <a:schemeClr val="bg1"/>
              </a:solidFill>
            </a:ln>
            <a:effectLst/>
          </c:spPr>
          <c:invertIfNegative val="0"/>
          <c:cat>
            <c:strRef>
              <c:f>CaseGraphs!$C$9:$D$9</c:f>
              <c:strCache>
                <c:ptCount val="2"/>
                <c:pt idx="0">
                  <c:v>Revenue</c:v>
                </c:pt>
                <c:pt idx="1">
                  <c:v>Customers</c:v>
                </c:pt>
              </c:strCache>
            </c:strRef>
          </c:cat>
          <c:val>
            <c:numRef>
              <c:f>CaseGraphs!$C$12:$D$12</c:f>
              <c:numCache>
                <c:formatCode>0%</c:formatCode>
                <c:ptCount val="2"/>
                <c:pt idx="0">
                  <c:v>0.15</c:v>
                </c:pt>
                <c:pt idx="1">
                  <c:v>0.45</c:v>
                </c:pt>
              </c:numCache>
            </c:numRef>
          </c:val>
          <c:extLst>
            <c:ext xmlns:c16="http://schemas.microsoft.com/office/drawing/2014/chart" uri="{C3380CC4-5D6E-409C-BE32-E72D297353CC}">
              <c16:uniqueId val="{00000002-7EFD-493D-88E0-A55B9603AF57}"/>
            </c:ext>
          </c:extLst>
        </c:ser>
        <c:dLbls>
          <c:showLegendKey val="0"/>
          <c:showVal val="0"/>
          <c:showCatName val="0"/>
          <c:showSerName val="0"/>
          <c:showPercent val="0"/>
          <c:showBubbleSize val="0"/>
        </c:dLbls>
        <c:gapWidth val="150"/>
        <c:overlap val="100"/>
        <c:axId val="71102464"/>
        <c:axId val="71104000"/>
      </c:barChart>
      <c:catAx>
        <c:axId val="7110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otham Book"/>
                <a:ea typeface="+mn-ea"/>
                <a:cs typeface="+mn-cs"/>
              </a:defRPr>
            </a:pPr>
            <a:endParaRPr lang="en-US"/>
          </a:p>
        </c:txPr>
        <c:crossAx val="71104000"/>
        <c:crosses val="autoZero"/>
        <c:auto val="1"/>
        <c:lblAlgn val="ctr"/>
        <c:lblOffset val="100"/>
        <c:noMultiLvlLbl val="0"/>
      </c:catAx>
      <c:valAx>
        <c:axId val="71104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Gotham Book"/>
                <a:ea typeface="+mn-ea"/>
                <a:cs typeface="+mn-cs"/>
              </a:defRPr>
            </a:pPr>
            <a:endParaRPr lang="en-US"/>
          </a:p>
        </c:txPr>
        <c:crossAx val="71102464"/>
        <c:crosses val="autoZero"/>
        <c:crossBetween val="between"/>
      </c:valAx>
      <c:spPr>
        <a:solidFill>
          <a:schemeClr val="bg1">
            <a:lumMod val="95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Gotham Book"/>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latin typeface="Gotham Book"/>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chart" Target="../charts/chart4.xml"/><Relationship Id="rId5" Type="http://schemas.openxmlformats.org/officeDocument/2006/relationships/chart" Target="../charts/chart5.xml"/><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chart" Target="../charts/chart10.xml"/><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7.pn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12</xdr:col>
      <xdr:colOff>161925</xdr:colOff>
      <xdr:row>9</xdr:row>
      <xdr:rowOff>9525</xdr:rowOff>
    </xdr:from>
    <xdr:to>
      <xdr:col>12</xdr:col>
      <xdr:colOff>171450</xdr:colOff>
      <xdr:row>25</xdr:row>
      <xdr:rowOff>0</xdr:rowOff>
    </xdr:to>
    <xdr:cxnSp macro="">
      <xdr:nvCxnSpPr>
        <xdr:cNvPr id="2" name="Straight Arrow Connector 1">
          <a:extLst>
            <a:ext uri="{FF2B5EF4-FFF2-40B4-BE49-F238E27FC236}">
              <a16:creationId xmlns:a16="http://schemas.microsoft.com/office/drawing/2014/main" id="{00000000-0008-0000-0300-000002000000}"/>
            </a:ext>
          </a:extLst>
        </xdr:cNvPr>
        <xdr:cNvCxnSpPr/>
      </xdr:nvCxnSpPr>
      <xdr:spPr>
        <a:xfrm>
          <a:off x="14077950" y="1771650"/>
          <a:ext cx="9525" cy="3000375"/>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xdr:colOff>
      <xdr:row>27</xdr:row>
      <xdr:rowOff>76200</xdr:rowOff>
    </xdr:from>
    <xdr:to>
      <xdr:col>4</xdr:col>
      <xdr:colOff>2038350</xdr:colOff>
      <xdr:row>27</xdr:row>
      <xdr:rowOff>76200</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a:off x="2200275" y="5248275"/>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56</xdr:row>
      <xdr:rowOff>123825</xdr:rowOff>
    </xdr:from>
    <xdr:to>
      <xdr:col>4</xdr:col>
      <xdr:colOff>1009650</xdr:colOff>
      <xdr:row>56</xdr:row>
      <xdr:rowOff>123825</xdr:rowOff>
    </xdr:to>
    <xdr:cxnSp macro="">
      <xdr:nvCxnSpPr>
        <xdr:cNvPr id="4" name="Straight Arrow Connector 3">
          <a:extLst>
            <a:ext uri="{FF2B5EF4-FFF2-40B4-BE49-F238E27FC236}">
              <a16:creationId xmlns:a16="http://schemas.microsoft.com/office/drawing/2014/main" id="{00000000-0008-0000-0300-000004000000}"/>
            </a:ext>
          </a:extLst>
        </xdr:cNvPr>
        <xdr:cNvCxnSpPr/>
      </xdr:nvCxnSpPr>
      <xdr:spPr>
        <a:xfrm>
          <a:off x="2390775" y="12030075"/>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xdr:row>
      <xdr:rowOff>123825</xdr:rowOff>
    </xdr:from>
    <xdr:to>
      <xdr:col>4</xdr:col>
      <xdr:colOff>990600</xdr:colOff>
      <xdr:row>4</xdr:row>
      <xdr:rowOff>123825</xdr:rowOff>
    </xdr:to>
    <xdr:cxnSp macro="">
      <xdr:nvCxnSpPr>
        <xdr:cNvPr id="5" name="Straight Arrow Connector 4">
          <a:extLst>
            <a:ext uri="{FF2B5EF4-FFF2-40B4-BE49-F238E27FC236}">
              <a16:creationId xmlns:a16="http://schemas.microsoft.com/office/drawing/2014/main" id="{00000000-0008-0000-0300-000005000000}"/>
            </a:ext>
          </a:extLst>
        </xdr:cNvPr>
        <xdr:cNvCxnSpPr/>
      </xdr:nvCxnSpPr>
      <xdr:spPr>
        <a:xfrm>
          <a:off x="2371725" y="1009650"/>
          <a:ext cx="990600" cy="0"/>
        </a:xfrm>
        <a:prstGeom prst="straightConnector1">
          <a:avLst/>
        </a:prstGeom>
        <a:ln w="38100">
          <a:solidFill>
            <a:srgbClr val="92D05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593912</xdr:colOff>
      <xdr:row>15</xdr:row>
      <xdr:rowOff>156883</xdr:rowOff>
    </xdr:from>
    <xdr:ext cx="1596837" cy="264584"/>
    <xdr:grpSp>
      <xdr:nvGrpSpPr>
        <xdr:cNvPr id="2" name="Group 1">
          <a:extLst>
            <a:ext uri="{FF2B5EF4-FFF2-40B4-BE49-F238E27FC236}">
              <a16:creationId xmlns:a16="http://schemas.microsoft.com/office/drawing/2014/main" id="{00000000-0008-0000-0500-000002000000}"/>
            </a:ext>
          </a:extLst>
        </xdr:cNvPr>
        <xdr:cNvGrpSpPr/>
      </xdr:nvGrpSpPr>
      <xdr:grpSpPr>
        <a:xfrm>
          <a:off x="5805992" y="2808643"/>
          <a:ext cx="1596837" cy="264584"/>
          <a:chOff x="2190750" y="740833"/>
          <a:chExt cx="1598083" cy="264583"/>
        </a:xfrm>
      </xdr:grpSpPr>
      <xdr:sp macro="" textlink="">
        <xdr:nvSpPr>
          <xdr:cNvPr id="3" name="Rectangle 2">
            <a:extLst>
              <a:ext uri="{FF2B5EF4-FFF2-40B4-BE49-F238E27FC236}">
                <a16:creationId xmlns:a16="http://schemas.microsoft.com/office/drawing/2014/main" id="{00000000-0008-0000-0500-000003000000}"/>
              </a:ext>
            </a:extLst>
          </xdr:cNvPr>
          <xdr:cNvSpPr/>
        </xdr:nvSpPr>
        <xdr:spPr bwMode="auto">
          <a:xfrm>
            <a:off x="2190750" y="740833"/>
            <a:ext cx="1598083" cy="264583"/>
          </a:xfrm>
          <a:prstGeom prst="rect">
            <a:avLst/>
          </a:prstGeom>
          <a:no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l"/>
            <a:r>
              <a:rPr lang="en-US" sz="1200" u="sng">
                <a:solidFill>
                  <a:schemeClr val="accent1"/>
                </a:solidFill>
                <a:latin typeface="Verdana" panose="020B0604030504040204" pitchFamily="34" charset="0"/>
                <a:ea typeface="Verdana" panose="020B0604030504040204" pitchFamily="34" charset="0"/>
                <a:cs typeface="Verdana" panose="020B0604030504040204" pitchFamily="34" charset="0"/>
              </a:rPr>
              <a:t>Navigation Menu</a:t>
            </a:r>
          </a:p>
        </xdr:txBody>
      </xdr:sp>
      <xdr:sp macro="" textlink="">
        <xdr:nvSpPr>
          <xdr:cNvPr id="4" name="Isosceles Triangle 3">
            <a:extLst>
              <a:ext uri="{FF2B5EF4-FFF2-40B4-BE49-F238E27FC236}">
                <a16:creationId xmlns:a16="http://schemas.microsoft.com/office/drawing/2014/main" id="{00000000-0008-0000-0500-000004000000}"/>
              </a:ext>
            </a:extLst>
          </xdr:cNvPr>
          <xdr:cNvSpPr/>
        </xdr:nvSpPr>
        <xdr:spPr bwMode="auto">
          <a:xfrm rot="5400000">
            <a:off x="3614430" y="810046"/>
            <a:ext cx="146341" cy="126156"/>
          </a:xfrm>
          <a:prstGeom prst="triangle">
            <a:avLst/>
          </a:prstGeom>
          <a:solidFill>
            <a:schemeClr val="tx2"/>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solidFill>
                <a:schemeClr val="accent1"/>
              </a:solidFill>
              <a:latin typeface="Verdana" panose="020B0604030504040204" pitchFamily="34" charset="0"/>
              <a:ea typeface="Verdana" panose="020B0604030504040204" pitchFamily="34" charset="0"/>
              <a:cs typeface="Verdana" panose="020B0604030504040204" pitchFamily="34" charset="0"/>
            </a:endParaRPr>
          </a:p>
        </xdr:txBody>
      </xdr:sp>
    </xdr:grpSp>
    <xdr:clientData/>
  </xdr:oneCellAnchor>
  <mc:AlternateContent xmlns:mc="http://schemas.openxmlformats.org/markup-compatibility/2006">
    <mc:Choice xmlns:a14="http://schemas.microsoft.com/office/drawing/2010/main" Requires="a14">
      <xdr:twoCellAnchor>
        <xdr:from>
          <xdr:col>4</xdr:col>
          <xdr:colOff>342900</xdr:colOff>
          <xdr:row>44</xdr:row>
          <xdr:rowOff>22860</xdr:rowOff>
        </xdr:from>
        <xdr:to>
          <xdr:col>6</xdr:col>
          <xdr:colOff>327660</xdr:colOff>
          <xdr:row>46</xdr:row>
          <xdr:rowOff>152400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500-0000010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2) Format Nav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22860</xdr:rowOff>
        </xdr:from>
        <xdr:to>
          <xdr:col>3</xdr:col>
          <xdr:colOff>38100</xdr:colOff>
          <xdr:row>46</xdr:row>
          <xdr:rowOff>152400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500-0000020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1) Tabulate Nav Layout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638175</xdr:colOff>
      <xdr:row>29</xdr:row>
      <xdr:rowOff>476251</xdr:rowOff>
    </xdr:from>
    <xdr:to>
      <xdr:col>5</xdr:col>
      <xdr:colOff>866775</xdr:colOff>
      <xdr:row>29</xdr:row>
      <xdr:rowOff>704851</xdr:rowOff>
    </xdr:to>
    <xdr:sp macro="[0]!InfoButton_Click" textlink="">
      <xdr:nvSpPr>
        <xdr:cNvPr id="2" name="btnInfo1">
          <a:extLst>
            <a:ext uri="{FF2B5EF4-FFF2-40B4-BE49-F238E27FC236}">
              <a16:creationId xmlns:a16="http://schemas.microsoft.com/office/drawing/2014/main" id="{00000000-0008-0000-0A00-000002000000}"/>
            </a:ext>
          </a:extLst>
        </xdr:cNvPr>
        <xdr:cNvSpPr>
          <a:spLocks noChangeAspect="1"/>
        </xdr:cNvSpPr>
      </xdr:nvSpPr>
      <xdr:spPr>
        <a:xfrm>
          <a:off x="8898255" y="6023611"/>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30</xdr:row>
      <xdr:rowOff>476250</xdr:rowOff>
    </xdr:from>
    <xdr:to>
      <xdr:col>5</xdr:col>
      <xdr:colOff>866775</xdr:colOff>
      <xdr:row>30</xdr:row>
      <xdr:rowOff>704850</xdr:rowOff>
    </xdr:to>
    <xdr:sp macro="[0]!InfoButton_Click" textlink="">
      <xdr:nvSpPr>
        <xdr:cNvPr id="3" name="btnInfo2">
          <a:extLst>
            <a:ext uri="{FF2B5EF4-FFF2-40B4-BE49-F238E27FC236}">
              <a16:creationId xmlns:a16="http://schemas.microsoft.com/office/drawing/2014/main" id="{00000000-0008-0000-0A00-000003000000}"/>
            </a:ext>
          </a:extLst>
        </xdr:cNvPr>
        <xdr:cNvSpPr>
          <a:spLocks noChangeAspect="1"/>
        </xdr:cNvSpPr>
      </xdr:nvSpPr>
      <xdr:spPr>
        <a:xfrm>
          <a:off x="8898255" y="728853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32</xdr:row>
      <xdr:rowOff>542925</xdr:rowOff>
    </xdr:from>
    <xdr:to>
      <xdr:col>5</xdr:col>
      <xdr:colOff>866775</xdr:colOff>
      <xdr:row>32</xdr:row>
      <xdr:rowOff>771525</xdr:rowOff>
    </xdr:to>
    <xdr:sp macro="[0]!InfoButton_Click" textlink="">
      <xdr:nvSpPr>
        <xdr:cNvPr id="4" name="btnInfo4">
          <a:extLst>
            <a:ext uri="{FF2B5EF4-FFF2-40B4-BE49-F238E27FC236}">
              <a16:creationId xmlns:a16="http://schemas.microsoft.com/office/drawing/2014/main" id="{00000000-0008-0000-0A00-000004000000}"/>
            </a:ext>
          </a:extLst>
        </xdr:cNvPr>
        <xdr:cNvSpPr>
          <a:spLocks noChangeAspect="1"/>
        </xdr:cNvSpPr>
      </xdr:nvSpPr>
      <xdr:spPr>
        <a:xfrm>
          <a:off x="8898255" y="988504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33</xdr:row>
      <xdr:rowOff>542925</xdr:rowOff>
    </xdr:from>
    <xdr:to>
      <xdr:col>5</xdr:col>
      <xdr:colOff>866775</xdr:colOff>
      <xdr:row>33</xdr:row>
      <xdr:rowOff>771525</xdr:rowOff>
    </xdr:to>
    <xdr:sp macro="[0]!InfoButton_Click" textlink="">
      <xdr:nvSpPr>
        <xdr:cNvPr id="5" name="btnInfo5">
          <a:extLst>
            <a:ext uri="{FF2B5EF4-FFF2-40B4-BE49-F238E27FC236}">
              <a16:creationId xmlns:a16="http://schemas.microsoft.com/office/drawing/2014/main" id="{00000000-0008-0000-0A00-000005000000}"/>
            </a:ext>
          </a:extLst>
        </xdr:cNvPr>
        <xdr:cNvSpPr>
          <a:spLocks noChangeAspect="1"/>
        </xdr:cNvSpPr>
      </xdr:nvSpPr>
      <xdr:spPr>
        <a:xfrm>
          <a:off x="8898255" y="1114996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34</xdr:row>
      <xdr:rowOff>485775</xdr:rowOff>
    </xdr:from>
    <xdr:to>
      <xdr:col>5</xdr:col>
      <xdr:colOff>866775</xdr:colOff>
      <xdr:row>34</xdr:row>
      <xdr:rowOff>714375</xdr:rowOff>
    </xdr:to>
    <xdr:sp macro="[0]!InfoButton_Click" textlink="">
      <xdr:nvSpPr>
        <xdr:cNvPr id="6" name="btnInfo6">
          <a:extLst>
            <a:ext uri="{FF2B5EF4-FFF2-40B4-BE49-F238E27FC236}">
              <a16:creationId xmlns:a16="http://schemas.microsoft.com/office/drawing/2014/main" id="{00000000-0008-0000-0A00-000006000000}"/>
            </a:ext>
          </a:extLst>
        </xdr:cNvPr>
        <xdr:cNvSpPr>
          <a:spLocks noChangeAspect="1"/>
        </xdr:cNvSpPr>
      </xdr:nvSpPr>
      <xdr:spPr>
        <a:xfrm>
          <a:off x="8898255" y="1235773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35</xdr:row>
      <xdr:rowOff>504825</xdr:rowOff>
    </xdr:from>
    <xdr:to>
      <xdr:col>5</xdr:col>
      <xdr:colOff>866775</xdr:colOff>
      <xdr:row>35</xdr:row>
      <xdr:rowOff>733425</xdr:rowOff>
    </xdr:to>
    <xdr:sp macro="[0]!InfoButton_Click" textlink="">
      <xdr:nvSpPr>
        <xdr:cNvPr id="7" name="btnInfo7">
          <a:extLst>
            <a:ext uri="{FF2B5EF4-FFF2-40B4-BE49-F238E27FC236}">
              <a16:creationId xmlns:a16="http://schemas.microsoft.com/office/drawing/2014/main" id="{00000000-0008-0000-0A00-000007000000}"/>
            </a:ext>
          </a:extLst>
        </xdr:cNvPr>
        <xdr:cNvSpPr>
          <a:spLocks noChangeAspect="1"/>
        </xdr:cNvSpPr>
      </xdr:nvSpPr>
      <xdr:spPr>
        <a:xfrm>
          <a:off x="8898255" y="1364170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36</xdr:row>
      <xdr:rowOff>523875</xdr:rowOff>
    </xdr:from>
    <xdr:to>
      <xdr:col>5</xdr:col>
      <xdr:colOff>866775</xdr:colOff>
      <xdr:row>36</xdr:row>
      <xdr:rowOff>752475</xdr:rowOff>
    </xdr:to>
    <xdr:sp macro="[0]!InfoButton_Click" textlink="">
      <xdr:nvSpPr>
        <xdr:cNvPr id="8" name="btnInfo8">
          <a:extLst>
            <a:ext uri="{FF2B5EF4-FFF2-40B4-BE49-F238E27FC236}">
              <a16:creationId xmlns:a16="http://schemas.microsoft.com/office/drawing/2014/main" id="{00000000-0008-0000-0A00-000008000000}"/>
            </a:ext>
          </a:extLst>
        </xdr:cNvPr>
        <xdr:cNvSpPr>
          <a:spLocks noChangeAspect="1"/>
        </xdr:cNvSpPr>
      </xdr:nvSpPr>
      <xdr:spPr>
        <a:xfrm>
          <a:off x="8898255" y="1492567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37</xdr:row>
      <xdr:rowOff>485775</xdr:rowOff>
    </xdr:from>
    <xdr:to>
      <xdr:col>5</xdr:col>
      <xdr:colOff>866775</xdr:colOff>
      <xdr:row>37</xdr:row>
      <xdr:rowOff>714375</xdr:rowOff>
    </xdr:to>
    <xdr:sp macro="[0]!InfoButton_Click" textlink="">
      <xdr:nvSpPr>
        <xdr:cNvPr id="9" name="btnInfo9">
          <a:extLst>
            <a:ext uri="{FF2B5EF4-FFF2-40B4-BE49-F238E27FC236}">
              <a16:creationId xmlns:a16="http://schemas.microsoft.com/office/drawing/2014/main" id="{00000000-0008-0000-0A00-000009000000}"/>
            </a:ext>
          </a:extLst>
        </xdr:cNvPr>
        <xdr:cNvSpPr>
          <a:spLocks noChangeAspect="1"/>
        </xdr:cNvSpPr>
      </xdr:nvSpPr>
      <xdr:spPr>
        <a:xfrm>
          <a:off x="8898255" y="1615249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38</xdr:row>
      <xdr:rowOff>542925</xdr:rowOff>
    </xdr:from>
    <xdr:to>
      <xdr:col>5</xdr:col>
      <xdr:colOff>866775</xdr:colOff>
      <xdr:row>38</xdr:row>
      <xdr:rowOff>771525</xdr:rowOff>
    </xdr:to>
    <xdr:sp macro="[0]!InfoButton_Click" textlink="">
      <xdr:nvSpPr>
        <xdr:cNvPr id="10" name="btnInfo10">
          <a:extLst>
            <a:ext uri="{FF2B5EF4-FFF2-40B4-BE49-F238E27FC236}">
              <a16:creationId xmlns:a16="http://schemas.microsoft.com/office/drawing/2014/main" id="{00000000-0008-0000-0A00-00000A000000}"/>
            </a:ext>
          </a:extLst>
        </xdr:cNvPr>
        <xdr:cNvSpPr>
          <a:spLocks noChangeAspect="1"/>
        </xdr:cNvSpPr>
      </xdr:nvSpPr>
      <xdr:spPr>
        <a:xfrm>
          <a:off x="8898255" y="1747456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39</xdr:row>
      <xdr:rowOff>504825</xdr:rowOff>
    </xdr:from>
    <xdr:to>
      <xdr:col>5</xdr:col>
      <xdr:colOff>866775</xdr:colOff>
      <xdr:row>39</xdr:row>
      <xdr:rowOff>733425</xdr:rowOff>
    </xdr:to>
    <xdr:sp macro="[0]!InfoButton_Click" textlink="">
      <xdr:nvSpPr>
        <xdr:cNvPr id="11" name="btnInfo11">
          <a:extLst>
            <a:ext uri="{FF2B5EF4-FFF2-40B4-BE49-F238E27FC236}">
              <a16:creationId xmlns:a16="http://schemas.microsoft.com/office/drawing/2014/main" id="{00000000-0008-0000-0A00-00000B000000}"/>
            </a:ext>
          </a:extLst>
        </xdr:cNvPr>
        <xdr:cNvSpPr>
          <a:spLocks noChangeAspect="1"/>
        </xdr:cNvSpPr>
      </xdr:nvSpPr>
      <xdr:spPr>
        <a:xfrm>
          <a:off x="8898255" y="1870138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40</xdr:row>
      <xdr:rowOff>495300</xdr:rowOff>
    </xdr:from>
    <xdr:to>
      <xdr:col>5</xdr:col>
      <xdr:colOff>866775</xdr:colOff>
      <xdr:row>40</xdr:row>
      <xdr:rowOff>723900</xdr:rowOff>
    </xdr:to>
    <xdr:sp macro="[0]!InfoButton_Click" textlink="">
      <xdr:nvSpPr>
        <xdr:cNvPr id="12" name="btnInfo12">
          <a:extLst>
            <a:ext uri="{FF2B5EF4-FFF2-40B4-BE49-F238E27FC236}">
              <a16:creationId xmlns:a16="http://schemas.microsoft.com/office/drawing/2014/main" id="{00000000-0008-0000-0A00-00000C000000}"/>
            </a:ext>
          </a:extLst>
        </xdr:cNvPr>
        <xdr:cNvSpPr>
          <a:spLocks noChangeAspect="1"/>
        </xdr:cNvSpPr>
      </xdr:nvSpPr>
      <xdr:spPr>
        <a:xfrm>
          <a:off x="8898255" y="1995678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41</xdr:row>
      <xdr:rowOff>514350</xdr:rowOff>
    </xdr:from>
    <xdr:to>
      <xdr:col>5</xdr:col>
      <xdr:colOff>866775</xdr:colOff>
      <xdr:row>41</xdr:row>
      <xdr:rowOff>742950</xdr:rowOff>
    </xdr:to>
    <xdr:sp macro="[0]!InfoButton_Click" textlink="">
      <xdr:nvSpPr>
        <xdr:cNvPr id="13" name="btnInfo13">
          <a:extLst>
            <a:ext uri="{FF2B5EF4-FFF2-40B4-BE49-F238E27FC236}">
              <a16:creationId xmlns:a16="http://schemas.microsoft.com/office/drawing/2014/main" id="{00000000-0008-0000-0A00-00000D000000}"/>
            </a:ext>
          </a:extLst>
        </xdr:cNvPr>
        <xdr:cNvSpPr>
          <a:spLocks noChangeAspect="1"/>
        </xdr:cNvSpPr>
      </xdr:nvSpPr>
      <xdr:spPr>
        <a:xfrm>
          <a:off x="8898255" y="2124075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42</xdr:row>
      <xdr:rowOff>476250</xdr:rowOff>
    </xdr:from>
    <xdr:to>
      <xdr:col>5</xdr:col>
      <xdr:colOff>866775</xdr:colOff>
      <xdr:row>42</xdr:row>
      <xdr:rowOff>704850</xdr:rowOff>
    </xdr:to>
    <xdr:sp macro="[0]!InfoButton_Click" textlink="">
      <xdr:nvSpPr>
        <xdr:cNvPr id="14" name="btnInfo14">
          <a:extLst>
            <a:ext uri="{FF2B5EF4-FFF2-40B4-BE49-F238E27FC236}">
              <a16:creationId xmlns:a16="http://schemas.microsoft.com/office/drawing/2014/main" id="{00000000-0008-0000-0A00-00000E000000}"/>
            </a:ext>
          </a:extLst>
        </xdr:cNvPr>
        <xdr:cNvSpPr>
          <a:spLocks noChangeAspect="1"/>
        </xdr:cNvSpPr>
      </xdr:nvSpPr>
      <xdr:spPr>
        <a:xfrm>
          <a:off x="8898255" y="2246757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43</xdr:row>
      <xdr:rowOff>533400</xdr:rowOff>
    </xdr:from>
    <xdr:to>
      <xdr:col>5</xdr:col>
      <xdr:colOff>866775</xdr:colOff>
      <xdr:row>43</xdr:row>
      <xdr:rowOff>762000</xdr:rowOff>
    </xdr:to>
    <xdr:sp macro="[0]!InfoButton_Click" textlink="">
      <xdr:nvSpPr>
        <xdr:cNvPr id="15" name="btnInfo15">
          <a:extLst>
            <a:ext uri="{FF2B5EF4-FFF2-40B4-BE49-F238E27FC236}">
              <a16:creationId xmlns:a16="http://schemas.microsoft.com/office/drawing/2014/main" id="{00000000-0008-0000-0A00-00000F000000}"/>
            </a:ext>
          </a:extLst>
        </xdr:cNvPr>
        <xdr:cNvSpPr>
          <a:spLocks noChangeAspect="1"/>
        </xdr:cNvSpPr>
      </xdr:nvSpPr>
      <xdr:spPr>
        <a:xfrm>
          <a:off x="8898255" y="2378964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44</xdr:row>
      <xdr:rowOff>476250</xdr:rowOff>
    </xdr:from>
    <xdr:to>
      <xdr:col>5</xdr:col>
      <xdr:colOff>866775</xdr:colOff>
      <xdr:row>44</xdr:row>
      <xdr:rowOff>704850</xdr:rowOff>
    </xdr:to>
    <xdr:sp macro="[0]!InfoButton_Click" textlink="">
      <xdr:nvSpPr>
        <xdr:cNvPr id="16" name="btnInfo16">
          <a:extLst>
            <a:ext uri="{FF2B5EF4-FFF2-40B4-BE49-F238E27FC236}">
              <a16:creationId xmlns:a16="http://schemas.microsoft.com/office/drawing/2014/main" id="{00000000-0008-0000-0A00-000010000000}"/>
            </a:ext>
          </a:extLst>
        </xdr:cNvPr>
        <xdr:cNvSpPr>
          <a:spLocks noChangeAspect="1"/>
        </xdr:cNvSpPr>
      </xdr:nvSpPr>
      <xdr:spPr>
        <a:xfrm>
          <a:off x="8898255" y="2499741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45</xdr:row>
      <xdr:rowOff>476250</xdr:rowOff>
    </xdr:from>
    <xdr:to>
      <xdr:col>5</xdr:col>
      <xdr:colOff>866775</xdr:colOff>
      <xdr:row>45</xdr:row>
      <xdr:rowOff>704850</xdr:rowOff>
    </xdr:to>
    <xdr:sp macro="[0]!InfoButton_Click" textlink="">
      <xdr:nvSpPr>
        <xdr:cNvPr id="17" name="btnInfo17">
          <a:extLst>
            <a:ext uri="{FF2B5EF4-FFF2-40B4-BE49-F238E27FC236}">
              <a16:creationId xmlns:a16="http://schemas.microsoft.com/office/drawing/2014/main" id="{00000000-0008-0000-0A00-000011000000}"/>
            </a:ext>
          </a:extLst>
        </xdr:cNvPr>
        <xdr:cNvSpPr>
          <a:spLocks noChangeAspect="1"/>
        </xdr:cNvSpPr>
      </xdr:nvSpPr>
      <xdr:spPr>
        <a:xfrm>
          <a:off x="8898255" y="2626233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46</xdr:row>
      <xdr:rowOff>485775</xdr:rowOff>
    </xdr:from>
    <xdr:to>
      <xdr:col>5</xdr:col>
      <xdr:colOff>866775</xdr:colOff>
      <xdr:row>46</xdr:row>
      <xdr:rowOff>714375</xdr:rowOff>
    </xdr:to>
    <xdr:sp macro="[0]!InfoButton_Click" textlink="">
      <xdr:nvSpPr>
        <xdr:cNvPr id="18" name="btnInfo18">
          <a:extLst>
            <a:ext uri="{FF2B5EF4-FFF2-40B4-BE49-F238E27FC236}">
              <a16:creationId xmlns:a16="http://schemas.microsoft.com/office/drawing/2014/main" id="{00000000-0008-0000-0A00-000012000000}"/>
            </a:ext>
          </a:extLst>
        </xdr:cNvPr>
        <xdr:cNvSpPr>
          <a:spLocks noChangeAspect="1"/>
        </xdr:cNvSpPr>
      </xdr:nvSpPr>
      <xdr:spPr>
        <a:xfrm>
          <a:off x="8898255" y="2753677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47</xdr:row>
      <xdr:rowOff>495300</xdr:rowOff>
    </xdr:from>
    <xdr:to>
      <xdr:col>5</xdr:col>
      <xdr:colOff>866775</xdr:colOff>
      <xdr:row>47</xdr:row>
      <xdr:rowOff>723900</xdr:rowOff>
    </xdr:to>
    <xdr:sp macro="[0]!InfoButton_Click" textlink="">
      <xdr:nvSpPr>
        <xdr:cNvPr id="19" name="btnInfo19">
          <a:extLst>
            <a:ext uri="{FF2B5EF4-FFF2-40B4-BE49-F238E27FC236}">
              <a16:creationId xmlns:a16="http://schemas.microsoft.com/office/drawing/2014/main" id="{00000000-0008-0000-0A00-000013000000}"/>
            </a:ext>
          </a:extLst>
        </xdr:cNvPr>
        <xdr:cNvSpPr>
          <a:spLocks noChangeAspect="1"/>
        </xdr:cNvSpPr>
      </xdr:nvSpPr>
      <xdr:spPr>
        <a:xfrm>
          <a:off x="8898255" y="2881122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638175</xdr:colOff>
      <xdr:row>48</xdr:row>
      <xdr:rowOff>514350</xdr:rowOff>
    </xdr:from>
    <xdr:to>
      <xdr:col>5</xdr:col>
      <xdr:colOff>866775</xdr:colOff>
      <xdr:row>48</xdr:row>
      <xdr:rowOff>742950</xdr:rowOff>
    </xdr:to>
    <xdr:sp macro="[0]!InfoButton_Click" textlink="">
      <xdr:nvSpPr>
        <xdr:cNvPr id="20" name="btnInfo20">
          <a:extLst>
            <a:ext uri="{FF2B5EF4-FFF2-40B4-BE49-F238E27FC236}">
              <a16:creationId xmlns:a16="http://schemas.microsoft.com/office/drawing/2014/main" id="{00000000-0008-0000-0A00-000014000000}"/>
            </a:ext>
          </a:extLst>
        </xdr:cNvPr>
        <xdr:cNvSpPr>
          <a:spLocks noChangeAspect="1"/>
        </xdr:cNvSpPr>
      </xdr:nvSpPr>
      <xdr:spPr>
        <a:xfrm>
          <a:off x="8898255" y="3009519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5</xdr:col>
      <xdr:colOff>190500</xdr:colOff>
      <xdr:row>21</xdr:row>
      <xdr:rowOff>163286</xdr:rowOff>
    </xdr:from>
    <xdr:to>
      <xdr:col>5</xdr:col>
      <xdr:colOff>1374322</xdr:colOff>
      <xdr:row>23</xdr:row>
      <xdr:rowOff>95250</xdr:rowOff>
    </xdr:to>
    <xdr:sp macro="[0]!InfoButton_Toggle" textlink="InfoButtonToggleLabel">
      <xdr:nvSpPr>
        <xdr:cNvPr id="21" name="Round Diagonal Corner Rectangle 1">
          <a:extLst>
            <a:ext uri="{FF2B5EF4-FFF2-40B4-BE49-F238E27FC236}">
              <a16:creationId xmlns:a16="http://schemas.microsoft.com/office/drawing/2014/main" id="{00000000-0008-0000-0A00-000015000000}"/>
            </a:ext>
          </a:extLst>
        </xdr:cNvPr>
        <xdr:cNvSpPr/>
      </xdr:nvSpPr>
      <xdr:spPr>
        <a:xfrm>
          <a:off x="8427720" y="3919946"/>
          <a:ext cx="1183822" cy="297724"/>
        </a:xfrm>
        <a:prstGeom prst="round2DiagRect">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7E205F1-E826-49FF-95D0-E25EBF9A612F}" type="TxLink">
            <a:rPr lang="en-US" sz="1100" b="0" i="0" u="none" strike="noStrike">
              <a:solidFill>
                <a:schemeClr val="bg1"/>
              </a:solidFill>
              <a:latin typeface="Verdana"/>
              <a:ea typeface="Verdana"/>
              <a:cs typeface="Verdana"/>
            </a:rPr>
            <a:pPr marL="0" indent="0" algn="ctr"/>
            <a:t>Hide Info</a:t>
          </a:fld>
          <a:endParaRPr lang="en-US" sz="1200">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5</xdr:col>
      <xdr:colOff>639535</xdr:colOff>
      <xdr:row>31</xdr:row>
      <xdr:rowOff>489858</xdr:rowOff>
    </xdr:from>
    <xdr:to>
      <xdr:col>5</xdr:col>
      <xdr:colOff>868135</xdr:colOff>
      <xdr:row>31</xdr:row>
      <xdr:rowOff>718458</xdr:rowOff>
    </xdr:to>
    <xdr:sp macro="[0]!InfoButton_Click" textlink="">
      <xdr:nvSpPr>
        <xdr:cNvPr id="22" name="btnInfo3">
          <a:extLst>
            <a:ext uri="{FF2B5EF4-FFF2-40B4-BE49-F238E27FC236}">
              <a16:creationId xmlns:a16="http://schemas.microsoft.com/office/drawing/2014/main" id="{00000000-0008-0000-0A00-000016000000}"/>
            </a:ext>
          </a:extLst>
        </xdr:cNvPr>
        <xdr:cNvSpPr>
          <a:spLocks noChangeAspect="1"/>
        </xdr:cNvSpPr>
      </xdr:nvSpPr>
      <xdr:spPr>
        <a:xfrm>
          <a:off x="8899615" y="8567058"/>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3</xdr:col>
      <xdr:colOff>1279071</xdr:colOff>
      <xdr:row>16</xdr:row>
      <xdr:rowOff>136072</xdr:rowOff>
    </xdr:from>
    <xdr:to>
      <xdr:col>3</xdr:col>
      <xdr:colOff>3279320</xdr:colOff>
      <xdr:row>19</xdr:row>
      <xdr:rowOff>13607</xdr:rowOff>
    </xdr:to>
    <xdr:sp macro="[0]!InfoButton_Color" textlink="">
      <xdr:nvSpPr>
        <xdr:cNvPr id="23" name="Rounded Rectangle 2">
          <a:extLst>
            <a:ext uri="{FF2B5EF4-FFF2-40B4-BE49-F238E27FC236}">
              <a16:creationId xmlns:a16="http://schemas.microsoft.com/office/drawing/2014/main" id="{00000000-0008-0000-0A00-000017000000}"/>
            </a:ext>
          </a:extLst>
        </xdr:cNvPr>
        <xdr:cNvSpPr/>
      </xdr:nvSpPr>
      <xdr:spPr>
        <a:xfrm>
          <a:off x="3153591" y="3016432"/>
          <a:ext cx="2000249" cy="403315"/>
        </a:xfrm>
        <a:prstGeom prst="round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Verdana" panose="020B0604030504040204" pitchFamily="34" charset="0"/>
              <a:ea typeface="Verdana" panose="020B0604030504040204" pitchFamily="34" charset="0"/>
              <a:cs typeface="Verdana" panose="020B0604030504040204" pitchFamily="34" charset="0"/>
            </a:rPr>
            <a:t>Color Info Buttons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736600</xdr:colOff>
      <xdr:row>0</xdr:row>
      <xdr:rowOff>101600</xdr:rowOff>
    </xdr:from>
    <xdr:to>
      <xdr:col>17</xdr:col>
      <xdr:colOff>1594399</xdr:colOff>
      <xdr:row>2</xdr:row>
      <xdr:rowOff>16260</xdr:rowOff>
    </xdr:to>
    <xdr:pic macro="[0]!ToolNavMenu">
      <xdr:nvPicPr>
        <xdr:cNvPr id="4" name="Picture 3" descr="Salesforce Logo.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28200" y="101600"/>
          <a:ext cx="857799" cy="600460"/>
        </a:xfrm>
        <a:prstGeom prst="rect">
          <a:avLst/>
        </a:prstGeom>
      </xdr:spPr>
    </xdr:pic>
    <xdr:clientData/>
  </xdr:twoCellAnchor>
  <xdr:twoCellAnchor>
    <xdr:from>
      <xdr:col>1</xdr:col>
      <xdr:colOff>132080</xdr:colOff>
      <xdr:row>10</xdr:row>
      <xdr:rowOff>203200</xdr:rowOff>
    </xdr:from>
    <xdr:to>
      <xdr:col>3</xdr:col>
      <xdr:colOff>48260</xdr:colOff>
      <xdr:row>12</xdr:row>
      <xdr:rowOff>152400</xdr:rowOff>
    </xdr:to>
    <xdr:sp macro="[0]!BeginRound" textlink="">
      <xdr:nvSpPr>
        <xdr:cNvPr id="6" name="StartButton01">
          <a:extLst>
            <a:ext uri="{FF2B5EF4-FFF2-40B4-BE49-F238E27FC236}">
              <a16:creationId xmlns:a16="http://schemas.microsoft.com/office/drawing/2014/main" id="{00000000-0008-0000-0C00-000006000000}"/>
            </a:ext>
          </a:extLst>
        </xdr:cNvPr>
        <xdr:cNvSpPr/>
      </xdr:nvSpPr>
      <xdr:spPr>
        <a:xfrm>
          <a:off x="284480" y="3921760"/>
          <a:ext cx="2141220" cy="497840"/>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Verdana" panose="020B0604030504040204" pitchFamily="34" charset="0"/>
              <a:ea typeface="Verdana" panose="020B0604030504040204" pitchFamily="34" charset="0"/>
              <a:cs typeface="Verdana" panose="020B0604030504040204" pitchFamily="34" charset="0"/>
            </a:rPr>
            <a:t>Begin</a:t>
          </a:r>
          <a:r>
            <a:rPr lang="en-US" sz="1400" b="1" baseline="0">
              <a:latin typeface="Verdana" panose="020B0604030504040204" pitchFamily="34" charset="0"/>
              <a:ea typeface="Verdana" panose="020B0604030504040204" pitchFamily="34" charset="0"/>
              <a:cs typeface="Verdana" panose="020B0604030504040204" pitchFamily="34" charset="0"/>
            </a:rPr>
            <a:t> Round</a:t>
          </a:r>
          <a:endParaRPr lang="en-US" sz="14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editAs="oneCell">
    <xdr:from>
      <xdr:col>18</xdr:col>
      <xdr:colOff>0</xdr:colOff>
      <xdr:row>3</xdr:row>
      <xdr:rowOff>0</xdr:rowOff>
    </xdr:from>
    <xdr:to>
      <xdr:col>18</xdr:col>
      <xdr:colOff>304800</xdr:colOff>
      <xdr:row>3</xdr:row>
      <xdr:rowOff>304800</xdr:rowOff>
    </xdr:to>
    <xdr:sp macro="" textlink="">
      <xdr:nvSpPr>
        <xdr:cNvPr id="69633" name="AutoShape 1" descr="Image result for demandware">
          <a:extLst>
            <a:ext uri="{FF2B5EF4-FFF2-40B4-BE49-F238E27FC236}">
              <a16:creationId xmlns:a16="http://schemas.microsoft.com/office/drawing/2014/main" id="{00000000-0008-0000-0C00-000001100100}"/>
            </a:ext>
          </a:extLst>
        </xdr:cNvPr>
        <xdr:cNvSpPr>
          <a:spLocks noChangeAspect="1" noChangeArrowheads="1"/>
        </xdr:cNvSpPr>
      </xdr:nvSpPr>
      <xdr:spPr bwMode="auto">
        <a:xfrm>
          <a:off x="10652760" y="131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101138</xdr:colOff>
      <xdr:row>15</xdr:row>
      <xdr:rowOff>0</xdr:rowOff>
    </xdr:from>
    <xdr:to>
      <xdr:col>17</xdr:col>
      <xdr:colOff>1594399</xdr:colOff>
      <xdr:row>16</xdr:row>
      <xdr:rowOff>247626</xdr:rowOff>
    </xdr:to>
    <xdr:pic>
      <xdr:nvPicPr>
        <xdr:cNvPr id="11" name="Picture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92738" y="4937760"/>
          <a:ext cx="1493261" cy="521946"/>
        </a:xfrm>
        <a:prstGeom prst="rect">
          <a:avLst/>
        </a:prstGeom>
      </xdr:spPr>
    </xdr:pic>
    <xdr:clientData/>
  </xdr:twoCellAnchor>
  <xdr:twoCellAnchor editAs="oneCell">
    <xdr:from>
      <xdr:col>4</xdr:col>
      <xdr:colOff>585254</xdr:colOff>
      <xdr:row>3</xdr:row>
      <xdr:rowOff>190500</xdr:rowOff>
    </xdr:from>
    <xdr:to>
      <xdr:col>17</xdr:col>
      <xdr:colOff>1690501</xdr:colOff>
      <xdr:row>13</xdr:row>
      <xdr:rowOff>81359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3"/>
        <a:stretch>
          <a:fillRect/>
        </a:stretch>
      </xdr:blipFill>
      <xdr:spPr>
        <a:xfrm>
          <a:off x="3092234" y="944880"/>
          <a:ext cx="7513667" cy="3670379"/>
        </a:xfrm>
        <a:prstGeom prst="rect">
          <a:avLst/>
        </a:prstGeom>
        <a:effectLst>
          <a:outerShdw blurRad="50800" dist="38100" dir="5400000" algn="t"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83822</xdr:colOff>
      <xdr:row>0</xdr:row>
      <xdr:rowOff>13335</xdr:rowOff>
    </xdr:from>
    <xdr:to>
      <xdr:col>2</xdr:col>
      <xdr:colOff>278596</xdr:colOff>
      <xdr:row>2</xdr:row>
      <xdr:rowOff>0</xdr:rowOff>
    </xdr:to>
    <xdr:pic macro="[0]!ToolNavMenu">
      <xdr:nvPicPr>
        <xdr:cNvPr id="6" name="Shape 1362" descr="LOGOTRANS.png">
          <a:extLst>
            <a:ext uri="{FF2B5EF4-FFF2-40B4-BE49-F238E27FC236}">
              <a16:creationId xmlns:a16="http://schemas.microsoft.com/office/drawing/2014/main" id="{00000000-0008-0000-0D00-000006000000}"/>
            </a:ext>
          </a:extLst>
        </xdr:cNvPr>
        <xdr:cNvPicPr preferRelativeResize="0">
          <a:picLocks noChangeAspect="1"/>
        </xdr:cNvPicPr>
      </xdr:nvPicPr>
      <xdr:blipFill>
        <a:blip xmlns:r="http://schemas.openxmlformats.org/officeDocument/2006/relationships" r:embed="rId1">
          <a:alphaModFix/>
        </a:blip>
        <a:stretch>
          <a:fillRect/>
        </a:stretch>
      </xdr:blipFill>
      <xdr:spPr>
        <a:xfrm>
          <a:off x="83822" y="13335"/>
          <a:ext cx="484334" cy="386715"/>
        </a:xfrm>
        <a:prstGeom prst="rect">
          <a:avLst/>
        </a:prstGeom>
        <a:noFill/>
        <a:ln>
          <a:noFill/>
        </a:ln>
      </xdr:spPr>
    </xdr:pic>
    <xdr:clientData/>
  </xdr:twoCellAnchor>
  <xdr:twoCellAnchor>
    <xdr:from>
      <xdr:col>7</xdr:col>
      <xdr:colOff>3176451</xdr:colOff>
      <xdr:row>1</xdr:row>
      <xdr:rowOff>7620</xdr:rowOff>
    </xdr:from>
    <xdr:to>
      <xdr:col>7</xdr:col>
      <xdr:colOff>3937363</xdr:colOff>
      <xdr:row>1</xdr:row>
      <xdr:rowOff>312420</xdr:rowOff>
    </xdr:to>
    <xdr:grpSp>
      <xdr:nvGrpSpPr>
        <xdr:cNvPr id="7" name="Group 6">
          <a:extLst>
            <a:ext uri="{FF2B5EF4-FFF2-40B4-BE49-F238E27FC236}">
              <a16:creationId xmlns:a16="http://schemas.microsoft.com/office/drawing/2014/main" id="{00000000-0008-0000-0D00-000007000000}"/>
            </a:ext>
          </a:extLst>
        </xdr:cNvPr>
        <xdr:cNvGrpSpPr/>
      </xdr:nvGrpSpPr>
      <xdr:grpSpPr>
        <a:xfrm>
          <a:off x="8815251" y="83820"/>
          <a:ext cx="760912" cy="304800"/>
          <a:chOff x="9555480" y="3451860"/>
          <a:chExt cx="815340" cy="373380"/>
        </a:xfrm>
        <a:solidFill>
          <a:schemeClr val="accent2"/>
        </a:solidFill>
      </xdr:grpSpPr>
      <xdr:sp macro="[0]!ToolSave" textlink="">
        <xdr:nvSpPr>
          <xdr:cNvPr id="8" name="Rounded Rectangle 7">
            <a:extLst>
              <a:ext uri="{FF2B5EF4-FFF2-40B4-BE49-F238E27FC236}">
                <a16:creationId xmlns:a16="http://schemas.microsoft.com/office/drawing/2014/main" id="{00000000-0008-0000-0D00-000008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xdr:from>
      <xdr:col>7</xdr:col>
      <xdr:colOff>555172</xdr:colOff>
      <xdr:row>2</xdr:row>
      <xdr:rowOff>269966</xdr:rowOff>
    </xdr:from>
    <xdr:to>
      <xdr:col>7</xdr:col>
      <xdr:colOff>3930832</xdr:colOff>
      <xdr:row>3</xdr:row>
      <xdr:rowOff>299357</xdr:rowOff>
    </xdr:to>
    <xdr:sp macro="[0]!SubmitStratPlan" textlink="">
      <xdr:nvSpPr>
        <xdr:cNvPr id="10" name="StratAlignCommit">
          <a:extLst>
            <a:ext uri="{FF2B5EF4-FFF2-40B4-BE49-F238E27FC236}">
              <a16:creationId xmlns:a16="http://schemas.microsoft.com/office/drawing/2014/main" id="{00000000-0008-0000-0D00-00000A000000}"/>
            </a:ext>
          </a:extLst>
        </xdr:cNvPr>
        <xdr:cNvSpPr/>
      </xdr:nvSpPr>
      <xdr:spPr>
        <a:xfrm>
          <a:off x="6183086" y="672737"/>
          <a:ext cx="3375660" cy="345077"/>
        </a:xfrm>
        <a:prstGeom prst="roundRect">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1"/>
            <a:t>Commit to Strategy</a:t>
          </a:r>
          <a:r>
            <a:rPr lang="en-US" sz="1400" b="1" baseline="0"/>
            <a:t> Alignment</a:t>
          </a:r>
          <a:endParaRPr lang="en-US"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990601</xdr:colOff>
      <xdr:row>1</xdr:row>
      <xdr:rowOff>320040</xdr:rowOff>
    </xdr:from>
    <xdr:to>
      <xdr:col>19</xdr:col>
      <xdr:colOff>962025</xdr:colOff>
      <xdr:row>5</xdr:row>
      <xdr:rowOff>0</xdr:rowOff>
    </xdr:to>
    <xdr:graphicFrame macro="">
      <xdr:nvGraphicFramePr>
        <xdr:cNvPr id="24" name="Chart 23">
          <a:extLst>
            <a:ext uri="{FF2B5EF4-FFF2-40B4-BE49-F238E27FC236}">
              <a16:creationId xmlns:a16="http://schemas.microsoft.com/office/drawing/2014/main" id="{00000000-0008-0000-0E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10160</xdr:colOff>
      <xdr:row>7</xdr:row>
      <xdr:rowOff>22860</xdr:rowOff>
    </xdr:from>
    <xdr:to>
      <xdr:col>17</xdr:col>
      <xdr:colOff>825500</xdr:colOff>
      <xdr:row>14</xdr:row>
      <xdr:rowOff>45720</xdr:rowOff>
    </xdr:to>
    <xdr:graphicFrame macro="">
      <xdr:nvGraphicFramePr>
        <xdr:cNvPr id="23" name="Chart 22">
          <a:extLst>
            <a:ext uri="{FF2B5EF4-FFF2-40B4-BE49-F238E27FC236}">
              <a16:creationId xmlns:a16="http://schemas.microsoft.com/office/drawing/2014/main" id="{00000000-0008-0000-0E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53342</xdr:colOff>
      <xdr:row>0</xdr:row>
      <xdr:rowOff>13335</xdr:rowOff>
    </xdr:from>
    <xdr:to>
      <xdr:col>2</xdr:col>
      <xdr:colOff>248116</xdr:colOff>
      <xdr:row>2</xdr:row>
      <xdr:rowOff>19050</xdr:rowOff>
    </xdr:to>
    <xdr:pic macro="[0]!ToolNavMenu">
      <xdr:nvPicPr>
        <xdr:cNvPr id="31" name="Shape 1362" descr="LOGOTRANS.png">
          <a:extLst>
            <a:ext uri="{FF2B5EF4-FFF2-40B4-BE49-F238E27FC236}">
              <a16:creationId xmlns:a16="http://schemas.microsoft.com/office/drawing/2014/main" id="{00000000-0008-0000-0E00-00001F000000}"/>
            </a:ext>
          </a:extLst>
        </xdr:cNvPr>
        <xdr:cNvPicPr preferRelativeResize="0">
          <a:picLocks noChangeAspect="1"/>
        </xdr:cNvPicPr>
      </xdr:nvPicPr>
      <xdr:blipFill>
        <a:blip xmlns:r="http://schemas.openxmlformats.org/officeDocument/2006/relationships" r:embed="rId3">
          <a:alphaModFix/>
        </a:blip>
        <a:stretch>
          <a:fillRect/>
        </a:stretch>
      </xdr:blipFill>
      <xdr:spPr>
        <a:xfrm>
          <a:off x="53342" y="13335"/>
          <a:ext cx="484334" cy="409575"/>
        </a:xfrm>
        <a:prstGeom prst="rect">
          <a:avLst/>
        </a:prstGeom>
        <a:noFill/>
        <a:ln>
          <a:noFill/>
        </a:ln>
      </xdr:spPr>
    </xdr:pic>
    <xdr:clientData/>
  </xdr:twoCellAnchor>
  <xdr:twoCellAnchor>
    <xdr:from>
      <xdr:col>19</xdr:col>
      <xdr:colOff>7620</xdr:colOff>
      <xdr:row>0</xdr:row>
      <xdr:rowOff>53340</xdr:rowOff>
    </xdr:from>
    <xdr:to>
      <xdr:col>19</xdr:col>
      <xdr:colOff>769620</xdr:colOff>
      <xdr:row>1</xdr:row>
      <xdr:rowOff>281940</xdr:rowOff>
    </xdr:to>
    <xdr:grpSp>
      <xdr:nvGrpSpPr>
        <xdr:cNvPr id="19" name="Group 18">
          <a:extLst>
            <a:ext uri="{FF2B5EF4-FFF2-40B4-BE49-F238E27FC236}">
              <a16:creationId xmlns:a16="http://schemas.microsoft.com/office/drawing/2014/main" id="{00000000-0008-0000-0E00-000013000000}"/>
            </a:ext>
          </a:extLst>
        </xdr:cNvPr>
        <xdr:cNvGrpSpPr/>
      </xdr:nvGrpSpPr>
      <xdr:grpSpPr>
        <a:xfrm>
          <a:off x="11551920" y="53340"/>
          <a:ext cx="762000" cy="304800"/>
          <a:chOff x="9555480" y="3451860"/>
          <a:chExt cx="815340" cy="373380"/>
        </a:xfrm>
        <a:solidFill>
          <a:schemeClr val="accent2"/>
        </a:solidFill>
      </xdr:grpSpPr>
      <xdr:sp macro="[0]!ToolSave" textlink="">
        <xdr:nvSpPr>
          <xdr:cNvPr id="20" name="Rounded Rectangle 19">
            <a:extLst>
              <a:ext uri="{FF2B5EF4-FFF2-40B4-BE49-F238E27FC236}">
                <a16:creationId xmlns:a16="http://schemas.microsoft.com/office/drawing/2014/main" id="{00000000-0008-0000-0E00-000014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21" name="Picture 20">
            <a:extLst>
              <a:ext uri="{FF2B5EF4-FFF2-40B4-BE49-F238E27FC236}">
                <a16:creationId xmlns:a16="http://schemas.microsoft.com/office/drawing/2014/main" id="{00000000-0008-0000-0E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editAs="oneCell">
    <xdr:from>
      <xdr:col>19</xdr:col>
      <xdr:colOff>137160</xdr:colOff>
      <xdr:row>31</xdr:row>
      <xdr:rowOff>121920</xdr:rowOff>
    </xdr:from>
    <xdr:to>
      <xdr:col>19</xdr:col>
      <xdr:colOff>751497</xdr:colOff>
      <xdr:row>33</xdr:row>
      <xdr:rowOff>76199</xdr:rowOff>
    </xdr:to>
    <xdr:pic>
      <xdr:nvPicPr>
        <xdr:cNvPr id="34" name="Picture 33">
          <a:extLst>
            <a:ext uri="{FF2B5EF4-FFF2-40B4-BE49-F238E27FC236}">
              <a16:creationId xmlns:a16="http://schemas.microsoft.com/office/drawing/2014/main" id="{00000000-0008-0000-0E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681460" y="7345680"/>
          <a:ext cx="614337" cy="502919"/>
        </a:xfrm>
        <a:prstGeom prst="rect">
          <a:avLst/>
        </a:prstGeom>
      </xdr:spPr>
    </xdr:pic>
    <xdr:clientData/>
  </xdr:twoCellAnchor>
  <xdr:twoCellAnchor>
    <xdr:from>
      <xdr:col>14</xdr:col>
      <xdr:colOff>957942</xdr:colOff>
      <xdr:row>5</xdr:row>
      <xdr:rowOff>21772</xdr:rowOff>
    </xdr:from>
    <xdr:to>
      <xdr:col>18</xdr:col>
      <xdr:colOff>114662</xdr:colOff>
      <xdr:row>6</xdr:row>
      <xdr:rowOff>65315</xdr:rowOff>
    </xdr:to>
    <xdr:sp macro="[0]!Timeline" textlink="">
      <xdr:nvSpPr>
        <xdr:cNvPr id="22" name="Rounded Rectangle 21">
          <a:extLst>
            <a:ext uri="{FF2B5EF4-FFF2-40B4-BE49-F238E27FC236}">
              <a16:creationId xmlns:a16="http://schemas.microsoft.com/office/drawing/2014/main" id="{00000000-0008-0000-0E00-000016000000}"/>
            </a:ext>
          </a:extLst>
        </xdr:cNvPr>
        <xdr:cNvSpPr/>
      </xdr:nvSpPr>
      <xdr:spPr>
        <a:xfrm>
          <a:off x="9657442" y="1291772"/>
          <a:ext cx="1417320"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Timeline &amp;  Budget</a:t>
          </a:r>
        </a:p>
      </xdr:txBody>
    </xdr:sp>
    <xdr:clientData/>
  </xdr:twoCellAnchor>
  <xdr:twoCellAnchor>
    <xdr:from>
      <xdr:col>4</xdr:col>
      <xdr:colOff>503804</xdr:colOff>
      <xdr:row>5</xdr:row>
      <xdr:rowOff>21772</xdr:rowOff>
    </xdr:from>
    <xdr:to>
      <xdr:col>6</xdr:col>
      <xdr:colOff>775947</xdr:colOff>
      <xdr:row>6</xdr:row>
      <xdr:rowOff>65315</xdr:rowOff>
    </xdr:to>
    <xdr:sp macro="[0]!People" textlink="">
      <xdr:nvSpPr>
        <xdr:cNvPr id="29" name="Rounded Rectangle 28">
          <a:extLst>
            <a:ext uri="{FF2B5EF4-FFF2-40B4-BE49-F238E27FC236}">
              <a16:creationId xmlns:a16="http://schemas.microsoft.com/office/drawing/2014/main" id="{00000000-0008-0000-0E00-00001D000000}"/>
            </a:ext>
          </a:extLst>
        </xdr:cNvPr>
        <xdr:cNvSpPr/>
      </xdr:nvSpPr>
      <xdr:spPr>
        <a:xfrm>
          <a:off x="3498464" y="1279072"/>
          <a:ext cx="1415143" cy="348343"/>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People</a:t>
          </a:r>
        </a:p>
      </xdr:txBody>
    </xdr:sp>
    <xdr:clientData/>
  </xdr:twoCellAnchor>
  <xdr:twoCellAnchor>
    <xdr:from>
      <xdr:col>10</xdr:col>
      <xdr:colOff>208357</xdr:colOff>
      <xdr:row>5</xdr:row>
      <xdr:rowOff>21772</xdr:rowOff>
    </xdr:from>
    <xdr:to>
      <xdr:col>12</xdr:col>
      <xdr:colOff>480500</xdr:colOff>
      <xdr:row>6</xdr:row>
      <xdr:rowOff>65315</xdr:rowOff>
    </xdr:to>
    <xdr:sp macro="[0]!GTM" textlink="">
      <xdr:nvSpPr>
        <xdr:cNvPr id="30" name="Rounded Rectangle 29">
          <a:extLst>
            <a:ext uri="{FF2B5EF4-FFF2-40B4-BE49-F238E27FC236}">
              <a16:creationId xmlns:a16="http://schemas.microsoft.com/office/drawing/2014/main" id="{00000000-0008-0000-0E00-00001E000000}"/>
            </a:ext>
          </a:extLst>
        </xdr:cNvPr>
        <xdr:cNvSpPr/>
      </xdr:nvSpPr>
      <xdr:spPr>
        <a:xfrm>
          <a:off x="6632017" y="1279072"/>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GTM</a:t>
          </a:r>
        </a:p>
      </xdr:txBody>
    </xdr:sp>
    <xdr:clientData/>
  </xdr:twoCellAnchor>
  <xdr:twoCellAnchor>
    <xdr:from>
      <xdr:col>12</xdr:col>
      <xdr:colOff>583148</xdr:colOff>
      <xdr:row>5</xdr:row>
      <xdr:rowOff>21772</xdr:rowOff>
    </xdr:from>
    <xdr:to>
      <xdr:col>14</xdr:col>
      <xdr:colOff>855292</xdr:colOff>
      <xdr:row>6</xdr:row>
      <xdr:rowOff>65315</xdr:rowOff>
    </xdr:to>
    <xdr:sp macro="[0]!_xludf.Product" textlink="">
      <xdr:nvSpPr>
        <xdr:cNvPr id="32" name="Rounded Rectangle 31">
          <a:extLst>
            <a:ext uri="{FF2B5EF4-FFF2-40B4-BE49-F238E27FC236}">
              <a16:creationId xmlns:a16="http://schemas.microsoft.com/office/drawing/2014/main" id="{00000000-0008-0000-0E00-000020000000}"/>
            </a:ext>
          </a:extLst>
        </xdr:cNvPr>
        <xdr:cNvSpPr/>
      </xdr:nvSpPr>
      <xdr:spPr>
        <a:xfrm>
          <a:off x="8149808" y="1279072"/>
          <a:ext cx="1415144"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Product</a:t>
          </a:r>
        </a:p>
      </xdr:txBody>
    </xdr:sp>
    <xdr:clientData/>
  </xdr:twoCellAnchor>
  <xdr:twoCellAnchor>
    <xdr:from>
      <xdr:col>6</xdr:col>
      <xdr:colOff>878595</xdr:colOff>
      <xdr:row>5</xdr:row>
      <xdr:rowOff>21772</xdr:rowOff>
    </xdr:from>
    <xdr:to>
      <xdr:col>10</xdr:col>
      <xdr:colOff>105709</xdr:colOff>
      <xdr:row>6</xdr:row>
      <xdr:rowOff>65315</xdr:rowOff>
    </xdr:to>
    <xdr:sp macro="[0]!IT" textlink="">
      <xdr:nvSpPr>
        <xdr:cNvPr id="33" name="Rounded Rectangle 32">
          <a:extLst>
            <a:ext uri="{FF2B5EF4-FFF2-40B4-BE49-F238E27FC236}">
              <a16:creationId xmlns:a16="http://schemas.microsoft.com/office/drawing/2014/main" id="{00000000-0008-0000-0E00-000021000000}"/>
            </a:ext>
          </a:extLst>
        </xdr:cNvPr>
        <xdr:cNvSpPr/>
      </xdr:nvSpPr>
      <xdr:spPr>
        <a:xfrm>
          <a:off x="5016255" y="1279072"/>
          <a:ext cx="1513114"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Ba</a:t>
          </a:r>
          <a:r>
            <a:rPr lang="en-US" sz="1200" baseline="0"/>
            <a:t>ck Office</a:t>
          </a:r>
          <a:endParaRPr lang="en-US" sz="1200"/>
        </a:p>
      </xdr:txBody>
    </xdr:sp>
    <xdr:clientData/>
  </xdr:twoCellAnchor>
  <xdr:twoCellAnchor>
    <xdr:from>
      <xdr:col>0</xdr:col>
      <xdr:colOff>60960</xdr:colOff>
      <xdr:row>8</xdr:row>
      <xdr:rowOff>0</xdr:rowOff>
    </xdr:from>
    <xdr:to>
      <xdr:col>2</xdr:col>
      <xdr:colOff>0</xdr:colOff>
      <xdr:row>8</xdr:row>
      <xdr:rowOff>228600</xdr:rowOff>
    </xdr:to>
    <xdr:sp macro="[0]!InfoButton_Click" textlink="">
      <xdr:nvSpPr>
        <xdr:cNvPr id="16" name="btnInfo1">
          <a:extLst>
            <a:ext uri="{FF2B5EF4-FFF2-40B4-BE49-F238E27FC236}">
              <a16:creationId xmlns:a16="http://schemas.microsoft.com/office/drawing/2014/main" id="{00000000-0008-0000-0E00-000010000000}"/>
            </a:ext>
          </a:extLst>
        </xdr:cNvPr>
        <xdr:cNvSpPr>
          <a:spLocks noChangeAspect="1"/>
        </xdr:cNvSpPr>
      </xdr:nvSpPr>
      <xdr:spPr>
        <a:xfrm>
          <a:off x="60960" y="188976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0</xdr:col>
      <xdr:colOff>38100</xdr:colOff>
      <xdr:row>9</xdr:row>
      <xdr:rowOff>99060</xdr:rowOff>
    </xdr:from>
    <xdr:to>
      <xdr:col>1</xdr:col>
      <xdr:colOff>121920</xdr:colOff>
      <xdr:row>11</xdr:row>
      <xdr:rowOff>45720</xdr:rowOff>
    </xdr:to>
    <xdr:sp macro="[0]!InfoButton_Click" textlink="">
      <xdr:nvSpPr>
        <xdr:cNvPr id="17" name="btnInfo2">
          <a:extLst>
            <a:ext uri="{FF2B5EF4-FFF2-40B4-BE49-F238E27FC236}">
              <a16:creationId xmlns:a16="http://schemas.microsoft.com/office/drawing/2014/main" id="{00000000-0008-0000-0E00-000011000000}"/>
            </a:ext>
          </a:extLst>
        </xdr:cNvPr>
        <xdr:cNvSpPr>
          <a:spLocks noChangeAspect="1"/>
        </xdr:cNvSpPr>
      </xdr:nvSpPr>
      <xdr:spPr>
        <a:xfrm>
          <a:off x="38100" y="223266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53342</xdr:colOff>
      <xdr:row>0</xdr:row>
      <xdr:rowOff>13335</xdr:rowOff>
    </xdr:from>
    <xdr:to>
      <xdr:col>2</xdr:col>
      <xdr:colOff>248116</xdr:colOff>
      <xdr:row>2</xdr:row>
      <xdr:rowOff>19050</xdr:rowOff>
    </xdr:to>
    <xdr:pic macro="[0]!ToolNavMenu">
      <xdr:nvPicPr>
        <xdr:cNvPr id="28" name="Shape 1362" descr="LOGOTRANS.png">
          <a:extLst>
            <a:ext uri="{FF2B5EF4-FFF2-40B4-BE49-F238E27FC236}">
              <a16:creationId xmlns:a16="http://schemas.microsoft.com/office/drawing/2014/main" id="{00000000-0008-0000-0F00-00001C000000}"/>
            </a:ext>
          </a:extLst>
        </xdr:cNvPr>
        <xdr:cNvPicPr preferRelativeResize="0">
          <a:picLocks noChangeAspect="1"/>
        </xdr:cNvPicPr>
      </xdr:nvPicPr>
      <xdr:blipFill>
        <a:blip xmlns:r="http://schemas.openxmlformats.org/officeDocument/2006/relationships" r:embed="rId1">
          <a:alphaModFix/>
        </a:blip>
        <a:stretch>
          <a:fillRect/>
        </a:stretch>
      </xdr:blipFill>
      <xdr:spPr>
        <a:xfrm>
          <a:off x="53342" y="13335"/>
          <a:ext cx="484334" cy="409575"/>
        </a:xfrm>
        <a:prstGeom prst="rect">
          <a:avLst/>
        </a:prstGeom>
        <a:noFill/>
        <a:ln>
          <a:noFill/>
        </a:ln>
      </xdr:spPr>
    </xdr:pic>
    <xdr:clientData/>
  </xdr:twoCellAnchor>
  <xdr:twoCellAnchor>
    <xdr:from>
      <xdr:col>18</xdr:col>
      <xdr:colOff>731520</xdr:colOff>
      <xdr:row>0</xdr:row>
      <xdr:rowOff>45720</xdr:rowOff>
    </xdr:from>
    <xdr:to>
      <xdr:col>19</xdr:col>
      <xdr:colOff>754380</xdr:colOff>
      <xdr:row>1</xdr:row>
      <xdr:rowOff>274320</xdr:rowOff>
    </xdr:to>
    <xdr:grpSp>
      <xdr:nvGrpSpPr>
        <xdr:cNvPr id="30" name="Group 29">
          <a:extLst>
            <a:ext uri="{FF2B5EF4-FFF2-40B4-BE49-F238E27FC236}">
              <a16:creationId xmlns:a16="http://schemas.microsoft.com/office/drawing/2014/main" id="{00000000-0008-0000-0F00-00001E000000}"/>
            </a:ext>
          </a:extLst>
        </xdr:cNvPr>
        <xdr:cNvGrpSpPr/>
      </xdr:nvGrpSpPr>
      <xdr:grpSpPr>
        <a:xfrm>
          <a:off x="11696700" y="45720"/>
          <a:ext cx="762000" cy="304800"/>
          <a:chOff x="9555480" y="3451860"/>
          <a:chExt cx="815340" cy="373380"/>
        </a:xfrm>
        <a:solidFill>
          <a:schemeClr val="accent2"/>
        </a:solidFill>
      </xdr:grpSpPr>
      <xdr:sp macro="[0]!ToolSave" textlink="">
        <xdr:nvSpPr>
          <xdr:cNvPr id="31" name="Rounded Rectangle 30">
            <a:extLst>
              <a:ext uri="{FF2B5EF4-FFF2-40B4-BE49-F238E27FC236}">
                <a16:creationId xmlns:a16="http://schemas.microsoft.com/office/drawing/2014/main" id="{00000000-0008-0000-0F00-00001F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32" name="Picture 31">
            <a:extLst>
              <a:ext uri="{FF2B5EF4-FFF2-40B4-BE49-F238E27FC236}">
                <a16:creationId xmlns:a16="http://schemas.microsoft.com/office/drawing/2014/main" id="{00000000-0008-0000-0F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editAs="oneCell">
    <xdr:from>
      <xdr:col>17</xdr:col>
      <xdr:colOff>266700</xdr:colOff>
      <xdr:row>37</xdr:row>
      <xdr:rowOff>91440</xdr:rowOff>
    </xdr:from>
    <xdr:to>
      <xdr:col>17</xdr:col>
      <xdr:colOff>881037</xdr:colOff>
      <xdr:row>39</xdr:row>
      <xdr:rowOff>45719</xdr:rowOff>
    </xdr:to>
    <xdr:pic>
      <xdr:nvPicPr>
        <xdr:cNvPr id="34" name="Picture 33">
          <a:extLst>
            <a:ext uri="{FF2B5EF4-FFF2-40B4-BE49-F238E27FC236}">
              <a16:creationId xmlns:a16="http://schemas.microsoft.com/office/drawing/2014/main" id="{00000000-0008-0000-0F00-00002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248900" y="8061960"/>
          <a:ext cx="614337" cy="502919"/>
        </a:xfrm>
        <a:prstGeom prst="rect">
          <a:avLst/>
        </a:prstGeom>
      </xdr:spPr>
    </xdr:pic>
    <xdr:clientData/>
  </xdr:twoCellAnchor>
  <xdr:twoCellAnchor>
    <xdr:from>
      <xdr:col>14</xdr:col>
      <xdr:colOff>945242</xdr:colOff>
      <xdr:row>5</xdr:row>
      <xdr:rowOff>21772</xdr:rowOff>
    </xdr:from>
    <xdr:to>
      <xdr:col>18</xdr:col>
      <xdr:colOff>127362</xdr:colOff>
      <xdr:row>6</xdr:row>
      <xdr:rowOff>65315</xdr:rowOff>
    </xdr:to>
    <xdr:sp macro="[0]!Timeline" textlink="">
      <xdr:nvSpPr>
        <xdr:cNvPr id="25" name="Rounded Rectangle 24">
          <a:extLst>
            <a:ext uri="{FF2B5EF4-FFF2-40B4-BE49-F238E27FC236}">
              <a16:creationId xmlns:a16="http://schemas.microsoft.com/office/drawing/2014/main" id="{00000000-0008-0000-0F00-000019000000}"/>
            </a:ext>
          </a:extLst>
        </xdr:cNvPr>
        <xdr:cNvSpPr/>
      </xdr:nvSpPr>
      <xdr:spPr>
        <a:xfrm>
          <a:off x="9644742" y="1291772"/>
          <a:ext cx="1417320"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Timeline &amp;  Budget</a:t>
          </a:r>
        </a:p>
      </xdr:txBody>
    </xdr:sp>
    <xdr:clientData/>
  </xdr:twoCellAnchor>
  <xdr:twoCellAnchor>
    <xdr:from>
      <xdr:col>4</xdr:col>
      <xdr:colOff>503804</xdr:colOff>
      <xdr:row>5</xdr:row>
      <xdr:rowOff>21772</xdr:rowOff>
    </xdr:from>
    <xdr:to>
      <xdr:col>6</xdr:col>
      <xdr:colOff>775947</xdr:colOff>
      <xdr:row>6</xdr:row>
      <xdr:rowOff>65315</xdr:rowOff>
    </xdr:to>
    <xdr:sp macro="[0]!People" textlink="">
      <xdr:nvSpPr>
        <xdr:cNvPr id="26" name="Rounded Rectangle 25">
          <a:extLst>
            <a:ext uri="{FF2B5EF4-FFF2-40B4-BE49-F238E27FC236}">
              <a16:creationId xmlns:a16="http://schemas.microsoft.com/office/drawing/2014/main" id="{00000000-0008-0000-0F00-00001A000000}"/>
            </a:ext>
          </a:extLst>
        </xdr:cNvPr>
        <xdr:cNvSpPr/>
      </xdr:nvSpPr>
      <xdr:spPr>
        <a:xfrm>
          <a:off x="3498464" y="1279072"/>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People</a:t>
          </a:r>
        </a:p>
      </xdr:txBody>
    </xdr:sp>
    <xdr:clientData/>
  </xdr:twoCellAnchor>
  <xdr:twoCellAnchor>
    <xdr:from>
      <xdr:col>10</xdr:col>
      <xdr:colOff>208357</xdr:colOff>
      <xdr:row>5</xdr:row>
      <xdr:rowOff>21772</xdr:rowOff>
    </xdr:from>
    <xdr:to>
      <xdr:col>12</xdr:col>
      <xdr:colOff>480500</xdr:colOff>
      <xdr:row>6</xdr:row>
      <xdr:rowOff>65315</xdr:rowOff>
    </xdr:to>
    <xdr:sp macro="[0]!GTM" textlink="">
      <xdr:nvSpPr>
        <xdr:cNvPr id="27" name="Rounded Rectangle 26">
          <a:extLst>
            <a:ext uri="{FF2B5EF4-FFF2-40B4-BE49-F238E27FC236}">
              <a16:creationId xmlns:a16="http://schemas.microsoft.com/office/drawing/2014/main" id="{00000000-0008-0000-0F00-00001B000000}"/>
            </a:ext>
          </a:extLst>
        </xdr:cNvPr>
        <xdr:cNvSpPr/>
      </xdr:nvSpPr>
      <xdr:spPr>
        <a:xfrm>
          <a:off x="6632017" y="1279072"/>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GTM</a:t>
          </a:r>
        </a:p>
      </xdr:txBody>
    </xdr:sp>
    <xdr:clientData/>
  </xdr:twoCellAnchor>
  <xdr:twoCellAnchor>
    <xdr:from>
      <xdr:col>12</xdr:col>
      <xdr:colOff>583148</xdr:colOff>
      <xdr:row>5</xdr:row>
      <xdr:rowOff>21772</xdr:rowOff>
    </xdr:from>
    <xdr:to>
      <xdr:col>14</xdr:col>
      <xdr:colOff>855292</xdr:colOff>
      <xdr:row>6</xdr:row>
      <xdr:rowOff>65315</xdr:rowOff>
    </xdr:to>
    <xdr:sp macro="[0]!_xludf.Product" textlink="">
      <xdr:nvSpPr>
        <xdr:cNvPr id="29" name="Rounded Rectangle 28">
          <a:extLst>
            <a:ext uri="{FF2B5EF4-FFF2-40B4-BE49-F238E27FC236}">
              <a16:creationId xmlns:a16="http://schemas.microsoft.com/office/drawing/2014/main" id="{00000000-0008-0000-0F00-00001D000000}"/>
            </a:ext>
          </a:extLst>
        </xdr:cNvPr>
        <xdr:cNvSpPr/>
      </xdr:nvSpPr>
      <xdr:spPr>
        <a:xfrm>
          <a:off x="8149808" y="1279072"/>
          <a:ext cx="1415144"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Product</a:t>
          </a:r>
        </a:p>
      </xdr:txBody>
    </xdr:sp>
    <xdr:clientData/>
  </xdr:twoCellAnchor>
  <xdr:twoCellAnchor>
    <xdr:from>
      <xdr:col>6</xdr:col>
      <xdr:colOff>878595</xdr:colOff>
      <xdr:row>5</xdr:row>
      <xdr:rowOff>21772</xdr:rowOff>
    </xdr:from>
    <xdr:to>
      <xdr:col>10</xdr:col>
      <xdr:colOff>105709</xdr:colOff>
      <xdr:row>6</xdr:row>
      <xdr:rowOff>65315</xdr:rowOff>
    </xdr:to>
    <xdr:sp macro="[0]!IT" textlink="">
      <xdr:nvSpPr>
        <xdr:cNvPr id="33" name="Rounded Rectangle 32">
          <a:extLst>
            <a:ext uri="{FF2B5EF4-FFF2-40B4-BE49-F238E27FC236}">
              <a16:creationId xmlns:a16="http://schemas.microsoft.com/office/drawing/2014/main" id="{00000000-0008-0000-0F00-000021000000}"/>
            </a:ext>
          </a:extLst>
        </xdr:cNvPr>
        <xdr:cNvSpPr/>
      </xdr:nvSpPr>
      <xdr:spPr>
        <a:xfrm>
          <a:off x="5016255" y="1279072"/>
          <a:ext cx="1513114" cy="348343"/>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Ba</a:t>
          </a:r>
          <a:r>
            <a:rPr lang="en-US" sz="1200" baseline="0"/>
            <a:t>ck Office</a:t>
          </a:r>
          <a:endParaRPr lang="en-US" sz="1200"/>
        </a:p>
      </xdr:txBody>
    </xdr:sp>
    <xdr:clientData/>
  </xdr:twoCellAnchor>
  <xdr:twoCellAnchor>
    <xdr:from>
      <xdr:col>7</xdr:col>
      <xdr:colOff>38100</xdr:colOff>
      <xdr:row>17</xdr:row>
      <xdr:rowOff>43180</xdr:rowOff>
    </xdr:from>
    <xdr:to>
      <xdr:col>10</xdr:col>
      <xdr:colOff>2540</xdr:colOff>
      <xdr:row>17</xdr:row>
      <xdr:rowOff>208280</xdr:rowOff>
    </xdr:to>
    <xdr:sp macro="" textlink="">
      <xdr:nvSpPr>
        <xdr:cNvPr id="6" name="Right Arrow 5">
          <a:extLst>
            <a:ext uri="{FF2B5EF4-FFF2-40B4-BE49-F238E27FC236}">
              <a16:creationId xmlns:a16="http://schemas.microsoft.com/office/drawing/2014/main" id="{00000000-0008-0000-0F00-000006000000}"/>
            </a:ext>
          </a:extLst>
        </xdr:cNvPr>
        <xdr:cNvSpPr/>
      </xdr:nvSpPr>
      <xdr:spPr>
        <a:xfrm>
          <a:off x="5175250" y="3522980"/>
          <a:ext cx="1253490" cy="165100"/>
        </a:xfrm>
        <a:prstGeom prst="rightArrow">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129541</xdr:colOff>
      <xdr:row>1</xdr:row>
      <xdr:rowOff>320040</xdr:rowOff>
    </xdr:from>
    <xdr:to>
      <xdr:col>19</xdr:col>
      <xdr:colOff>977265</xdr:colOff>
      <xdr:row>5</xdr:row>
      <xdr:rowOff>0</xdr:rowOff>
    </xdr:to>
    <xdr:graphicFrame macro="">
      <xdr:nvGraphicFramePr>
        <xdr:cNvPr id="16" name="Chart 15">
          <a:extLst>
            <a:ext uri="{FF2B5EF4-FFF2-40B4-BE49-F238E27FC236}">
              <a16:creationId xmlns:a16="http://schemas.microsoft.com/office/drawing/2014/main" id="{00000000-0008-0000-0F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38100</xdr:colOff>
      <xdr:row>12</xdr:row>
      <xdr:rowOff>22587</xdr:rowOff>
    </xdr:from>
    <xdr:to>
      <xdr:col>1</xdr:col>
      <xdr:colOff>123825</xdr:colOff>
      <xdr:row>13</xdr:row>
      <xdr:rowOff>3537</xdr:rowOff>
    </xdr:to>
    <xdr:sp macro="[0]!InfoButton_Click" textlink="">
      <xdr:nvSpPr>
        <xdr:cNvPr id="14" name="btnInfo4">
          <a:extLst>
            <a:ext uri="{FF2B5EF4-FFF2-40B4-BE49-F238E27FC236}">
              <a16:creationId xmlns:a16="http://schemas.microsoft.com/office/drawing/2014/main" id="{00000000-0008-0000-0F00-00000E000000}"/>
            </a:ext>
          </a:extLst>
        </xdr:cNvPr>
        <xdr:cNvSpPr>
          <a:spLocks noChangeAspect="1"/>
        </xdr:cNvSpPr>
      </xdr:nvSpPr>
      <xdr:spPr>
        <a:xfrm>
          <a:off x="38100" y="2632437"/>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0</xdr:col>
      <xdr:colOff>38100</xdr:colOff>
      <xdr:row>16</xdr:row>
      <xdr:rowOff>87357</xdr:rowOff>
    </xdr:from>
    <xdr:to>
      <xdr:col>1</xdr:col>
      <xdr:colOff>123825</xdr:colOff>
      <xdr:row>17</xdr:row>
      <xdr:rowOff>211182</xdr:rowOff>
    </xdr:to>
    <xdr:sp macro="[0]!InfoButton_Click" textlink="">
      <xdr:nvSpPr>
        <xdr:cNvPr id="15" name="btnInfo5">
          <a:extLst>
            <a:ext uri="{FF2B5EF4-FFF2-40B4-BE49-F238E27FC236}">
              <a16:creationId xmlns:a16="http://schemas.microsoft.com/office/drawing/2014/main" id="{00000000-0008-0000-0F00-00000F000000}"/>
            </a:ext>
          </a:extLst>
        </xdr:cNvPr>
        <xdr:cNvSpPr>
          <a:spLocks noChangeAspect="1"/>
        </xdr:cNvSpPr>
      </xdr:nvSpPr>
      <xdr:spPr>
        <a:xfrm>
          <a:off x="38100" y="3392532"/>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8</xdr:col>
      <xdr:colOff>723900</xdr:colOff>
      <xdr:row>9</xdr:row>
      <xdr:rowOff>9252</xdr:rowOff>
    </xdr:from>
    <xdr:to>
      <xdr:col>8</xdr:col>
      <xdr:colOff>952500</xdr:colOff>
      <xdr:row>9</xdr:row>
      <xdr:rowOff>237852</xdr:rowOff>
    </xdr:to>
    <xdr:sp macro="[0]!InfoButton_Click" textlink="">
      <xdr:nvSpPr>
        <xdr:cNvPr id="17" name="btnInfo6">
          <a:extLst>
            <a:ext uri="{FF2B5EF4-FFF2-40B4-BE49-F238E27FC236}">
              <a16:creationId xmlns:a16="http://schemas.microsoft.com/office/drawing/2014/main" id="{00000000-0008-0000-0F00-000011000000}"/>
            </a:ext>
          </a:extLst>
        </xdr:cNvPr>
        <xdr:cNvSpPr>
          <a:spLocks noChangeAspect="1"/>
        </xdr:cNvSpPr>
      </xdr:nvSpPr>
      <xdr:spPr>
        <a:xfrm>
          <a:off x="6000750" y="2066652"/>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8</xdr:col>
      <xdr:colOff>723900</xdr:colOff>
      <xdr:row>10</xdr:row>
      <xdr:rowOff>64497</xdr:rowOff>
    </xdr:from>
    <xdr:to>
      <xdr:col>8</xdr:col>
      <xdr:colOff>952500</xdr:colOff>
      <xdr:row>12</xdr:row>
      <xdr:rowOff>16872</xdr:rowOff>
    </xdr:to>
    <xdr:sp macro="[0]!InfoButton_Click" textlink="">
      <xdr:nvSpPr>
        <xdr:cNvPr id="18" name="btnInfo7">
          <a:extLst>
            <a:ext uri="{FF2B5EF4-FFF2-40B4-BE49-F238E27FC236}">
              <a16:creationId xmlns:a16="http://schemas.microsoft.com/office/drawing/2014/main" id="{00000000-0008-0000-0F00-000012000000}"/>
            </a:ext>
          </a:extLst>
        </xdr:cNvPr>
        <xdr:cNvSpPr>
          <a:spLocks noChangeAspect="1"/>
        </xdr:cNvSpPr>
      </xdr:nvSpPr>
      <xdr:spPr>
        <a:xfrm>
          <a:off x="6000750" y="2398122"/>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10</xdr:col>
      <xdr:colOff>57150</xdr:colOff>
      <xdr:row>17</xdr:row>
      <xdr:rowOff>14967</xdr:rowOff>
    </xdr:from>
    <xdr:to>
      <xdr:col>10</xdr:col>
      <xdr:colOff>285750</xdr:colOff>
      <xdr:row>17</xdr:row>
      <xdr:rowOff>243567</xdr:rowOff>
    </xdr:to>
    <xdr:sp macro="[0]!InfoButton_Click" textlink="">
      <xdr:nvSpPr>
        <xdr:cNvPr id="19" name="btnInfo8">
          <a:extLst>
            <a:ext uri="{FF2B5EF4-FFF2-40B4-BE49-F238E27FC236}">
              <a16:creationId xmlns:a16="http://schemas.microsoft.com/office/drawing/2014/main" id="{00000000-0008-0000-0F00-000013000000}"/>
            </a:ext>
          </a:extLst>
        </xdr:cNvPr>
        <xdr:cNvSpPr>
          <a:spLocks noChangeAspect="1"/>
        </xdr:cNvSpPr>
      </xdr:nvSpPr>
      <xdr:spPr>
        <a:xfrm>
          <a:off x="6477000" y="3424917"/>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10</xdr:col>
      <xdr:colOff>66675</xdr:colOff>
      <xdr:row>19</xdr:row>
      <xdr:rowOff>13062</xdr:rowOff>
    </xdr:from>
    <xdr:to>
      <xdr:col>10</xdr:col>
      <xdr:colOff>295275</xdr:colOff>
      <xdr:row>19</xdr:row>
      <xdr:rowOff>241662</xdr:rowOff>
    </xdr:to>
    <xdr:sp macro="[0]!InfoButton_Click" textlink="">
      <xdr:nvSpPr>
        <xdr:cNvPr id="20" name="btnInfo9">
          <a:extLst>
            <a:ext uri="{FF2B5EF4-FFF2-40B4-BE49-F238E27FC236}">
              <a16:creationId xmlns:a16="http://schemas.microsoft.com/office/drawing/2014/main" id="{00000000-0008-0000-0F00-000014000000}"/>
            </a:ext>
          </a:extLst>
        </xdr:cNvPr>
        <xdr:cNvSpPr>
          <a:spLocks noChangeAspect="1"/>
        </xdr:cNvSpPr>
      </xdr:nvSpPr>
      <xdr:spPr>
        <a:xfrm>
          <a:off x="6486525" y="3756387"/>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0</xdr:col>
      <xdr:colOff>77560</xdr:colOff>
      <xdr:row>9</xdr:row>
      <xdr:rowOff>19050</xdr:rowOff>
    </xdr:from>
    <xdr:to>
      <xdr:col>2</xdr:col>
      <xdr:colOff>20410</xdr:colOff>
      <xdr:row>9</xdr:row>
      <xdr:rowOff>247650</xdr:rowOff>
    </xdr:to>
    <xdr:sp macro="[0]!InfoButton_Click" textlink="">
      <xdr:nvSpPr>
        <xdr:cNvPr id="21" name="btnInfo3">
          <a:extLst>
            <a:ext uri="{FF2B5EF4-FFF2-40B4-BE49-F238E27FC236}">
              <a16:creationId xmlns:a16="http://schemas.microsoft.com/office/drawing/2014/main" id="{00000000-0008-0000-0F00-000015000000}"/>
            </a:ext>
          </a:extLst>
        </xdr:cNvPr>
        <xdr:cNvSpPr>
          <a:spLocks noChangeAspect="1"/>
        </xdr:cNvSpPr>
      </xdr:nvSpPr>
      <xdr:spPr>
        <a:xfrm>
          <a:off x="77560" y="207645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962025</xdr:colOff>
      <xdr:row>1</xdr:row>
      <xdr:rowOff>85724</xdr:rowOff>
    </xdr:from>
    <xdr:to>
      <xdr:col>17</xdr:col>
      <xdr:colOff>306705</xdr:colOff>
      <xdr:row>5</xdr:row>
      <xdr:rowOff>243839</xdr:rowOff>
    </xdr:to>
    <xdr:graphicFrame macro="">
      <xdr:nvGraphicFramePr>
        <xdr:cNvPr id="22" name="Chart 21">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53342</xdr:colOff>
      <xdr:row>0</xdr:row>
      <xdr:rowOff>13335</xdr:rowOff>
    </xdr:from>
    <xdr:to>
      <xdr:col>2</xdr:col>
      <xdr:colOff>248116</xdr:colOff>
      <xdr:row>2</xdr:row>
      <xdr:rowOff>19050</xdr:rowOff>
    </xdr:to>
    <xdr:pic macro="[0]!ToolNavMenu">
      <xdr:nvPicPr>
        <xdr:cNvPr id="27" name="Shape 1362" descr="LOGOTRANS.png">
          <a:extLst>
            <a:ext uri="{FF2B5EF4-FFF2-40B4-BE49-F238E27FC236}">
              <a16:creationId xmlns:a16="http://schemas.microsoft.com/office/drawing/2014/main" id="{00000000-0008-0000-1000-00001B000000}"/>
            </a:ext>
          </a:extLst>
        </xdr:cNvPr>
        <xdr:cNvPicPr preferRelativeResize="0">
          <a:picLocks noChangeAspect="1"/>
        </xdr:cNvPicPr>
      </xdr:nvPicPr>
      <xdr:blipFill>
        <a:blip xmlns:r="http://schemas.openxmlformats.org/officeDocument/2006/relationships" r:embed="rId2">
          <a:alphaModFix/>
        </a:blip>
        <a:stretch>
          <a:fillRect/>
        </a:stretch>
      </xdr:blipFill>
      <xdr:spPr>
        <a:xfrm>
          <a:off x="53342" y="13335"/>
          <a:ext cx="484334" cy="409575"/>
        </a:xfrm>
        <a:prstGeom prst="rect">
          <a:avLst/>
        </a:prstGeom>
        <a:noFill/>
        <a:ln>
          <a:noFill/>
        </a:ln>
      </xdr:spPr>
    </xdr:pic>
    <xdr:clientData/>
  </xdr:twoCellAnchor>
  <xdr:twoCellAnchor>
    <xdr:from>
      <xdr:col>18</xdr:col>
      <xdr:colOff>716280</xdr:colOff>
      <xdr:row>0</xdr:row>
      <xdr:rowOff>45720</xdr:rowOff>
    </xdr:from>
    <xdr:to>
      <xdr:col>19</xdr:col>
      <xdr:colOff>739140</xdr:colOff>
      <xdr:row>1</xdr:row>
      <xdr:rowOff>274320</xdr:rowOff>
    </xdr:to>
    <xdr:grpSp>
      <xdr:nvGrpSpPr>
        <xdr:cNvPr id="29" name="Group 28">
          <a:extLst>
            <a:ext uri="{FF2B5EF4-FFF2-40B4-BE49-F238E27FC236}">
              <a16:creationId xmlns:a16="http://schemas.microsoft.com/office/drawing/2014/main" id="{00000000-0008-0000-1000-00001D000000}"/>
            </a:ext>
          </a:extLst>
        </xdr:cNvPr>
        <xdr:cNvGrpSpPr/>
      </xdr:nvGrpSpPr>
      <xdr:grpSpPr>
        <a:xfrm>
          <a:off x="11681460" y="45720"/>
          <a:ext cx="762000" cy="304800"/>
          <a:chOff x="9555480" y="3451860"/>
          <a:chExt cx="815340" cy="373380"/>
        </a:xfrm>
        <a:solidFill>
          <a:schemeClr val="accent2"/>
        </a:solidFill>
      </xdr:grpSpPr>
      <xdr:sp macro="[0]!ToolSave" textlink="">
        <xdr:nvSpPr>
          <xdr:cNvPr id="30" name="Rounded Rectangle 29">
            <a:extLst>
              <a:ext uri="{FF2B5EF4-FFF2-40B4-BE49-F238E27FC236}">
                <a16:creationId xmlns:a16="http://schemas.microsoft.com/office/drawing/2014/main" id="{00000000-0008-0000-1000-00001E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31" name="Picture 30">
            <a:extLst>
              <a:ext uri="{FF2B5EF4-FFF2-40B4-BE49-F238E27FC236}">
                <a16:creationId xmlns:a16="http://schemas.microsoft.com/office/drawing/2014/main" id="{00000000-0008-0000-1000-00001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editAs="oneCell">
    <xdr:from>
      <xdr:col>19</xdr:col>
      <xdr:colOff>292100</xdr:colOff>
      <xdr:row>30</xdr:row>
      <xdr:rowOff>113454</xdr:rowOff>
    </xdr:from>
    <xdr:to>
      <xdr:col>19</xdr:col>
      <xdr:colOff>906437</xdr:colOff>
      <xdr:row>32</xdr:row>
      <xdr:rowOff>67732</xdr:rowOff>
    </xdr:to>
    <xdr:pic>
      <xdr:nvPicPr>
        <xdr:cNvPr id="17" name="Pictur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984567" y="6819054"/>
          <a:ext cx="614337" cy="496145"/>
        </a:xfrm>
        <a:prstGeom prst="rect">
          <a:avLst/>
        </a:prstGeom>
      </xdr:spPr>
    </xdr:pic>
    <xdr:clientData/>
  </xdr:twoCellAnchor>
  <xdr:twoCellAnchor>
    <xdr:from>
      <xdr:col>14</xdr:col>
      <xdr:colOff>957942</xdr:colOff>
      <xdr:row>5</xdr:row>
      <xdr:rowOff>21772</xdr:rowOff>
    </xdr:from>
    <xdr:to>
      <xdr:col>18</xdr:col>
      <xdr:colOff>127362</xdr:colOff>
      <xdr:row>6</xdr:row>
      <xdr:rowOff>65315</xdr:rowOff>
    </xdr:to>
    <xdr:sp macro="[0]!Timeline" textlink="">
      <xdr:nvSpPr>
        <xdr:cNvPr id="24" name="Rounded Rectangle 23">
          <a:extLst>
            <a:ext uri="{FF2B5EF4-FFF2-40B4-BE49-F238E27FC236}">
              <a16:creationId xmlns:a16="http://schemas.microsoft.com/office/drawing/2014/main" id="{00000000-0008-0000-1000-000018000000}"/>
            </a:ext>
          </a:extLst>
        </xdr:cNvPr>
        <xdr:cNvSpPr/>
      </xdr:nvSpPr>
      <xdr:spPr>
        <a:xfrm>
          <a:off x="9663792" y="1279072"/>
          <a:ext cx="1417320"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Timeline &amp;  Budget</a:t>
          </a:r>
        </a:p>
      </xdr:txBody>
    </xdr:sp>
    <xdr:clientData/>
  </xdr:twoCellAnchor>
  <xdr:twoCellAnchor>
    <xdr:from>
      <xdr:col>4</xdr:col>
      <xdr:colOff>503804</xdr:colOff>
      <xdr:row>5</xdr:row>
      <xdr:rowOff>21772</xdr:rowOff>
    </xdr:from>
    <xdr:to>
      <xdr:col>6</xdr:col>
      <xdr:colOff>775947</xdr:colOff>
      <xdr:row>6</xdr:row>
      <xdr:rowOff>65315</xdr:rowOff>
    </xdr:to>
    <xdr:sp macro="[0]!People" textlink="">
      <xdr:nvSpPr>
        <xdr:cNvPr id="25" name="Rounded Rectangle 24">
          <a:extLst>
            <a:ext uri="{FF2B5EF4-FFF2-40B4-BE49-F238E27FC236}">
              <a16:creationId xmlns:a16="http://schemas.microsoft.com/office/drawing/2014/main" id="{00000000-0008-0000-1000-000019000000}"/>
            </a:ext>
          </a:extLst>
        </xdr:cNvPr>
        <xdr:cNvSpPr/>
      </xdr:nvSpPr>
      <xdr:spPr>
        <a:xfrm>
          <a:off x="3498464" y="1279072"/>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People</a:t>
          </a:r>
        </a:p>
      </xdr:txBody>
    </xdr:sp>
    <xdr:clientData/>
  </xdr:twoCellAnchor>
  <xdr:twoCellAnchor>
    <xdr:from>
      <xdr:col>10</xdr:col>
      <xdr:colOff>208357</xdr:colOff>
      <xdr:row>5</xdr:row>
      <xdr:rowOff>21772</xdr:rowOff>
    </xdr:from>
    <xdr:to>
      <xdr:col>12</xdr:col>
      <xdr:colOff>480500</xdr:colOff>
      <xdr:row>6</xdr:row>
      <xdr:rowOff>65315</xdr:rowOff>
    </xdr:to>
    <xdr:sp macro="[0]!GTM" textlink="">
      <xdr:nvSpPr>
        <xdr:cNvPr id="26" name="Rounded Rectangle 25">
          <a:extLst>
            <a:ext uri="{FF2B5EF4-FFF2-40B4-BE49-F238E27FC236}">
              <a16:creationId xmlns:a16="http://schemas.microsoft.com/office/drawing/2014/main" id="{00000000-0008-0000-1000-00001A000000}"/>
            </a:ext>
          </a:extLst>
        </xdr:cNvPr>
        <xdr:cNvSpPr/>
      </xdr:nvSpPr>
      <xdr:spPr>
        <a:xfrm>
          <a:off x="6632017" y="1279072"/>
          <a:ext cx="1415143" cy="348343"/>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GTM</a:t>
          </a:r>
        </a:p>
      </xdr:txBody>
    </xdr:sp>
    <xdr:clientData/>
  </xdr:twoCellAnchor>
  <xdr:twoCellAnchor>
    <xdr:from>
      <xdr:col>12</xdr:col>
      <xdr:colOff>583148</xdr:colOff>
      <xdr:row>5</xdr:row>
      <xdr:rowOff>21772</xdr:rowOff>
    </xdr:from>
    <xdr:to>
      <xdr:col>14</xdr:col>
      <xdr:colOff>855292</xdr:colOff>
      <xdr:row>6</xdr:row>
      <xdr:rowOff>65315</xdr:rowOff>
    </xdr:to>
    <xdr:sp macro="[0]!_xludf.Product" textlink="">
      <xdr:nvSpPr>
        <xdr:cNvPr id="28" name="Rounded Rectangle 27">
          <a:extLst>
            <a:ext uri="{FF2B5EF4-FFF2-40B4-BE49-F238E27FC236}">
              <a16:creationId xmlns:a16="http://schemas.microsoft.com/office/drawing/2014/main" id="{00000000-0008-0000-1000-00001C000000}"/>
            </a:ext>
          </a:extLst>
        </xdr:cNvPr>
        <xdr:cNvSpPr/>
      </xdr:nvSpPr>
      <xdr:spPr>
        <a:xfrm>
          <a:off x="8149808" y="1279072"/>
          <a:ext cx="1415144"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Product</a:t>
          </a:r>
        </a:p>
      </xdr:txBody>
    </xdr:sp>
    <xdr:clientData/>
  </xdr:twoCellAnchor>
  <xdr:twoCellAnchor>
    <xdr:from>
      <xdr:col>6</xdr:col>
      <xdr:colOff>878595</xdr:colOff>
      <xdr:row>5</xdr:row>
      <xdr:rowOff>21772</xdr:rowOff>
    </xdr:from>
    <xdr:to>
      <xdr:col>10</xdr:col>
      <xdr:colOff>105709</xdr:colOff>
      <xdr:row>6</xdr:row>
      <xdr:rowOff>65315</xdr:rowOff>
    </xdr:to>
    <xdr:sp macro="[0]!IT" textlink="">
      <xdr:nvSpPr>
        <xdr:cNvPr id="37" name="Rounded Rectangle 36">
          <a:extLst>
            <a:ext uri="{FF2B5EF4-FFF2-40B4-BE49-F238E27FC236}">
              <a16:creationId xmlns:a16="http://schemas.microsoft.com/office/drawing/2014/main" id="{00000000-0008-0000-1000-000025000000}"/>
            </a:ext>
          </a:extLst>
        </xdr:cNvPr>
        <xdr:cNvSpPr/>
      </xdr:nvSpPr>
      <xdr:spPr>
        <a:xfrm>
          <a:off x="5016255" y="1279072"/>
          <a:ext cx="1513114"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Ba</a:t>
          </a:r>
          <a:r>
            <a:rPr lang="en-US" sz="1200" baseline="0"/>
            <a:t>ck Office</a:t>
          </a:r>
          <a:endParaRPr lang="en-US" sz="1200"/>
        </a:p>
      </xdr:txBody>
    </xdr:sp>
    <xdr:clientData/>
  </xdr:twoCellAnchor>
  <xdr:twoCellAnchor>
    <xdr:from>
      <xdr:col>14</xdr:col>
      <xdr:colOff>121921</xdr:colOff>
      <xdr:row>1</xdr:row>
      <xdr:rowOff>312420</xdr:rowOff>
    </xdr:from>
    <xdr:to>
      <xdr:col>19</xdr:col>
      <xdr:colOff>969645</xdr:colOff>
      <xdr:row>4</xdr:row>
      <xdr:rowOff>259080</xdr:rowOff>
    </xdr:to>
    <xdr:graphicFrame macro="">
      <xdr:nvGraphicFramePr>
        <xdr:cNvPr id="16" name="Chart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65314</xdr:colOff>
      <xdr:row>7</xdr:row>
      <xdr:rowOff>239485</xdr:rowOff>
    </xdr:from>
    <xdr:to>
      <xdr:col>2</xdr:col>
      <xdr:colOff>152399</xdr:colOff>
      <xdr:row>8</xdr:row>
      <xdr:rowOff>195942</xdr:rowOff>
    </xdr:to>
    <xdr:sp macro="[0]!InfoButton_Click" textlink="">
      <xdr:nvSpPr>
        <xdr:cNvPr id="14" name="btnInfo10">
          <a:extLst>
            <a:ext uri="{FF2B5EF4-FFF2-40B4-BE49-F238E27FC236}">
              <a16:creationId xmlns:a16="http://schemas.microsoft.com/office/drawing/2014/main" id="{00000000-0008-0000-1000-00000E000000}"/>
            </a:ext>
          </a:extLst>
        </xdr:cNvPr>
        <xdr:cNvSpPr>
          <a:spLocks noChangeAspect="1"/>
        </xdr:cNvSpPr>
      </xdr:nvSpPr>
      <xdr:spPr>
        <a:xfrm>
          <a:off x="206828" y="1872342"/>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1</xdr:col>
      <xdr:colOff>43543</xdr:colOff>
      <xdr:row>9</xdr:row>
      <xdr:rowOff>72934</xdr:rowOff>
    </xdr:from>
    <xdr:to>
      <xdr:col>2</xdr:col>
      <xdr:colOff>130628</xdr:colOff>
      <xdr:row>10</xdr:row>
      <xdr:rowOff>160019</xdr:rowOff>
    </xdr:to>
    <xdr:sp macro="[0]!InfoButton_Click" textlink="">
      <xdr:nvSpPr>
        <xdr:cNvPr id="15" name="btnInfo11">
          <a:extLst>
            <a:ext uri="{FF2B5EF4-FFF2-40B4-BE49-F238E27FC236}">
              <a16:creationId xmlns:a16="http://schemas.microsoft.com/office/drawing/2014/main" id="{00000000-0008-0000-1000-00000F000000}"/>
            </a:ext>
          </a:extLst>
        </xdr:cNvPr>
        <xdr:cNvSpPr>
          <a:spLocks noChangeAspect="1"/>
        </xdr:cNvSpPr>
      </xdr:nvSpPr>
      <xdr:spPr>
        <a:xfrm>
          <a:off x="185057" y="2195648"/>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1</xdr:col>
      <xdr:colOff>10886</xdr:colOff>
      <xdr:row>12</xdr:row>
      <xdr:rowOff>272</xdr:rowOff>
    </xdr:from>
    <xdr:to>
      <xdr:col>2</xdr:col>
      <xdr:colOff>97971</xdr:colOff>
      <xdr:row>12</xdr:row>
      <xdr:rowOff>228872</xdr:rowOff>
    </xdr:to>
    <xdr:sp macro="[0]!InfoButton_Click" textlink="">
      <xdr:nvSpPr>
        <xdr:cNvPr id="18" name="btnInfo12">
          <a:extLst>
            <a:ext uri="{FF2B5EF4-FFF2-40B4-BE49-F238E27FC236}">
              <a16:creationId xmlns:a16="http://schemas.microsoft.com/office/drawing/2014/main" id="{00000000-0008-0000-1000-000012000000}"/>
            </a:ext>
          </a:extLst>
        </xdr:cNvPr>
        <xdr:cNvSpPr>
          <a:spLocks noChangeAspect="1"/>
        </xdr:cNvSpPr>
      </xdr:nvSpPr>
      <xdr:spPr>
        <a:xfrm>
          <a:off x="152400" y="2678158"/>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7</xdr:col>
      <xdr:colOff>119744</xdr:colOff>
      <xdr:row>8</xdr:row>
      <xdr:rowOff>10614</xdr:rowOff>
    </xdr:from>
    <xdr:to>
      <xdr:col>8</xdr:col>
      <xdr:colOff>206829</xdr:colOff>
      <xdr:row>9</xdr:row>
      <xdr:rowOff>21500</xdr:rowOff>
    </xdr:to>
    <xdr:sp macro="[0]!InfoButton_Click" textlink="">
      <xdr:nvSpPr>
        <xdr:cNvPr id="19" name="btnInfo13">
          <a:extLst>
            <a:ext uri="{FF2B5EF4-FFF2-40B4-BE49-F238E27FC236}">
              <a16:creationId xmlns:a16="http://schemas.microsoft.com/office/drawing/2014/main" id="{00000000-0008-0000-1000-000013000000}"/>
            </a:ext>
          </a:extLst>
        </xdr:cNvPr>
        <xdr:cNvSpPr>
          <a:spLocks noChangeAspect="1"/>
        </xdr:cNvSpPr>
      </xdr:nvSpPr>
      <xdr:spPr>
        <a:xfrm>
          <a:off x="5246915" y="1915614"/>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7</xdr:col>
      <xdr:colOff>108858</xdr:colOff>
      <xdr:row>9</xdr:row>
      <xdr:rowOff>105320</xdr:rowOff>
    </xdr:from>
    <xdr:to>
      <xdr:col>8</xdr:col>
      <xdr:colOff>195943</xdr:colOff>
      <xdr:row>10</xdr:row>
      <xdr:rowOff>192405</xdr:rowOff>
    </xdr:to>
    <xdr:sp macro="[0]!InfoButton_Click" textlink="">
      <xdr:nvSpPr>
        <xdr:cNvPr id="20" name="btnInfo14">
          <a:extLst>
            <a:ext uri="{FF2B5EF4-FFF2-40B4-BE49-F238E27FC236}">
              <a16:creationId xmlns:a16="http://schemas.microsoft.com/office/drawing/2014/main" id="{00000000-0008-0000-1000-000014000000}"/>
            </a:ext>
          </a:extLst>
        </xdr:cNvPr>
        <xdr:cNvSpPr>
          <a:spLocks noChangeAspect="1"/>
        </xdr:cNvSpPr>
      </xdr:nvSpPr>
      <xdr:spPr>
        <a:xfrm>
          <a:off x="5236029" y="2228034"/>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118654</xdr:colOff>
      <xdr:row>10</xdr:row>
      <xdr:rowOff>233227</xdr:rowOff>
    </xdr:from>
    <xdr:to>
      <xdr:col>10</xdr:col>
      <xdr:colOff>419100</xdr:colOff>
      <xdr:row>11</xdr:row>
      <xdr:rowOff>219075</xdr:rowOff>
    </xdr:to>
    <xdr:sp macro="" textlink="">
      <xdr:nvSpPr>
        <xdr:cNvPr id="3" name="Rounded Rectangle 2">
          <a:extLst>
            <a:ext uri="{FF2B5EF4-FFF2-40B4-BE49-F238E27FC236}">
              <a16:creationId xmlns:a16="http://schemas.microsoft.com/office/drawing/2014/main" id="{00000000-0008-0000-1100-000003000000}"/>
            </a:ext>
          </a:extLst>
        </xdr:cNvPr>
        <xdr:cNvSpPr/>
      </xdr:nvSpPr>
      <xdr:spPr>
        <a:xfrm>
          <a:off x="2966629" y="2433502"/>
          <a:ext cx="3872321" cy="25254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22862</xdr:colOff>
      <xdr:row>0</xdr:row>
      <xdr:rowOff>13335</xdr:rowOff>
    </xdr:from>
    <xdr:to>
      <xdr:col>2</xdr:col>
      <xdr:colOff>217636</xdr:colOff>
      <xdr:row>2</xdr:row>
      <xdr:rowOff>0</xdr:rowOff>
    </xdr:to>
    <xdr:pic macro="[0]!ToolNavMenu">
      <xdr:nvPicPr>
        <xdr:cNvPr id="19" name="Shape 1362" descr="LOGOTRANS.png">
          <a:extLst>
            <a:ext uri="{FF2B5EF4-FFF2-40B4-BE49-F238E27FC236}">
              <a16:creationId xmlns:a16="http://schemas.microsoft.com/office/drawing/2014/main" id="{00000000-0008-0000-1100-000013000000}"/>
            </a:ext>
          </a:extLst>
        </xdr:cNvPr>
        <xdr:cNvPicPr preferRelativeResize="0">
          <a:picLocks noChangeAspect="1"/>
        </xdr:cNvPicPr>
      </xdr:nvPicPr>
      <xdr:blipFill>
        <a:blip xmlns:r="http://schemas.openxmlformats.org/officeDocument/2006/relationships" r:embed="rId1">
          <a:alphaModFix/>
        </a:blip>
        <a:stretch>
          <a:fillRect/>
        </a:stretch>
      </xdr:blipFill>
      <xdr:spPr>
        <a:xfrm>
          <a:off x="22862" y="13335"/>
          <a:ext cx="484334" cy="386715"/>
        </a:xfrm>
        <a:prstGeom prst="rect">
          <a:avLst/>
        </a:prstGeom>
        <a:noFill/>
        <a:ln>
          <a:noFill/>
        </a:ln>
      </xdr:spPr>
    </xdr:pic>
    <xdr:clientData/>
  </xdr:twoCellAnchor>
  <xdr:twoCellAnchor>
    <xdr:from>
      <xdr:col>18</xdr:col>
      <xdr:colOff>685800</xdr:colOff>
      <xdr:row>0</xdr:row>
      <xdr:rowOff>68580</xdr:rowOff>
    </xdr:from>
    <xdr:to>
      <xdr:col>19</xdr:col>
      <xdr:colOff>708660</xdr:colOff>
      <xdr:row>1</xdr:row>
      <xdr:rowOff>297180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11605260" y="68580"/>
          <a:ext cx="762000" cy="304800"/>
          <a:chOff x="9555480" y="3451860"/>
          <a:chExt cx="815340" cy="373380"/>
        </a:xfrm>
        <a:solidFill>
          <a:schemeClr val="accent2"/>
        </a:solidFill>
      </xdr:grpSpPr>
      <xdr:sp macro="[0]!ToolSave" textlink="">
        <xdr:nvSpPr>
          <xdr:cNvPr id="27" name="Rounded Rectangle 26">
            <a:extLst>
              <a:ext uri="{FF2B5EF4-FFF2-40B4-BE49-F238E27FC236}">
                <a16:creationId xmlns:a16="http://schemas.microsoft.com/office/drawing/2014/main" id="{00000000-0008-0000-1100-00001B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28" name="Picture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editAs="oneCell">
    <xdr:from>
      <xdr:col>17</xdr:col>
      <xdr:colOff>213360</xdr:colOff>
      <xdr:row>29</xdr:row>
      <xdr:rowOff>91440</xdr:rowOff>
    </xdr:from>
    <xdr:to>
      <xdr:col>17</xdr:col>
      <xdr:colOff>827697</xdr:colOff>
      <xdr:row>31</xdr:row>
      <xdr:rowOff>45719</xdr:rowOff>
    </xdr:to>
    <xdr:pic>
      <xdr:nvPicPr>
        <xdr:cNvPr id="20" name="Picture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72700" y="7132320"/>
          <a:ext cx="614337" cy="502919"/>
        </a:xfrm>
        <a:prstGeom prst="rect">
          <a:avLst/>
        </a:prstGeom>
      </xdr:spPr>
    </xdr:pic>
    <xdr:clientData/>
  </xdr:twoCellAnchor>
  <xdr:twoCellAnchor>
    <xdr:from>
      <xdr:col>15</xdr:col>
      <xdr:colOff>-1</xdr:colOff>
      <xdr:row>5</xdr:row>
      <xdr:rowOff>21772</xdr:rowOff>
    </xdr:from>
    <xdr:to>
      <xdr:col>18</xdr:col>
      <xdr:colOff>176348</xdr:colOff>
      <xdr:row>6</xdr:row>
      <xdr:rowOff>65315</xdr:rowOff>
    </xdr:to>
    <xdr:sp macro="[0]!Timeline" textlink="">
      <xdr:nvSpPr>
        <xdr:cNvPr id="38" name="Rounded Rectangle 37">
          <a:extLst>
            <a:ext uri="{FF2B5EF4-FFF2-40B4-BE49-F238E27FC236}">
              <a16:creationId xmlns:a16="http://schemas.microsoft.com/office/drawing/2014/main" id="{00000000-0008-0000-1100-000026000000}"/>
            </a:ext>
          </a:extLst>
        </xdr:cNvPr>
        <xdr:cNvSpPr/>
      </xdr:nvSpPr>
      <xdr:spPr>
        <a:xfrm>
          <a:off x="9655628" y="1273629"/>
          <a:ext cx="1417320"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Timeline &amp;  Budget</a:t>
          </a:r>
        </a:p>
      </xdr:txBody>
    </xdr:sp>
    <xdr:clientData/>
  </xdr:twoCellAnchor>
  <xdr:twoCellAnchor>
    <xdr:from>
      <xdr:col>4</xdr:col>
      <xdr:colOff>503804</xdr:colOff>
      <xdr:row>5</xdr:row>
      <xdr:rowOff>21772</xdr:rowOff>
    </xdr:from>
    <xdr:to>
      <xdr:col>6</xdr:col>
      <xdr:colOff>775947</xdr:colOff>
      <xdr:row>6</xdr:row>
      <xdr:rowOff>65315</xdr:rowOff>
    </xdr:to>
    <xdr:sp macro="[0]!People" textlink="">
      <xdr:nvSpPr>
        <xdr:cNvPr id="39" name="Rounded Rectangle 38">
          <a:extLst>
            <a:ext uri="{FF2B5EF4-FFF2-40B4-BE49-F238E27FC236}">
              <a16:creationId xmlns:a16="http://schemas.microsoft.com/office/drawing/2014/main" id="{00000000-0008-0000-1100-000027000000}"/>
            </a:ext>
          </a:extLst>
        </xdr:cNvPr>
        <xdr:cNvSpPr/>
      </xdr:nvSpPr>
      <xdr:spPr>
        <a:xfrm>
          <a:off x="3498464" y="1279072"/>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People</a:t>
          </a:r>
        </a:p>
      </xdr:txBody>
    </xdr:sp>
    <xdr:clientData/>
  </xdr:twoCellAnchor>
  <xdr:twoCellAnchor>
    <xdr:from>
      <xdr:col>10</xdr:col>
      <xdr:colOff>208357</xdr:colOff>
      <xdr:row>5</xdr:row>
      <xdr:rowOff>21772</xdr:rowOff>
    </xdr:from>
    <xdr:to>
      <xdr:col>12</xdr:col>
      <xdr:colOff>480500</xdr:colOff>
      <xdr:row>6</xdr:row>
      <xdr:rowOff>65315</xdr:rowOff>
    </xdr:to>
    <xdr:sp macro="[0]!GTM" textlink="">
      <xdr:nvSpPr>
        <xdr:cNvPr id="40" name="Rounded Rectangle 39">
          <a:extLst>
            <a:ext uri="{FF2B5EF4-FFF2-40B4-BE49-F238E27FC236}">
              <a16:creationId xmlns:a16="http://schemas.microsoft.com/office/drawing/2014/main" id="{00000000-0008-0000-1100-000028000000}"/>
            </a:ext>
          </a:extLst>
        </xdr:cNvPr>
        <xdr:cNvSpPr/>
      </xdr:nvSpPr>
      <xdr:spPr>
        <a:xfrm>
          <a:off x="6632017" y="1279072"/>
          <a:ext cx="1415143"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GTM</a:t>
          </a:r>
        </a:p>
      </xdr:txBody>
    </xdr:sp>
    <xdr:clientData/>
  </xdr:twoCellAnchor>
  <xdr:twoCellAnchor>
    <xdr:from>
      <xdr:col>12</xdr:col>
      <xdr:colOff>583148</xdr:colOff>
      <xdr:row>5</xdr:row>
      <xdr:rowOff>21772</xdr:rowOff>
    </xdr:from>
    <xdr:to>
      <xdr:col>14</xdr:col>
      <xdr:colOff>855292</xdr:colOff>
      <xdr:row>6</xdr:row>
      <xdr:rowOff>65315</xdr:rowOff>
    </xdr:to>
    <xdr:sp macro="[0]!_xludf.Product" textlink="">
      <xdr:nvSpPr>
        <xdr:cNvPr id="41" name="Rounded Rectangle 40">
          <a:extLst>
            <a:ext uri="{FF2B5EF4-FFF2-40B4-BE49-F238E27FC236}">
              <a16:creationId xmlns:a16="http://schemas.microsoft.com/office/drawing/2014/main" id="{00000000-0008-0000-1100-000029000000}"/>
            </a:ext>
          </a:extLst>
        </xdr:cNvPr>
        <xdr:cNvSpPr/>
      </xdr:nvSpPr>
      <xdr:spPr>
        <a:xfrm>
          <a:off x="8149808" y="1279072"/>
          <a:ext cx="1415144" cy="348343"/>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Product</a:t>
          </a:r>
        </a:p>
      </xdr:txBody>
    </xdr:sp>
    <xdr:clientData/>
  </xdr:twoCellAnchor>
  <xdr:twoCellAnchor>
    <xdr:from>
      <xdr:col>6</xdr:col>
      <xdr:colOff>878595</xdr:colOff>
      <xdr:row>5</xdr:row>
      <xdr:rowOff>21772</xdr:rowOff>
    </xdr:from>
    <xdr:to>
      <xdr:col>10</xdr:col>
      <xdr:colOff>105709</xdr:colOff>
      <xdr:row>6</xdr:row>
      <xdr:rowOff>65315</xdr:rowOff>
    </xdr:to>
    <xdr:sp macro="[0]!IT" textlink="">
      <xdr:nvSpPr>
        <xdr:cNvPr id="42" name="Rounded Rectangle 41">
          <a:extLst>
            <a:ext uri="{FF2B5EF4-FFF2-40B4-BE49-F238E27FC236}">
              <a16:creationId xmlns:a16="http://schemas.microsoft.com/office/drawing/2014/main" id="{00000000-0008-0000-1100-00002A000000}"/>
            </a:ext>
          </a:extLst>
        </xdr:cNvPr>
        <xdr:cNvSpPr/>
      </xdr:nvSpPr>
      <xdr:spPr>
        <a:xfrm>
          <a:off x="5016255" y="1279072"/>
          <a:ext cx="1513114"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Ba</a:t>
          </a:r>
          <a:r>
            <a:rPr lang="en-US" sz="1200" baseline="0"/>
            <a:t>ck Office</a:t>
          </a:r>
          <a:endParaRPr lang="en-US" sz="1200"/>
        </a:p>
      </xdr:txBody>
    </xdr:sp>
    <xdr:clientData/>
  </xdr:twoCellAnchor>
  <xdr:twoCellAnchor>
    <xdr:from>
      <xdr:col>4</xdr:col>
      <xdr:colOff>115390</xdr:colOff>
      <xdr:row>11</xdr:row>
      <xdr:rowOff>8708</xdr:rowOff>
    </xdr:from>
    <xdr:to>
      <xdr:col>4</xdr:col>
      <xdr:colOff>274524</xdr:colOff>
      <xdr:row>11</xdr:row>
      <xdr:rowOff>178383</xdr:rowOff>
    </xdr:to>
    <xdr:sp macro="[0]!ProdFocus1" textlink="">
      <xdr:nvSpPr>
        <xdr:cNvPr id="2" name="ProductFocus1">
          <a:extLst>
            <a:ext uri="{FF2B5EF4-FFF2-40B4-BE49-F238E27FC236}">
              <a16:creationId xmlns:a16="http://schemas.microsoft.com/office/drawing/2014/main" id="{00000000-0008-0000-1100-000002000000}"/>
            </a:ext>
          </a:extLst>
        </xdr:cNvPr>
        <xdr:cNvSpPr/>
      </xdr:nvSpPr>
      <xdr:spPr>
        <a:xfrm>
          <a:off x="3110050" y="2477588"/>
          <a:ext cx="159134" cy="169675"/>
        </a:xfrm>
        <a:prstGeom prst="diamond">
          <a:avLst/>
        </a:prstGeom>
        <a:solidFill>
          <a:srgbClr val="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978083</xdr:colOff>
      <xdr:row>11</xdr:row>
      <xdr:rowOff>8708</xdr:rowOff>
    </xdr:from>
    <xdr:to>
      <xdr:col>5</xdr:col>
      <xdr:colOff>138997</xdr:colOff>
      <xdr:row>11</xdr:row>
      <xdr:rowOff>178383</xdr:rowOff>
    </xdr:to>
    <xdr:sp macro="[0]!ProdFocus2" textlink="">
      <xdr:nvSpPr>
        <xdr:cNvPr id="22" name="ProductFocus2">
          <a:extLst>
            <a:ext uri="{FF2B5EF4-FFF2-40B4-BE49-F238E27FC236}">
              <a16:creationId xmlns:a16="http://schemas.microsoft.com/office/drawing/2014/main" id="{00000000-0008-0000-1100-000016000000}"/>
            </a:ext>
          </a:extLst>
        </xdr:cNvPr>
        <xdr:cNvSpPr/>
      </xdr:nvSpPr>
      <xdr:spPr>
        <a:xfrm>
          <a:off x="3972743" y="2477588"/>
          <a:ext cx="159134" cy="169675"/>
        </a:xfrm>
        <a:prstGeom prst="diamond">
          <a:avLst/>
        </a:prstGeom>
        <a:solidFill>
          <a:srgbClr val="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137161</xdr:colOff>
      <xdr:row>11</xdr:row>
      <xdr:rowOff>8708</xdr:rowOff>
    </xdr:from>
    <xdr:to>
      <xdr:col>10</xdr:col>
      <xdr:colOff>296295</xdr:colOff>
      <xdr:row>11</xdr:row>
      <xdr:rowOff>178383</xdr:rowOff>
    </xdr:to>
    <xdr:sp macro="[0]!ProdFocus5" textlink="">
      <xdr:nvSpPr>
        <xdr:cNvPr id="29" name="ProductFocus5">
          <a:extLst>
            <a:ext uri="{FF2B5EF4-FFF2-40B4-BE49-F238E27FC236}">
              <a16:creationId xmlns:a16="http://schemas.microsoft.com/office/drawing/2014/main" id="{00000000-0008-0000-1100-00001D000000}"/>
            </a:ext>
          </a:extLst>
        </xdr:cNvPr>
        <xdr:cNvSpPr/>
      </xdr:nvSpPr>
      <xdr:spPr>
        <a:xfrm>
          <a:off x="6560821" y="2477588"/>
          <a:ext cx="159134" cy="169675"/>
        </a:xfrm>
        <a:prstGeom prst="diamond">
          <a:avLst/>
        </a:prstGeom>
        <a:solidFill>
          <a:srgbClr val="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417469</xdr:colOff>
      <xdr:row>11</xdr:row>
      <xdr:rowOff>8708</xdr:rowOff>
    </xdr:from>
    <xdr:to>
      <xdr:col>8</xdr:col>
      <xdr:colOff>576603</xdr:colOff>
      <xdr:row>11</xdr:row>
      <xdr:rowOff>178383</xdr:rowOff>
    </xdr:to>
    <xdr:sp macro="[0]!ProdFocus4" textlink="">
      <xdr:nvSpPr>
        <xdr:cNvPr id="30" name="ProductFocus4">
          <a:extLst>
            <a:ext uri="{FF2B5EF4-FFF2-40B4-BE49-F238E27FC236}">
              <a16:creationId xmlns:a16="http://schemas.microsoft.com/office/drawing/2014/main" id="{00000000-0008-0000-1100-00001E000000}"/>
            </a:ext>
          </a:extLst>
        </xdr:cNvPr>
        <xdr:cNvSpPr/>
      </xdr:nvSpPr>
      <xdr:spPr>
        <a:xfrm>
          <a:off x="5698129" y="2477588"/>
          <a:ext cx="159134" cy="169675"/>
        </a:xfrm>
        <a:prstGeom prst="diamond">
          <a:avLst/>
        </a:prstGeom>
        <a:solidFill>
          <a:srgbClr val="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697775</xdr:colOff>
      <xdr:row>11</xdr:row>
      <xdr:rowOff>8708</xdr:rowOff>
    </xdr:from>
    <xdr:to>
      <xdr:col>6</xdr:col>
      <xdr:colOff>853727</xdr:colOff>
      <xdr:row>11</xdr:row>
      <xdr:rowOff>178383</xdr:rowOff>
    </xdr:to>
    <xdr:sp macro="[0]!ProdFocus3" textlink="">
      <xdr:nvSpPr>
        <xdr:cNvPr id="33" name="ProductFocus3">
          <a:extLst>
            <a:ext uri="{FF2B5EF4-FFF2-40B4-BE49-F238E27FC236}">
              <a16:creationId xmlns:a16="http://schemas.microsoft.com/office/drawing/2014/main" id="{00000000-0008-0000-1100-000021000000}"/>
            </a:ext>
          </a:extLst>
        </xdr:cNvPr>
        <xdr:cNvSpPr/>
      </xdr:nvSpPr>
      <xdr:spPr>
        <a:xfrm>
          <a:off x="4835435" y="2477588"/>
          <a:ext cx="155952" cy="169675"/>
        </a:xfrm>
        <a:prstGeom prst="diamond">
          <a:avLst/>
        </a:prstGeom>
        <a:solidFill>
          <a:srgbClr val="FFFFFF"/>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99059</xdr:colOff>
      <xdr:row>9</xdr:row>
      <xdr:rowOff>80010</xdr:rowOff>
    </xdr:from>
    <xdr:to>
      <xdr:col>4</xdr:col>
      <xdr:colOff>639729</xdr:colOff>
      <xdr:row>10</xdr:row>
      <xdr:rowOff>194310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2950209" y="2175510"/>
          <a:ext cx="68672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Verdana" panose="020B0604030504040204" pitchFamily="34" charset="0"/>
              <a:ea typeface="Verdana" panose="020B0604030504040204" pitchFamily="34" charset="0"/>
              <a:cs typeface="Verdana" panose="020B0604030504040204" pitchFamily="34" charset="0"/>
            </a:rPr>
            <a:t>100%</a:t>
          </a:r>
        </a:p>
      </xdr:txBody>
    </xdr:sp>
    <xdr:clientData/>
  </xdr:twoCellAnchor>
  <xdr:twoCellAnchor>
    <xdr:from>
      <xdr:col>6</xdr:col>
      <xdr:colOff>320040</xdr:colOff>
      <xdr:row>9</xdr:row>
      <xdr:rowOff>80010</xdr:rowOff>
    </xdr:from>
    <xdr:to>
      <xdr:col>8</xdr:col>
      <xdr:colOff>209550</xdr:colOff>
      <xdr:row>10</xdr:row>
      <xdr:rowOff>190500</xdr:rowOff>
    </xdr:to>
    <xdr:sp macro="" textlink="">
      <xdr:nvSpPr>
        <xdr:cNvPr id="35" name="TextBox 34">
          <a:extLst>
            <a:ext uri="{FF2B5EF4-FFF2-40B4-BE49-F238E27FC236}">
              <a16:creationId xmlns:a16="http://schemas.microsoft.com/office/drawing/2014/main" id="{00000000-0008-0000-1100-000023000000}"/>
            </a:ext>
          </a:extLst>
        </xdr:cNvPr>
        <xdr:cNvSpPr txBox="1"/>
      </xdr:nvSpPr>
      <xdr:spPr>
        <a:xfrm>
          <a:off x="4453890" y="2175510"/>
          <a:ext cx="1032510" cy="21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a:latin typeface="Verdana" panose="020B0604030504040204" pitchFamily="34" charset="0"/>
              <a:ea typeface="Verdana" panose="020B0604030504040204" pitchFamily="34" charset="0"/>
              <a:cs typeface="Verdana" panose="020B0604030504040204" pitchFamily="34" charset="0"/>
            </a:rPr>
            <a:t>50%/50%</a:t>
          </a:r>
        </a:p>
      </xdr:txBody>
    </xdr:sp>
    <xdr:clientData/>
  </xdr:twoCellAnchor>
  <xdr:twoCellAnchor>
    <xdr:from>
      <xdr:col>9</xdr:col>
      <xdr:colOff>68579</xdr:colOff>
      <xdr:row>9</xdr:row>
      <xdr:rowOff>80010</xdr:rowOff>
    </xdr:from>
    <xdr:to>
      <xdr:col>10</xdr:col>
      <xdr:colOff>609249</xdr:colOff>
      <xdr:row>10</xdr:row>
      <xdr:rowOff>194310</xdr:rowOff>
    </xdr:to>
    <xdr:sp macro="" textlink="">
      <xdr:nvSpPr>
        <xdr:cNvPr id="37" name="TextBox 36">
          <a:extLst>
            <a:ext uri="{FF2B5EF4-FFF2-40B4-BE49-F238E27FC236}">
              <a16:creationId xmlns:a16="http://schemas.microsoft.com/office/drawing/2014/main" id="{00000000-0008-0000-1100-000025000000}"/>
            </a:ext>
          </a:extLst>
        </xdr:cNvPr>
        <xdr:cNvSpPr txBox="1"/>
      </xdr:nvSpPr>
      <xdr:spPr>
        <a:xfrm>
          <a:off x="6348729" y="2175510"/>
          <a:ext cx="68672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Verdana" panose="020B0604030504040204" pitchFamily="34" charset="0"/>
              <a:ea typeface="Verdana" panose="020B0604030504040204" pitchFamily="34" charset="0"/>
              <a:cs typeface="Verdana" panose="020B0604030504040204" pitchFamily="34" charset="0"/>
            </a:rPr>
            <a:t>100%</a:t>
          </a:r>
        </a:p>
      </xdr:txBody>
    </xdr:sp>
    <xdr:clientData/>
  </xdr:twoCellAnchor>
  <xdr:twoCellAnchor>
    <xdr:from>
      <xdr:col>14</xdr:col>
      <xdr:colOff>129541</xdr:colOff>
      <xdr:row>1</xdr:row>
      <xdr:rowOff>320040</xdr:rowOff>
    </xdr:from>
    <xdr:to>
      <xdr:col>19</xdr:col>
      <xdr:colOff>977265</xdr:colOff>
      <xdr:row>5</xdr:row>
      <xdr:rowOff>0</xdr:rowOff>
    </xdr:to>
    <xdr:graphicFrame macro="">
      <xdr:nvGraphicFramePr>
        <xdr:cNvPr id="25" name="Chart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8</xdr:row>
      <xdr:rowOff>19050</xdr:rowOff>
    </xdr:from>
    <xdr:to>
      <xdr:col>2</xdr:col>
      <xdr:colOff>209550</xdr:colOff>
      <xdr:row>8</xdr:row>
      <xdr:rowOff>247650</xdr:rowOff>
    </xdr:to>
    <xdr:sp macro="[0]!InfoButton_Click" textlink="">
      <xdr:nvSpPr>
        <xdr:cNvPr id="23" name="btnInfo15">
          <a:extLst>
            <a:ext uri="{FF2B5EF4-FFF2-40B4-BE49-F238E27FC236}">
              <a16:creationId xmlns:a16="http://schemas.microsoft.com/office/drawing/2014/main" id="{00000000-0008-0000-1100-000017000000}"/>
            </a:ext>
          </a:extLst>
        </xdr:cNvPr>
        <xdr:cNvSpPr>
          <a:spLocks noChangeAspect="1"/>
        </xdr:cNvSpPr>
      </xdr:nvSpPr>
      <xdr:spPr>
        <a:xfrm>
          <a:off x="266700" y="1781175"/>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twoCellAnchor>
    <xdr:from>
      <xdr:col>2</xdr:col>
      <xdr:colOff>1171575</xdr:colOff>
      <xdr:row>10</xdr:row>
      <xdr:rowOff>264795</xdr:rowOff>
    </xdr:from>
    <xdr:to>
      <xdr:col>2</xdr:col>
      <xdr:colOff>1400175</xdr:colOff>
      <xdr:row>11</xdr:row>
      <xdr:rowOff>226695</xdr:rowOff>
    </xdr:to>
    <xdr:sp macro="[0]!InfoButton_Click" textlink="">
      <xdr:nvSpPr>
        <xdr:cNvPr id="24" name="btnInfo16">
          <a:extLst>
            <a:ext uri="{FF2B5EF4-FFF2-40B4-BE49-F238E27FC236}">
              <a16:creationId xmlns:a16="http://schemas.microsoft.com/office/drawing/2014/main" id="{00000000-0008-0000-1100-000018000000}"/>
            </a:ext>
          </a:extLst>
        </xdr:cNvPr>
        <xdr:cNvSpPr>
          <a:spLocks noChangeAspect="1"/>
        </xdr:cNvSpPr>
      </xdr:nvSpPr>
      <xdr:spPr>
        <a:xfrm>
          <a:off x="1457325" y="2407920"/>
          <a:ext cx="228600" cy="228600"/>
        </a:xfrm>
        <a:prstGeom prst="ellipse">
          <a:avLst/>
        </a:prstGeom>
        <a:solidFill>
          <a:srgbClr val="0AB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Verdana" panose="020B0604030504040204" pitchFamily="34" charset="0"/>
              <a:ea typeface="Verdana" panose="020B0604030504040204" pitchFamily="34" charset="0"/>
              <a:cs typeface="Verdana" panose="020B0604030504040204" pitchFamily="34" charset="0"/>
            </a:rPr>
            <a:t>?</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53342</xdr:colOff>
      <xdr:row>0</xdr:row>
      <xdr:rowOff>13335</xdr:rowOff>
    </xdr:from>
    <xdr:to>
      <xdr:col>2</xdr:col>
      <xdr:colOff>248116</xdr:colOff>
      <xdr:row>2</xdr:row>
      <xdr:rowOff>19050</xdr:rowOff>
    </xdr:to>
    <xdr:pic macro="[0]!ToolNavMenu">
      <xdr:nvPicPr>
        <xdr:cNvPr id="12" name="Shape 1362" descr="LOGOTRANS.png">
          <a:extLst>
            <a:ext uri="{FF2B5EF4-FFF2-40B4-BE49-F238E27FC236}">
              <a16:creationId xmlns:a16="http://schemas.microsoft.com/office/drawing/2014/main" id="{00000000-0008-0000-1200-00000C000000}"/>
            </a:ext>
          </a:extLst>
        </xdr:cNvPr>
        <xdr:cNvPicPr preferRelativeResize="0">
          <a:picLocks noChangeAspect="1"/>
        </xdr:cNvPicPr>
      </xdr:nvPicPr>
      <xdr:blipFill>
        <a:blip xmlns:r="http://schemas.openxmlformats.org/officeDocument/2006/relationships" r:embed="rId1">
          <a:alphaModFix/>
        </a:blip>
        <a:stretch>
          <a:fillRect/>
        </a:stretch>
      </xdr:blipFill>
      <xdr:spPr>
        <a:xfrm>
          <a:off x="53342" y="13335"/>
          <a:ext cx="480524" cy="405765"/>
        </a:xfrm>
        <a:prstGeom prst="rect">
          <a:avLst/>
        </a:prstGeom>
        <a:noFill/>
        <a:ln>
          <a:noFill/>
        </a:ln>
      </xdr:spPr>
    </xdr:pic>
    <xdr:clientData/>
  </xdr:twoCellAnchor>
  <xdr:twoCellAnchor>
    <xdr:from>
      <xdr:col>14</xdr:col>
      <xdr:colOff>957942</xdr:colOff>
      <xdr:row>5</xdr:row>
      <xdr:rowOff>21772</xdr:rowOff>
    </xdr:from>
    <xdr:to>
      <xdr:col>18</xdr:col>
      <xdr:colOff>87086</xdr:colOff>
      <xdr:row>6</xdr:row>
      <xdr:rowOff>65315</xdr:rowOff>
    </xdr:to>
    <xdr:sp macro="[0]!Timeline" textlink="">
      <xdr:nvSpPr>
        <xdr:cNvPr id="22" name="Rounded Rectangle 21">
          <a:extLst>
            <a:ext uri="{FF2B5EF4-FFF2-40B4-BE49-F238E27FC236}">
              <a16:creationId xmlns:a16="http://schemas.microsoft.com/office/drawing/2014/main" id="{00000000-0008-0000-1200-000016000000}"/>
            </a:ext>
          </a:extLst>
        </xdr:cNvPr>
        <xdr:cNvSpPr/>
      </xdr:nvSpPr>
      <xdr:spPr>
        <a:xfrm>
          <a:off x="9655628" y="1273629"/>
          <a:ext cx="1415144" cy="348343"/>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Timeline &amp;  Budget</a:t>
          </a:r>
        </a:p>
      </xdr:txBody>
    </xdr:sp>
    <xdr:clientData/>
  </xdr:twoCellAnchor>
  <xdr:twoCellAnchor>
    <xdr:from>
      <xdr:col>4</xdr:col>
      <xdr:colOff>503804</xdr:colOff>
      <xdr:row>5</xdr:row>
      <xdr:rowOff>21772</xdr:rowOff>
    </xdr:from>
    <xdr:to>
      <xdr:col>6</xdr:col>
      <xdr:colOff>775947</xdr:colOff>
      <xdr:row>6</xdr:row>
      <xdr:rowOff>65315</xdr:rowOff>
    </xdr:to>
    <xdr:sp macro="[0]!People" textlink="">
      <xdr:nvSpPr>
        <xdr:cNvPr id="23" name="Rounded Rectangle 22">
          <a:extLst>
            <a:ext uri="{FF2B5EF4-FFF2-40B4-BE49-F238E27FC236}">
              <a16:creationId xmlns:a16="http://schemas.microsoft.com/office/drawing/2014/main" id="{00000000-0008-0000-1200-000017000000}"/>
            </a:ext>
          </a:extLst>
        </xdr:cNvPr>
        <xdr:cNvSpPr/>
      </xdr:nvSpPr>
      <xdr:spPr>
        <a:xfrm>
          <a:off x="3486490" y="1273629"/>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People</a:t>
          </a:r>
        </a:p>
      </xdr:txBody>
    </xdr:sp>
    <xdr:clientData/>
  </xdr:twoCellAnchor>
  <xdr:twoCellAnchor>
    <xdr:from>
      <xdr:col>10</xdr:col>
      <xdr:colOff>208357</xdr:colOff>
      <xdr:row>5</xdr:row>
      <xdr:rowOff>21772</xdr:rowOff>
    </xdr:from>
    <xdr:to>
      <xdr:col>12</xdr:col>
      <xdr:colOff>480500</xdr:colOff>
      <xdr:row>6</xdr:row>
      <xdr:rowOff>65315</xdr:rowOff>
    </xdr:to>
    <xdr:sp macro="[0]!GTM" textlink="">
      <xdr:nvSpPr>
        <xdr:cNvPr id="24" name="Rounded Rectangle 23">
          <a:extLst>
            <a:ext uri="{FF2B5EF4-FFF2-40B4-BE49-F238E27FC236}">
              <a16:creationId xmlns:a16="http://schemas.microsoft.com/office/drawing/2014/main" id="{00000000-0008-0000-1200-000018000000}"/>
            </a:ext>
          </a:extLst>
        </xdr:cNvPr>
        <xdr:cNvSpPr/>
      </xdr:nvSpPr>
      <xdr:spPr>
        <a:xfrm>
          <a:off x="6620043" y="1273629"/>
          <a:ext cx="1415143"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GTM</a:t>
          </a:r>
        </a:p>
      </xdr:txBody>
    </xdr:sp>
    <xdr:clientData/>
  </xdr:twoCellAnchor>
  <xdr:twoCellAnchor>
    <xdr:from>
      <xdr:col>12</xdr:col>
      <xdr:colOff>583148</xdr:colOff>
      <xdr:row>5</xdr:row>
      <xdr:rowOff>21772</xdr:rowOff>
    </xdr:from>
    <xdr:to>
      <xdr:col>14</xdr:col>
      <xdr:colOff>855292</xdr:colOff>
      <xdr:row>6</xdr:row>
      <xdr:rowOff>65315</xdr:rowOff>
    </xdr:to>
    <xdr:sp macro="[0]!_xludf.Product" textlink="">
      <xdr:nvSpPr>
        <xdr:cNvPr id="25" name="Rounded Rectangle 24">
          <a:extLst>
            <a:ext uri="{FF2B5EF4-FFF2-40B4-BE49-F238E27FC236}">
              <a16:creationId xmlns:a16="http://schemas.microsoft.com/office/drawing/2014/main" id="{00000000-0008-0000-1200-000019000000}"/>
            </a:ext>
          </a:extLst>
        </xdr:cNvPr>
        <xdr:cNvSpPr/>
      </xdr:nvSpPr>
      <xdr:spPr>
        <a:xfrm>
          <a:off x="8137834" y="1273629"/>
          <a:ext cx="1415144" cy="348343"/>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Product</a:t>
          </a:r>
        </a:p>
      </xdr:txBody>
    </xdr:sp>
    <xdr:clientData/>
  </xdr:twoCellAnchor>
  <xdr:twoCellAnchor>
    <xdr:from>
      <xdr:col>6</xdr:col>
      <xdr:colOff>878595</xdr:colOff>
      <xdr:row>5</xdr:row>
      <xdr:rowOff>21772</xdr:rowOff>
    </xdr:from>
    <xdr:to>
      <xdr:col>10</xdr:col>
      <xdr:colOff>105709</xdr:colOff>
      <xdr:row>6</xdr:row>
      <xdr:rowOff>65315</xdr:rowOff>
    </xdr:to>
    <xdr:sp macro="[0]!IT" textlink="">
      <xdr:nvSpPr>
        <xdr:cNvPr id="26" name="Rounded Rectangle 25">
          <a:extLst>
            <a:ext uri="{FF2B5EF4-FFF2-40B4-BE49-F238E27FC236}">
              <a16:creationId xmlns:a16="http://schemas.microsoft.com/office/drawing/2014/main" id="{00000000-0008-0000-1200-00001A000000}"/>
            </a:ext>
          </a:extLst>
        </xdr:cNvPr>
        <xdr:cNvSpPr/>
      </xdr:nvSpPr>
      <xdr:spPr>
        <a:xfrm>
          <a:off x="5004281" y="1273629"/>
          <a:ext cx="1513114" cy="34834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t>Ba</a:t>
          </a:r>
          <a:r>
            <a:rPr lang="en-US" sz="1200" baseline="0"/>
            <a:t>ck Office</a:t>
          </a:r>
          <a:endParaRPr lang="en-US" sz="1200"/>
        </a:p>
      </xdr:txBody>
    </xdr:sp>
    <xdr:clientData/>
  </xdr:twoCellAnchor>
  <xdr:twoCellAnchor>
    <xdr:from>
      <xdr:col>18</xdr:col>
      <xdr:colOff>723900</xdr:colOff>
      <xdr:row>0</xdr:row>
      <xdr:rowOff>45720</xdr:rowOff>
    </xdr:from>
    <xdr:to>
      <xdr:col>19</xdr:col>
      <xdr:colOff>746760</xdr:colOff>
      <xdr:row>1</xdr:row>
      <xdr:rowOff>274320</xdr:rowOff>
    </xdr:to>
    <xdr:grpSp>
      <xdr:nvGrpSpPr>
        <xdr:cNvPr id="31" name="Group 30">
          <a:extLst>
            <a:ext uri="{FF2B5EF4-FFF2-40B4-BE49-F238E27FC236}">
              <a16:creationId xmlns:a16="http://schemas.microsoft.com/office/drawing/2014/main" id="{00000000-0008-0000-1200-00001F000000}"/>
            </a:ext>
          </a:extLst>
        </xdr:cNvPr>
        <xdr:cNvGrpSpPr/>
      </xdr:nvGrpSpPr>
      <xdr:grpSpPr>
        <a:xfrm>
          <a:off x="11719560" y="45720"/>
          <a:ext cx="762000" cy="304800"/>
          <a:chOff x="9555480" y="3451860"/>
          <a:chExt cx="815340" cy="373380"/>
        </a:xfrm>
        <a:solidFill>
          <a:schemeClr val="accent2"/>
        </a:solidFill>
      </xdr:grpSpPr>
      <xdr:sp macro="[0]!ToolSave" textlink="">
        <xdr:nvSpPr>
          <xdr:cNvPr id="32" name="Rounded Rectangle 31">
            <a:extLst>
              <a:ext uri="{FF2B5EF4-FFF2-40B4-BE49-F238E27FC236}">
                <a16:creationId xmlns:a16="http://schemas.microsoft.com/office/drawing/2014/main" id="{00000000-0008-0000-1200-000020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t>Save</a:t>
            </a:r>
          </a:p>
        </xdr:txBody>
      </xdr:sp>
      <xdr:pic macro="[0]!ToolSave">
        <xdr:nvPicPr>
          <xdr:cNvPr id="33" name="Picture 32">
            <a:extLst>
              <a:ext uri="{FF2B5EF4-FFF2-40B4-BE49-F238E27FC236}">
                <a16:creationId xmlns:a16="http://schemas.microsoft.com/office/drawing/2014/main" id="{00000000-0008-0000-12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editAs="oneCell">
    <xdr:from>
      <xdr:col>17</xdr:col>
      <xdr:colOff>325482</xdr:colOff>
      <xdr:row>40</xdr:row>
      <xdr:rowOff>71845</xdr:rowOff>
    </xdr:from>
    <xdr:to>
      <xdr:col>17</xdr:col>
      <xdr:colOff>936553</xdr:colOff>
      <xdr:row>42</xdr:row>
      <xdr:rowOff>167639</xdr:rowOff>
    </xdr:to>
    <xdr:pic>
      <xdr:nvPicPr>
        <xdr:cNvPr id="21" name="Picture 20">
          <a:extLst>
            <a:ext uri="{FF2B5EF4-FFF2-40B4-BE49-F238E27FC236}">
              <a16:creationId xmlns:a16="http://schemas.microsoft.com/office/drawing/2014/main" id="{00000000-0008-0000-12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22922" y="5489665"/>
          <a:ext cx="611071" cy="507274"/>
        </a:xfrm>
        <a:prstGeom prst="rect">
          <a:avLst/>
        </a:prstGeom>
      </xdr:spPr>
    </xdr:pic>
    <xdr:clientData/>
  </xdr:twoCellAnchor>
  <xdr:twoCellAnchor>
    <xdr:from>
      <xdr:col>8</xdr:col>
      <xdr:colOff>674913</xdr:colOff>
      <xdr:row>8</xdr:row>
      <xdr:rowOff>97969</xdr:rowOff>
    </xdr:from>
    <xdr:to>
      <xdr:col>18</xdr:col>
      <xdr:colOff>80553</xdr:colOff>
      <xdr:row>11</xdr:row>
      <xdr:rowOff>259080</xdr:rowOff>
    </xdr:to>
    <xdr:graphicFrame macro="">
      <xdr:nvGraphicFramePr>
        <xdr:cNvPr id="30" name="Chart 29">
          <a:extLst>
            <a:ext uri="{FF2B5EF4-FFF2-40B4-BE49-F238E27FC236}">
              <a16:creationId xmlns:a16="http://schemas.microsoft.com/office/drawing/2014/main" id="{00000000-0008-0000-1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139065</xdr:colOff>
      <xdr:row>0</xdr:row>
      <xdr:rowOff>68580</xdr:rowOff>
    </xdr:from>
    <xdr:to>
      <xdr:col>6</xdr:col>
      <xdr:colOff>55245</xdr:colOff>
      <xdr:row>1</xdr:row>
      <xdr:rowOff>281940</xdr:rowOff>
    </xdr:to>
    <xdr:sp macro="[0]!SubmitDecisions" textlink="">
      <xdr:nvSpPr>
        <xdr:cNvPr id="16" name="Shape01">
          <a:extLst>
            <a:ext uri="{FF2B5EF4-FFF2-40B4-BE49-F238E27FC236}">
              <a16:creationId xmlns:a16="http://schemas.microsoft.com/office/drawing/2014/main" id="{00000000-0008-0000-1200-000010000000}"/>
            </a:ext>
          </a:extLst>
        </xdr:cNvPr>
        <xdr:cNvSpPr/>
      </xdr:nvSpPr>
      <xdr:spPr>
        <a:xfrm>
          <a:off x="2983865" y="68580"/>
          <a:ext cx="1198880" cy="289560"/>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Submit</a:t>
          </a:r>
        </a:p>
      </xdr:txBody>
    </xdr:sp>
    <xdr:clientData/>
  </xdr:twoCellAnchor>
  <xdr:twoCellAnchor>
    <xdr:from>
      <xdr:col>2</xdr:col>
      <xdr:colOff>1173480</xdr:colOff>
      <xdr:row>0</xdr:row>
      <xdr:rowOff>60960</xdr:rowOff>
    </xdr:from>
    <xdr:to>
      <xdr:col>2</xdr:col>
      <xdr:colOff>2400300</xdr:colOff>
      <xdr:row>1</xdr:row>
      <xdr:rowOff>274320</xdr:rowOff>
    </xdr:to>
    <xdr:sp macro="[0]!ResetDecisions" textlink="">
      <xdr:nvSpPr>
        <xdr:cNvPr id="17" name="Rounded Rectangle 16">
          <a:extLst>
            <a:ext uri="{FF2B5EF4-FFF2-40B4-BE49-F238E27FC236}">
              <a16:creationId xmlns:a16="http://schemas.microsoft.com/office/drawing/2014/main" id="{00000000-0008-0000-1200-000011000000}"/>
            </a:ext>
          </a:extLst>
        </xdr:cNvPr>
        <xdr:cNvSpPr/>
      </xdr:nvSpPr>
      <xdr:spPr>
        <a:xfrm>
          <a:off x="1478280" y="60960"/>
          <a:ext cx="1226820" cy="289560"/>
        </a:xfrm>
        <a:prstGeom prst="round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Reset</a:t>
          </a:r>
        </a:p>
      </xdr:txBody>
    </xdr:sp>
    <xdr:clientData/>
  </xdr:twoCellAnchor>
  <xdr:twoCellAnchor>
    <xdr:from>
      <xdr:col>8</xdr:col>
      <xdr:colOff>670560</xdr:colOff>
      <xdr:row>11</xdr:row>
      <xdr:rowOff>274321</xdr:rowOff>
    </xdr:from>
    <xdr:to>
      <xdr:col>18</xdr:col>
      <xdr:colOff>76200</xdr:colOff>
      <xdr:row>18</xdr:row>
      <xdr:rowOff>43543</xdr:rowOff>
    </xdr:to>
    <xdr:graphicFrame macro="">
      <xdr:nvGraphicFramePr>
        <xdr:cNvPr id="19" name="Chart 18">
          <a:extLst>
            <a:ext uri="{FF2B5EF4-FFF2-40B4-BE49-F238E27FC236}">
              <a16:creationId xmlns:a16="http://schemas.microsoft.com/office/drawing/2014/main" id="{00000000-0008-0000-1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121921</xdr:colOff>
      <xdr:row>1</xdr:row>
      <xdr:rowOff>320040</xdr:rowOff>
    </xdr:from>
    <xdr:to>
      <xdr:col>19</xdr:col>
      <xdr:colOff>969645</xdr:colOff>
      <xdr:row>5</xdr:row>
      <xdr:rowOff>0</xdr:rowOff>
    </xdr:to>
    <xdr:graphicFrame macro="">
      <xdr:nvGraphicFramePr>
        <xdr:cNvPr id="20" name="Chart 19">
          <a:extLst>
            <a:ext uri="{FF2B5EF4-FFF2-40B4-BE49-F238E27FC236}">
              <a16:creationId xmlns:a16="http://schemas.microsoft.com/office/drawing/2014/main" id="{00000000-0008-0000-1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91440</xdr:colOff>
      <xdr:row>8</xdr:row>
      <xdr:rowOff>76200</xdr:rowOff>
    </xdr:from>
    <xdr:to>
      <xdr:col>8</xdr:col>
      <xdr:colOff>141513</xdr:colOff>
      <xdr:row>18</xdr:row>
      <xdr:rowOff>69671</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236220" y="1965960"/>
          <a:ext cx="5185953" cy="2736671"/>
          <a:chOff x="236220" y="1965960"/>
          <a:chExt cx="5185953" cy="2736671"/>
        </a:xfrm>
      </xdr:grpSpPr>
      <xdr:graphicFrame macro="">
        <xdr:nvGraphicFramePr>
          <xdr:cNvPr id="34" name="Chart 33">
            <a:extLst>
              <a:ext uri="{FF2B5EF4-FFF2-40B4-BE49-F238E27FC236}">
                <a16:creationId xmlns:a16="http://schemas.microsoft.com/office/drawing/2014/main" id="{00000000-0008-0000-1200-000022000000}"/>
              </a:ext>
            </a:extLst>
          </xdr:cNvPr>
          <xdr:cNvGraphicFramePr>
            <a:graphicFrameLocks/>
          </xdr:cNvGraphicFramePr>
        </xdr:nvGraphicFramePr>
        <xdr:xfrm>
          <a:off x="300445" y="1965960"/>
          <a:ext cx="5121728" cy="2736671"/>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36220" y="4434840"/>
            <a:ext cx="143256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t>Integration Start  -&gt;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10162</xdr:colOff>
      <xdr:row>0</xdr:row>
      <xdr:rowOff>5715</xdr:rowOff>
    </xdr:from>
    <xdr:to>
      <xdr:col>2</xdr:col>
      <xdr:colOff>431800</xdr:colOff>
      <xdr:row>2</xdr:row>
      <xdr:rowOff>35105</xdr:rowOff>
    </xdr:to>
    <xdr:pic macro="[0]!ToolNavMenu">
      <xdr:nvPicPr>
        <xdr:cNvPr id="12" name="Shape 1362" descr="LOGOTRANS.png">
          <a:extLst>
            <a:ext uri="{FF2B5EF4-FFF2-40B4-BE49-F238E27FC236}">
              <a16:creationId xmlns:a16="http://schemas.microsoft.com/office/drawing/2014/main" id="{00000000-0008-0000-1300-00000C000000}"/>
            </a:ext>
          </a:extLst>
        </xdr:cNvPr>
        <xdr:cNvPicPr preferRelativeResize="0">
          <a:picLocks noChangeAspect="1"/>
        </xdr:cNvPicPr>
      </xdr:nvPicPr>
      <xdr:blipFill>
        <a:blip xmlns:r="http://schemas.openxmlformats.org/officeDocument/2006/relationships" r:embed="rId1">
          <a:alphaModFix/>
        </a:blip>
        <a:stretch>
          <a:fillRect/>
        </a:stretch>
      </xdr:blipFill>
      <xdr:spPr>
        <a:xfrm>
          <a:off x="10162" y="5715"/>
          <a:ext cx="701038" cy="575490"/>
        </a:xfrm>
        <a:prstGeom prst="rect">
          <a:avLst/>
        </a:prstGeom>
        <a:noFill/>
        <a:ln>
          <a:noFill/>
        </a:ln>
      </xdr:spPr>
    </xdr:pic>
    <xdr:clientData/>
  </xdr:twoCellAnchor>
  <xdr:twoCellAnchor>
    <xdr:from>
      <xdr:col>12</xdr:col>
      <xdr:colOff>139701</xdr:colOff>
      <xdr:row>1</xdr:row>
      <xdr:rowOff>21167</xdr:rowOff>
    </xdr:from>
    <xdr:to>
      <xdr:col>13</xdr:col>
      <xdr:colOff>76200</xdr:colOff>
      <xdr:row>1</xdr:row>
      <xdr:rowOff>419100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17932401" y="97367"/>
          <a:ext cx="1346199" cy="397933"/>
          <a:chOff x="9555480" y="3451860"/>
          <a:chExt cx="815340" cy="373380"/>
        </a:xfrm>
        <a:solidFill>
          <a:schemeClr val="accent2"/>
        </a:solidFill>
      </xdr:grpSpPr>
      <xdr:sp macro="[0]!ToolSave" textlink="">
        <xdr:nvSpPr>
          <xdr:cNvPr id="9" name="Rounded Rectangle 8">
            <a:extLst>
              <a:ext uri="{FF2B5EF4-FFF2-40B4-BE49-F238E27FC236}">
                <a16:creationId xmlns:a16="http://schemas.microsoft.com/office/drawing/2014/main" id="{00000000-0008-0000-1300-000009000000}"/>
              </a:ext>
            </a:extLst>
          </xdr:cNvPr>
          <xdr:cNvSpPr/>
        </xdr:nvSpPr>
        <xdr:spPr>
          <a:xfrm>
            <a:off x="9555480" y="3451860"/>
            <a:ext cx="815340" cy="37338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400"/>
              <a:t>Save</a:t>
            </a:r>
          </a:p>
        </xdr:txBody>
      </xdr:sp>
      <xdr:pic macro="[0]!ToolSave">
        <xdr:nvPicPr>
          <xdr:cNvPr id="10" name="Picture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8820" y="3507867"/>
            <a:ext cx="277545" cy="277545"/>
          </a:xfrm>
          <a:prstGeom prst="rect">
            <a:avLst/>
          </a:prstGeom>
          <a:grpFill/>
        </xdr:spPr>
      </xdr:pic>
    </xdr:grpSp>
    <xdr:clientData/>
  </xdr:twoCellAnchor>
  <xdr:twoCellAnchor>
    <xdr:from>
      <xdr:col>3</xdr:col>
      <xdr:colOff>109220</xdr:colOff>
      <xdr:row>15</xdr:row>
      <xdr:rowOff>762000</xdr:rowOff>
    </xdr:from>
    <xdr:to>
      <xdr:col>4</xdr:col>
      <xdr:colOff>2200486</xdr:colOff>
      <xdr:row>15</xdr:row>
      <xdr:rowOff>1388534</xdr:rowOff>
    </xdr:to>
    <xdr:sp macro="[0]!RunPopUpWobbler4" textlink="">
      <xdr:nvSpPr>
        <xdr:cNvPr id="15" name="xxPopUpWobbler4">
          <a:extLst>
            <a:ext uri="{FF2B5EF4-FFF2-40B4-BE49-F238E27FC236}">
              <a16:creationId xmlns:a16="http://schemas.microsoft.com/office/drawing/2014/main" id="{00000000-0008-0000-1300-00000F000000}"/>
            </a:ext>
          </a:extLst>
        </xdr:cNvPr>
        <xdr:cNvSpPr/>
      </xdr:nvSpPr>
      <xdr:spPr>
        <a:xfrm>
          <a:off x="3462020" y="10058400"/>
          <a:ext cx="2243666" cy="626534"/>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Run</a:t>
          </a:r>
          <a:endParaRPr lang="en-US" sz="1600" baseline="0"/>
        </a:p>
      </xdr:txBody>
    </xdr:sp>
    <xdr:clientData/>
  </xdr:twoCellAnchor>
  <xdr:twoCellAnchor>
    <xdr:from>
      <xdr:col>3</xdr:col>
      <xdr:colOff>109220</xdr:colOff>
      <xdr:row>19</xdr:row>
      <xdr:rowOff>899160</xdr:rowOff>
    </xdr:from>
    <xdr:to>
      <xdr:col>4</xdr:col>
      <xdr:colOff>2200486</xdr:colOff>
      <xdr:row>19</xdr:row>
      <xdr:rowOff>1525694</xdr:rowOff>
    </xdr:to>
    <xdr:sp macro="[0]!RunPopUpWobbler6" textlink="">
      <xdr:nvSpPr>
        <xdr:cNvPr id="17" name="xxPopUpWobbler6">
          <a:extLst>
            <a:ext uri="{FF2B5EF4-FFF2-40B4-BE49-F238E27FC236}">
              <a16:creationId xmlns:a16="http://schemas.microsoft.com/office/drawing/2014/main" id="{00000000-0008-0000-1300-000011000000}"/>
            </a:ext>
          </a:extLst>
        </xdr:cNvPr>
        <xdr:cNvSpPr/>
      </xdr:nvSpPr>
      <xdr:spPr>
        <a:xfrm>
          <a:off x="3462020" y="14767560"/>
          <a:ext cx="2243666" cy="626534"/>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Run</a:t>
          </a:r>
          <a:endParaRPr lang="en-US" sz="1600" baseline="0"/>
        </a:p>
      </xdr:txBody>
    </xdr:sp>
    <xdr:clientData/>
  </xdr:twoCellAnchor>
  <xdr:twoCellAnchor>
    <xdr:from>
      <xdr:col>2</xdr:col>
      <xdr:colOff>556260</xdr:colOff>
      <xdr:row>1</xdr:row>
      <xdr:rowOff>83820</xdr:rowOff>
    </xdr:from>
    <xdr:to>
      <xdr:col>2</xdr:col>
      <xdr:colOff>1059180</xdr:colOff>
      <xdr:row>1</xdr:row>
      <xdr:rowOff>327660</xdr:rowOff>
    </xdr:to>
    <xdr:sp macro="" textlink="">
      <xdr:nvSpPr>
        <xdr:cNvPr id="2" name="Right Arrow 1">
          <a:extLst>
            <a:ext uri="{FF2B5EF4-FFF2-40B4-BE49-F238E27FC236}">
              <a16:creationId xmlns:a16="http://schemas.microsoft.com/office/drawing/2014/main" id="{00000000-0008-0000-1300-000002000000}"/>
            </a:ext>
          </a:extLst>
        </xdr:cNvPr>
        <xdr:cNvSpPr/>
      </xdr:nvSpPr>
      <xdr:spPr>
        <a:xfrm rot="10800000">
          <a:off x="845820" y="160020"/>
          <a:ext cx="502920" cy="24384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1135380</xdr:colOff>
      <xdr:row>0</xdr:row>
      <xdr:rowOff>60960</xdr:rowOff>
    </xdr:from>
    <xdr:to>
      <xdr:col>2</xdr:col>
      <xdr:colOff>2865120</xdr:colOff>
      <xdr:row>1</xdr:row>
      <xdr:rowOff>434340</xdr:rowOff>
    </xdr:to>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1424940" y="60960"/>
          <a:ext cx="1729740" cy="449580"/>
        </a:xfrm>
        <a:prstGeom prst="rect">
          <a:avLst/>
        </a:prstGeom>
        <a:solidFill>
          <a:schemeClr val="accent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latin typeface="Verdana" panose="020B0604030504040204" pitchFamily="34" charset="0"/>
              <a:ea typeface="Verdana" panose="020B0604030504040204" pitchFamily="34" charset="0"/>
              <a:cs typeface="Verdana" panose="020B0604030504040204" pitchFamily="34" charset="0"/>
            </a:rPr>
            <a:t>Click Cloud</a:t>
          </a:r>
          <a:r>
            <a:rPr lang="en-US" sz="1100" baseline="0">
              <a:solidFill>
                <a:schemeClr val="bg1"/>
              </a:solidFill>
              <a:latin typeface="Verdana" panose="020B0604030504040204" pitchFamily="34" charset="0"/>
              <a:ea typeface="Verdana" panose="020B0604030504040204" pitchFamily="34" charset="0"/>
              <a:cs typeface="Verdana" panose="020B0604030504040204" pitchFamily="34" charset="0"/>
            </a:rPr>
            <a:t> to Return to Integraton Plan</a:t>
          </a:r>
          <a:endParaRPr lang="en-US" sz="1100">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8</xdr:col>
      <xdr:colOff>584199</xdr:colOff>
      <xdr:row>2</xdr:row>
      <xdr:rowOff>25400</xdr:rowOff>
    </xdr:from>
    <xdr:to>
      <xdr:col>13</xdr:col>
      <xdr:colOff>362584</xdr:colOff>
      <xdr:row>5</xdr:row>
      <xdr:rowOff>182880</xdr:rowOff>
    </xdr:to>
    <xdr:graphicFrame macro="">
      <xdr:nvGraphicFramePr>
        <xdr:cNvPr id="21" name="Chart 20">
          <a:extLst>
            <a:ext uri="{FF2B5EF4-FFF2-40B4-BE49-F238E27FC236}">
              <a16:creationId xmlns:a16="http://schemas.microsoft.com/office/drawing/2014/main" id="{00000000-0008-0000-1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518160</xdr:colOff>
      <xdr:row>11</xdr:row>
      <xdr:rowOff>1600200</xdr:rowOff>
    </xdr:from>
    <xdr:to>
      <xdr:col>4</xdr:col>
      <xdr:colOff>2761826</xdr:colOff>
      <xdr:row>11</xdr:row>
      <xdr:rowOff>2226734</xdr:rowOff>
    </xdr:to>
    <xdr:sp macro="[0]!RunPopUpWobbler2" textlink="">
      <xdr:nvSpPr>
        <xdr:cNvPr id="20" name="xxPopUpWobbler2">
          <a:extLst>
            <a:ext uri="{FF2B5EF4-FFF2-40B4-BE49-F238E27FC236}">
              <a16:creationId xmlns:a16="http://schemas.microsoft.com/office/drawing/2014/main" id="{00000000-0008-0000-1300-000014000000}"/>
            </a:ext>
          </a:extLst>
        </xdr:cNvPr>
        <xdr:cNvSpPr/>
      </xdr:nvSpPr>
      <xdr:spPr>
        <a:xfrm>
          <a:off x="4053840" y="9692640"/>
          <a:ext cx="2243666" cy="626534"/>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Run</a:t>
          </a:r>
          <a:endParaRPr lang="en-US" sz="1600" baseline="0"/>
        </a:p>
      </xdr:txBody>
    </xdr:sp>
    <xdr:clientData/>
  </xdr:twoCellAnchor>
  <xdr:twoCellAnchor>
    <xdr:from>
      <xdr:col>4</xdr:col>
      <xdr:colOff>185057</xdr:colOff>
      <xdr:row>17</xdr:row>
      <xdr:rowOff>2100943</xdr:rowOff>
    </xdr:from>
    <xdr:to>
      <xdr:col>4</xdr:col>
      <xdr:colOff>2417837</xdr:colOff>
      <xdr:row>17</xdr:row>
      <xdr:rowOff>2727477</xdr:rowOff>
    </xdr:to>
    <xdr:sp macro="[0]!RunPopUpWobbler5" textlink="">
      <xdr:nvSpPr>
        <xdr:cNvPr id="23" name="xxPopUpWobbler5">
          <a:extLst>
            <a:ext uri="{FF2B5EF4-FFF2-40B4-BE49-F238E27FC236}">
              <a16:creationId xmlns:a16="http://schemas.microsoft.com/office/drawing/2014/main" id="{00000000-0008-0000-1300-000017000000}"/>
            </a:ext>
          </a:extLst>
        </xdr:cNvPr>
        <xdr:cNvSpPr/>
      </xdr:nvSpPr>
      <xdr:spPr>
        <a:xfrm>
          <a:off x="3679371" y="25875343"/>
          <a:ext cx="2232780" cy="626534"/>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Run</a:t>
          </a:r>
          <a:endParaRPr lang="en-US" sz="1600" baseline="0"/>
        </a:p>
      </xdr:txBody>
    </xdr:sp>
    <xdr:clientData/>
  </xdr:twoCellAnchor>
  <xdr:twoCellAnchor>
    <xdr:from>
      <xdr:col>4</xdr:col>
      <xdr:colOff>870857</xdr:colOff>
      <xdr:row>23</xdr:row>
      <xdr:rowOff>2100943</xdr:rowOff>
    </xdr:from>
    <xdr:to>
      <xdr:col>4</xdr:col>
      <xdr:colOff>3103637</xdr:colOff>
      <xdr:row>23</xdr:row>
      <xdr:rowOff>2727477</xdr:rowOff>
    </xdr:to>
    <xdr:sp macro="[0]!RunPopUpWobbler8" textlink="">
      <xdr:nvSpPr>
        <xdr:cNvPr id="24" name="xxPopUpWobbler8">
          <a:extLst>
            <a:ext uri="{FF2B5EF4-FFF2-40B4-BE49-F238E27FC236}">
              <a16:creationId xmlns:a16="http://schemas.microsoft.com/office/drawing/2014/main" id="{00000000-0008-0000-1300-000018000000}"/>
            </a:ext>
          </a:extLst>
        </xdr:cNvPr>
        <xdr:cNvSpPr/>
      </xdr:nvSpPr>
      <xdr:spPr>
        <a:xfrm>
          <a:off x="4365171" y="41550772"/>
          <a:ext cx="2232780" cy="626534"/>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Run</a:t>
          </a:r>
          <a:endParaRPr lang="en-US" sz="1600" baseline="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3</xdr:col>
      <xdr:colOff>97631</xdr:colOff>
      <xdr:row>6</xdr:row>
      <xdr:rowOff>28574</xdr:rowOff>
    </xdr:to>
    <xdr:sp macro="" textlink="">
      <xdr:nvSpPr>
        <xdr:cNvPr id="2" name="Shape01">
          <a:extLst>
            <a:ext uri="{FF2B5EF4-FFF2-40B4-BE49-F238E27FC236}">
              <a16:creationId xmlns:a16="http://schemas.microsoft.com/office/drawing/2014/main" id="{00000000-0008-0000-1500-000002000000}"/>
            </a:ext>
          </a:extLst>
        </xdr:cNvPr>
        <xdr:cNvSpPr/>
      </xdr:nvSpPr>
      <xdr:spPr>
        <a:xfrm>
          <a:off x="792480" y="876300"/>
          <a:ext cx="1804511" cy="379094"/>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a:latin typeface="Verdana" panose="020B0604030504040204" pitchFamily="34" charset="0"/>
              <a:ea typeface="Verdana" panose="020B0604030504040204" pitchFamily="34" charset="0"/>
              <a:cs typeface="Verdana" panose="020B0604030504040204" pitchFamily="34" charset="0"/>
            </a:rPr>
            <a:t>MODULE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4</xdr:row>
      <xdr:rowOff>0</xdr:rowOff>
    </xdr:from>
    <xdr:to>
      <xdr:col>3</xdr:col>
      <xdr:colOff>97631</xdr:colOff>
      <xdr:row>6</xdr:row>
      <xdr:rowOff>28574</xdr:rowOff>
    </xdr:to>
    <xdr:sp macro="" textlink="">
      <xdr:nvSpPr>
        <xdr:cNvPr id="2" name="Shape01">
          <a:extLst>
            <a:ext uri="{FF2B5EF4-FFF2-40B4-BE49-F238E27FC236}">
              <a16:creationId xmlns:a16="http://schemas.microsoft.com/office/drawing/2014/main" id="{00000000-0008-0000-1600-000002000000}"/>
            </a:ext>
          </a:extLst>
        </xdr:cNvPr>
        <xdr:cNvSpPr/>
      </xdr:nvSpPr>
      <xdr:spPr>
        <a:xfrm>
          <a:off x="792480" y="876300"/>
          <a:ext cx="1804511" cy="379094"/>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a:latin typeface="Verdana" panose="020B0604030504040204" pitchFamily="34" charset="0"/>
              <a:ea typeface="Verdana" panose="020B0604030504040204" pitchFamily="34" charset="0"/>
              <a:cs typeface="Verdana" panose="020B0604030504040204" pitchFamily="34" charset="0"/>
            </a:rPr>
            <a:t>MODULE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180975</xdr:colOff>
      <xdr:row>29</xdr:row>
      <xdr:rowOff>238126</xdr:rowOff>
    </xdr:from>
    <xdr:to>
      <xdr:col>5</xdr:col>
      <xdr:colOff>552450</xdr:colOff>
      <xdr:row>31</xdr:row>
      <xdr:rowOff>19050</xdr:rowOff>
    </xdr:to>
    <xdr:sp macro="[0]!SimpleCSVCalibrate" textlink="">
      <xdr:nvSpPr>
        <xdr:cNvPr id="2" name="Rectangle 1">
          <a:extLst>
            <a:ext uri="{FF2B5EF4-FFF2-40B4-BE49-F238E27FC236}">
              <a16:creationId xmlns:a16="http://schemas.microsoft.com/office/drawing/2014/main" id="{00000000-0008-0000-1700-000002000000}"/>
            </a:ext>
          </a:extLst>
        </xdr:cNvPr>
        <xdr:cNvSpPr/>
      </xdr:nvSpPr>
      <xdr:spPr>
        <a:xfrm>
          <a:off x="4981575" y="6684646"/>
          <a:ext cx="1864995" cy="283844"/>
        </a:xfrm>
        <a:prstGeom prst="rect">
          <a:avLst/>
        </a:prstGeom>
        <a:solidFill>
          <a:schemeClr val="bg1">
            <a:lumMod val="65000"/>
          </a:schemeClr>
        </a:solidFill>
        <a:ln>
          <a:no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100">
              <a:solidFill>
                <a:srgbClr val="F8F8F8"/>
              </a:solidFill>
            </a:rPr>
            <a:t>Calibrate Tool</a:t>
          </a:r>
        </a:p>
      </xdr:txBody>
    </xdr:sp>
    <xdr:clientData/>
  </xdr:twoCellAnchor>
  <xdr:twoCellAnchor>
    <xdr:from>
      <xdr:col>4</xdr:col>
      <xdr:colOff>161925</xdr:colOff>
      <xdr:row>27</xdr:row>
      <xdr:rowOff>180975</xdr:rowOff>
    </xdr:from>
    <xdr:to>
      <xdr:col>5</xdr:col>
      <xdr:colOff>533400</xdr:colOff>
      <xdr:row>28</xdr:row>
      <xdr:rowOff>209549</xdr:rowOff>
    </xdr:to>
    <xdr:sp macro="[0]!SimpleCSVReset" textlink="">
      <xdr:nvSpPr>
        <xdr:cNvPr id="3" name="Rectangle 2">
          <a:extLst>
            <a:ext uri="{FF2B5EF4-FFF2-40B4-BE49-F238E27FC236}">
              <a16:creationId xmlns:a16="http://schemas.microsoft.com/office/drawing/2014/main" id="{00000000-0008-0000-1700-000003000000}"/>
            </a:ext>
          </a:extLst>
        </xdr:cNvPr>
        <xdr:cNvSpPr/>
      </xdr:nvSpPr>
      <xdr:spPr>
        <a:xfrm>
          <a:off x="4962525" y="6124575"/>
          <a:ext cx="1864995" cy="280034"/>
        </a:xfrm>
        <a:prstGeom prst="rect">
          <a:avLst/>
        </a:prstGeom>
        <a:solidFill>
          <a:schemeClr val="bg1">
            <a:lumMod val="65000"/>
          </a:schemeClr>
        </a:solidFill>
        <a:ln>
          <a:no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en-US" sz="1100">
              <a:solidFill>
                <a:srgbClr val="F8F8F8"/>
              </a:solidFill>
            </a:rPr>
            <a:t>Clear</a:t>
          </a:r>
          <a:r>
            <a:rPr lang="en-US" sz="1100" baseline="0">
              <a:solidFill>
                <a:srgbClr val="F8F8F8"/>
              </a:solidFill>
            </a:rPr>
            <a:t> Imported Data</a:t>
          </a:r>
          <a:endParaRPr lang="en-US" sz="1100">
            <a:solidFill>
              <a:srgbClr val="F8F8F8"/>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464820</xdr:colOff>
      <xdr:row>5</xdr:row>
      <xdr:rowOff>137160</xdr:rowOff>
    </xdr:from>
    <xdr:to>
      <xdr:col>13</xdr:col>
      <xdr:colOff>647700</xdr:colOff>
      <xdr:row>21</xdr:row>
      <xdr:rowOff>76200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144780</xdr:colOff>
      <xdr:row>16</xdr:row>
      <xdr:rowOff>160020</xdr:rowOff>
    </xdr:from>
    <xdr:to>
      <xdr:col>6</xdr:col>
      <xdr:colOff>449580</xdr:colOff>
      <xdr:row>32</xdr:row>
      <xdr:rowOff>99060</xdr:rowOff>
    </xdr:to>
    <xdr:graphicFrame macro="">
      <xdr:nvGraphicFramePr>
        <xdr:cNvPr id="3" name="Chart 2">
          <a:extLst>
            <a:ext uri="{FF2B5EF4-FFF2-40B4-BE49-F238E27FC236}">
              <a16:creationId xmlns:a16="http://schemas.microsoft.com/office/drawing/2014/main" id="{00000000-0008-0000-2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708660</xdr:colOff>
          <xdr:row>16</xdr:row>
          <xdr:rowOff>0</xdr:rowOff>
        </xdr:from>
        <xdr:to>
          <xdr:col>3</xdr:col>
          <xdr:colOff>1249680</xdr:colOff>
          <xdr:row>17</xdr:row>
          <xdr:rowOff>99060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500-000001B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100" b="1" i="0" u="none" strike="noStrike" baseline="0">
                  <a:solidFill>
                    <a:srgbClr val="000000"/>
                  </a:solidFill>
                  <a:latin typeface="Verdana"/>
                  <a:ea typeface="Verdana"/>
                  <a:cs typeface="Verdana"/>
                </a:rPr>
                <a:t>Size for Number of Teams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am.aranyos/AppData/Local/Microsoft/Windows/Temporary%20Internet%20Files/Content.Outlook/CG84XY5I/TransUnionCSVConver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amp; Instructions"/>
      <sheetName val="CSV"/>
      <sheetName val="R1Data"/>
      <sheetName val="R2Data"/>
      <sheetName val="OtherData"/>
      <sheetName val="Feedback"/>
      <sheetName val="League"/>
      <sheetName val="Moments"/>
      <sheetName val="Initiatives"/>
      <sheetName val="fb1Moment1Dist"/>
      <sheetName val="fb1Moment2Dist"/>
      <sheetName val="fb1Moment3Dist"/>
      <sheetName val="fb1Moment4Dist"/>
      <sheetName val="fb1InitDist"/>
      <sheetName val="fb1NewProdRev"/>
      <sheetName val="fb1EBITDA"/>
      <sheetName val="fb1AvgTTM"/>
      <sheetName val="fb1LearningOrg"/>
      <sheetName val="fb2Moment1Dist"/>
      <sheetName val="fb2Moment2Dist"/>
      <sheetName val="fb2Moment3Dist"/>
      <sheetName val="fb2Moment4Dist"/>
      <sheetName val="fb2InitDist"/>
      <sheetName val="fb2NewProdRev"/>
      <sheetName val="fb2EBITDA"/>
      <sheetName val="fb2AvgTTM"/>
      <sheetName val="fb2LearningOrg"/>
    </sheetNames>
    <sheetDataSet>
      <sheetData sheetId="0">
        <row r="24">
          <cell r="C24">
            <v>3</v>
          </cell>
        </row>
      </sheetData>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Salesforce">
  <a:themeElements>
    <a:clrScheme name="Salesforce2015">
      <a:dk1>
        <a:sysClr val="windowText" lastClr="000000"/>
      </a:dk1>
      <a:lt1>
        <a:sysClr val="window" lastClr="FFFFFF"/>
      </a:lt1>
      <a:dk2>
        <a:srgbClr val="002269"/>
      </a:dk2>
      <a:lt2>
        <a:srgbClr val="EEECE1"/>
      </a:lt2>
      <a:accent1>
        <a:srgbClr val="00A1E0"/>
      </a:accent1>
      <a:accent2>
        <a:srgbClr val="7C868D"/>
      </a:accent2>
      <a:accent3>
        <a:srgbClr val="5C068C"/>
      </a:accent3>
      <a:accent4>
        <a:srgbClr val="E98300"/>
      </a:accent4>
      <a:accent5>
        <a:srgbClr val="008675"/>
      </a:accent5>
      <a:accent6>
        <a:srgbClr val="62B5E5"/>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38100">
          <a:solidFill>
            <a:schemeClr val="tx2"/>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mailto:ModuleFactory@bts.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ModuleFactory@bt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Adam.Aranyos@bts.com"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hyperlink" Target="mailto:ModuleFactory@bts.com"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8.bin"/><Relationship Id="rId1" Type="http://schemas.openxmlformats.org/officeDocument/2006/relationships/hyperlink" Target="mailto:ModuleFactory@bts.com" TargetMode="External"/></Relationships>
</file>

<file path=xl/worksheets/_rels/sheet2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ModuleFactory@bts.com"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3" Type="http://schemas.openxmlformats.org/officeDocument/2006/relationships/hyperlink" Target="mailto:calcFullStackExpY@" TargetMode="External"/><Relationship Id="rId7" Type="http://schemas.openxmlformats.org/officeDocument/2006/relationships/printerSettings" Target="../printerSettings/printerSettings24.bin"/><Relationship Id="rId2" Type="http://schemas.openxmlformats.org/officeDocument/2006/relationships/hyperlink" Target="mailto:calcFullOrg62ExpY@" TargetMode="External"/><Relationship Id="rId1" Type="http://schemas.openxmlformats.org/officeDocument/2006/relationships/hyperlink" Target="mailto:calcRealEsateCostY@" TargetMode="External"/><Relationship Id="rId6" Type="http://schemas.openxmlformats.org/officeDocument/2006/relationships/hyperlink" Target="mailto:calcFullStackExpY@" TargetMode="External"/><Relationship Id="rId5" Type="http://schemas.openxmlformats.org/officeDocument/2006/relationships/hyperlink" Target="mailto:calcFullStackExpY@" TargetMode="External"/><Relationship Id="rId4" Type="http://schemas.openxmlformats.org/officeDocument/2006/relationships/hyperlink" Target="mailto:calcFullStackExpY@" TargetMode="Externa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E3"/>
  <sheetViews>
    <sheetView workbookViewId="0"/>
  </sheetViews>
  <sheetFormatPr defaultRowHeight="13.8"/>
  <cols>
    <col min="4" max="4" width="8.81640625" customWidth="1"/>
  </cols>
  <sheetData>
    <row r="1" spans="1:5" s="18" customFormat="1">
      <c r="A1" s="18" t="s">
        <v>264</v>
      </c>
      <c r="E1" s="18" t="s">
        <v>3077</v>
      </c>
    </row>
    <row r="3" spans="1:5">
      <c r="A3" s="808">
        <v>6</v>
      </c>
      <c r="B3" t="s">
        <v>3137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A3"/>
  <sheetViews>
    <sheetView workbookViewId="0"/>
  </sheetViews>
  <sheetFormatPr defaultRowHeight="13.8"/>
  <cols>
    <col min="4" max="4" width="8.81640625" customWidth="1"/>
  </cols>
  <sheetData>
    <row r="1" spans="1:1" s="18" customFormat="1">
      <c r="A1" s="18" t="s">
        <v>394</v>
      </c>
    </row>
    <row r="3" spans="1:1" s="18" customFormat="1">
      <c r="A3" s="18" t="s">
        <v>395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H50"/>
  <sheetViews>
    <sheetView workbookViewId="0"/>
  </sheetViews>
  <sheetFormatPr defaultRowHeight="13.8"/>
  <cols>
    <col min="1" max="3" width="4.7265625" customWidth="1"/>
    <col min="4" max="4" width="18.7265625" customWidth="1"/>
  </cols>
  <sheetData>
    <row r="1" spans="1:8" s="18" customFormat="1">
      <c r="A1" s="18" t="s">
        <v>245</v>
      </c>
    </row>
    <row r="3" spans="1:8" s="83" customFormat="1">
      <c r="A3" s="83" t="s">
        <v>306</v>
      </c>
    </row>
    <row r="5" spans="1:8">
      <c r="D5" s="1" t="s">
        <v>645</v>
      </c>
      <c r="E5" t="s">
        <v>0</v>
      </c>
      <c r="H5" t="s">
        <v>1</v>
      </c>
    </row>
    <row r="7" spans="1:8">
      <c r="D7" s="1" t="s">
        <v>646</v>
      </c>
      <c r="E7" t="s">
        <v>208</v>
      </c>
      <c r="H7" t="s">
        <v>261</v>
      </c>
    </row>
    <row r="9" spans="1:8" s="83" customFormat="1">
      <c r="A9" s="83" t="s">
        <v>307</v>
      </c>
    </row>
    <row r="11" spans="1:8">
      <c r="D11" s="17">
        <v>1</v>
      </c>
      <c r="E11" t="s">
        <v>196</v>
      </c>
    </row>
    <row r="13" spans="1:8">
      <c r="D13" s="17">
        <f>FacTeamCount</f>
        <v>6</v>
      </c>
      <c r="E13" t="s">
        <v>275</v>
      </c>
      <c r="H13" t="s">
        <v>274</v>
      </c>
    </row>
    <row r="15" spans="1:8" s="83" customFormat="1">
      <c r="A15" s="83" t="s">
        <v>305</v>
      </c>
    </row>
    <row r="17" spans="1:8">
      <c r="D17" s="71">
        <v>0</v>
      </c>
      <c r="E17" t="s">
        <v>47</v>
      </c>
    </row>
    <row r="19" spans="1:8">
      <c r="D19" s="71">
        <v>1</v>
      </c>
      <c r="E19" t="s">
        <v>153</v>
      </c>
    </row>
    <row r="21" spans="1:8">
      <c r="D21" s="71">
        <v>1</v>
      </c>
      <c r="E21" t="s">
        <v>154</v>
      </c>
    </row>
    <row r="23" spans="1:8" s="83" customFormat="1">
      <c r="A23" s="83" t="s">
        <v>304</v>
      </c>
    </row>
    <row r="25" spans="1:8">
      <c r="D25" s="1" t="s">
        <v>212</v>
      </c>
      <c r="E25" t="s">
        <v>213</v>
      </c>
      <c r="H25" t="s">
        <v>214</v>
      </c>
    </row>
    <row r="26" spans="1:8">
      <c r="H26" t="s">
        <v>215</v>
      </c>
    </row>
    <row r="27" spans="1:8">
      <c r="D27" s="1" t="s">
        <v>2</v>
      </c>
      <c r="E27" t="s">
        <v>303</v>
      </c>
    </row>
    <row r="29" spans="1:8">
      <c r="D29" s="1" t="s">
        <v>151</v>
      </c>
      <c r="E29" t="s">
        <v>149</v>
      </c>
      <c r="H29" t="s">
        <v>247</v>
      </c>
    </row>
    <row r="31" spans="1:8">
      <c r="D31" s="1" t="s">
        <v>204</v>
      </c>
      <c r="E31" t="s">
        <v>205</v>
      </c>
    </row>
    <row r="33" spans="1:8">
      <c r="D33" s="1" t="s">
        <v>206</v>
      </c>
      <c r="E33" t="s">
        <v>207</v>
      </c>
    </row>
    <row r="35" spans="1:8" s="83" customFormat="1">
      <c r="A35" s="83" t="s">
        <v>308</v>
      </c>
    </row>
    <row r="37" spans="1:8">
      <c r="D37" s="19" t="str">
        <f>tlInputTeamName</f>
        <v>Snowflake</v>
      </c>
      <c r="E37" t="s">
        <v>48</v>
      </c>
      <c r="H37" t="s">
        <v>94</v>
      </c>
    </row>
    <row r="39" spans="1:8">
      <c r="D39" s="19">
        <f>tlInputTeamNumber</f>
        <v>1</v>
      </c>
      <c r="E39" t="s">
        <v>93</v>
      </c>
      <c r="H39" t="s">
        <v>95</v>
      </c>
    </row>
    <row r="41" spans="1:8">
      <c r="D41" s="19">
        <f>xxRound</f>
        <v>0</v>
      </c>
      <c r="E41" t="s">
        <v>96</v>
      </c>
      <c r="H41" t="s">
        <v>97</v>
      </c>
    </row>
    <row r="43" spans="1:8">
      <c r="D43" s="19" t="str">
        <f>xxToolPrefix</f>
        <v>tl</v>
      </c>
      <c r="E43" t="s">
        <v>271</v>
      </c>
      <c r="H43" t="s">
        <v>3</v>
      </c>
    </row>
    <row r="44" spans="1:8">
      <c r="H44" t="s">
        <v>4</v>
      </c>
    </row>
    <row r="45" spans="1:8">
      <c r="H45" t="s">
        <v>309</v>
      </c>
    </row>
    <row r="47" spans="1:8">
      <c r="D47" s="19" t="str">
        <f>xxToolPrefix</f>
        <v>tl</v>
      </c>
      <c r="E47" t="s">
        <v>150</v>
      </c>
      <c r="H47" t="s">
        <v>246</v>
      </c>
    </row>
    <row r="48" spans="1:8">
      <c r="H48" t="s">
        <v>309</v>
      </c>
    </row>
    <row r="50" spans="4:5">
      <c r="D50" s="575"/>
      <c r="E50" t="s">
        <v>1937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L56"/>
  <sheetViews>
    <sheetView workbookViewId="0"/>
  </sheetViews>
  <sheetFormatPr defaultColWidth="8.81640625" defaultRowHeight="15.6"/>
  <cols>
    <col min="1" max="1" width="8.81640625" style="119"/>
    <col min="2" max="2" width="2.453125" style="119" customWidth="1"/>
    <col min="3" max="3" width="2.6328125" style="119" customWidth="1"/>
    <col min="4" max="5" width="11" style="119" customWidth="1"/>
    <col min="6" max="6" width="22.6328125" style="119" bestFit="1" customWidth="1"/>
    <col min="7" max="7" width="21.453125" style="119" customWidth="1"/>
    <col min="8" max="10" width="11" style="119" customWidth="1"/>
    <col min="11" max="11" width="16.90625" style="119" customWidth="1"/>
    <col min="12" max="12" width="18.6328125" style="119" bestFit="1" customWidth="1"/>
    <col min="13" max="13" width="8.81640625" style="119"/>
    <col min="14" max="14" width="7.26953125" style="119" bestFit="1" customWidth="1"/>
    <col min="15" max="15" width="13.08984375" style="119" customWidth="1"/>
    <col min="16" max="16" width="19.6328125" style="119" bestFit="1" customWidth="1"/>
    <col min="17" max="17" width="19" style="119" bestFit="1" customWidth="1"/>
    <col min="18" max="16384" width="8.81640625" style="119"/>
  </cols>
  <sheetData>
    <row r="1" spans="1:12" s="117" customFormat="1" ht="21">
      <c r="A1" s="116" t="s">
        <v>310</v>
      </c>
      <c r="L1" s="118" t="s">
        <v>311</v>
      </c>
    </row>
    <row r="2" spans="1:12" ht="16.2" thickBot="1"/>
    <row r="3" spans="1:12">
      <c r="B3" s="119" t="s">
        <v>312</v>
      </c>
      <c r="E3" s="120" t="s">
        <v>313</v>
      </c>
      <c r="F3" s="136" t="s">
        <v>314</v>
      </c>
    </row>
    <row r="4" spans="1:12" ht="16.2" thickBot="1">
      <c r="B4" s="119" t="s">
        <v>49</v>
      </c>
      <c r="E4" s="121" t="b">
        <v>1</v>
      </c>
      <c r="F4" s="136" t="s">
        <v>315</v>
      </c>
    </row>
    <row r="7" spans="1:12" s="117" customFormat="1" ht="21">
      <c r="A7" s="116" t="s">
        <v>316</v>
      </c>
    </row>
    <row r="8" spans="1:12" ht="16.2" thickBot="1"/>
    <row r="9" spans="1:12">
      <c r="B9" s="119" t="s">
        <v>56</v>
      </c>
      <c r="E9" s="122" t="s">
        <v>57</v>
      </c>
      <c r="F9" s="123" t="s">
        <v>58</v>
      </c>
      <c r="G9" s="123" t="s">
        <v>88</v>
      </c>
      <c r="H9" s="123" t="s">
        <v>89</v>
      </c>
      <c r="I9" s="123" t="s">
        <v>90</v>
      </c>
      <c r="J9" s="123" t="s">
        <v>317</v>
      </c>
      <c r="K9" s="123" t="s">
        <v>59</v>
      </c>
      <c r="L9" s="124" t="s">
        <v>60</v>
      </c>
    </row>
    <row r="10" spans="1:12">
      <c r="E10" s="125">
        <v>1</v>
      </c>
      <c r="F10" s="126" t="s">
        <v>266</v>
      </c>
      <c r="G10" s="127"/>
      <c r="H10" s="126"/>
      <c r="I10" s="126"/>
      <c r="J10" s="126"/>
      <c r="K10" s="128" t="str">
        <f t="shared" ref="K10:K25" si="0">IF(E10=1,IF(G10="","",cnstSingleQuote&amp;G10&amp;cnstSingleQuote),cnstSingleQuote&amp;G10&amp;IF(ISBLANK(H10),"",cnstDoubleQuote&amp;H10&amp;cnstDoubleQuote)&amp;IF(ISBLANK(I10),"",cnstComma&amp;cnstDoubleQuote&amp;I10&amp;cnstDoubleQuote)&amp;IF(ISBLANK(J10),"",cnstComma&amp;cnstDoubleQuote&amp;J10&amp;cnstDoubleQuote)&amp;cnstSingleQuote)</f>
        <v/>
      </c>
      <c r="L10" s="129"/>
    </row>
    <row r="11" spans="1:12">
      <c r="E11" s="125">
        <v>2</v>
      </c>
      <c r="F11" s="126" t="s">
        <v>3138</v>
      </c>
      <c r="G11" s="127" t="s">
        <v>61</v>
      </c>
      <c r="H11" s="126"/>
      <c r="I11" s="126"/>
      <c r="J11" s="126"/>
      <c r="K11" s="128" t="str">
        <f t="shared" si="0"/>
        <v>'SimReset'</v>
      </c>
      <c r="L11" s="129"/>
    </row>
    <row r="12" spans="1:12">
      <c r="E12" s="125">
        <v>2</v>
      </c>
      <c r="F12" s="126" t="s">
        <v>269</v>
      </c>
      <c r="G12" s="127" t="s">
        <v>265</v>
      </c>
      <c r="H12" s="126">
        <f>xxNumOfTeams</f>
        <v>6</v>
      </c>
      <c r="I12" s="126"/>
      <c r="J12" s="126"/>
      <c r="K12" s="128" t="str">
        <f t="shared" si="0"/>
        <v>'SimCreateTools"6"'</v>
      </c>
      <c r="L12" s="129"/>
    </row>
    <row r="13" spans="1:12">
      <c r="E13" s="125">
        <v>2</v>
      </c>
      <c r="F13" s="126" t="s">
        <v>268</v>
      </c>
      <c r="G13" s="127" t="s">
        <v>276</v>
      </c>
      <c r="H13" s="126">
        <f>tlInputTeamNumber</f>
        <v>1</v>
      </c>
      <c r="I13" s="126">
        <f>xxRound</f>
        <v>0</v>
      </c>
      <c r="J13" s="126"/>
      <c r="K13" s="128" t="str">
        <f t="shared" si="0"/>
        <v>'DecExportDecisions"1","0"'</v>
      </c>
      <c r="L13" s="129"/>
    </row>
    <row r="14" spans="1:12">
      <c r="E14" s="125">
        <v>2</v>
      </c>
      <c r="F14" s="126" t="s">
        <v>3661</v>
      </c>
      <c r="G14" s="127" t="s">
        <v>3662</v>
      </c>
      <c r="H14" s="126"/>
      <c r="I14" s="126"/>
      <c r="J14" s="126"/>
      <c r="K14" s="128" t="str">
        <f t="shared" ref="K14" si="1">IF(E14=1,IF(G14="","",cnstSingleQuote&amp;G14&amp;cnstSingleQuote),cnstSingleQuote&amp;G14&amp;IF(ISBLANK(H14),"",cnstDoubleQuote&amp;H14&amp;cnstDoubleQuote)&amp;IF(ISBLANK(I14),"",cnstComma&amp;cnstDoubleQuote&amp;I14&amp;cnstDoubleQuote)&amp;IF(ISBLANK(J14),"",cnstComma&amp;cnstDoubleQuote&amp;J14&amp;cnstDoubleQuote)&amp;cnstSingleQuote)</f>
        <v>'DecImportDecisions'</v>
      </c>
      <c r="L14" s="129"/>
    </row>
    <row r="15" spans="1:12">
      <c r="E15" s="125">
        <v>2</v>
      </c>
      <c r="F15" s="126" t="s">
        <v>270</v>
      </c>
      <c r="G15" s="127" t="s">
        <v>644</v>
      </c>
      <c r="H15" s="126">
        <f>xxRound</f>
        <v>0</v>
      </c>
      <c r="I15" s="126"/>
      <c r="J15" s="126"/>
      <c r="K15" s="128" t="str">
        <f t="shared" si="0"/>
        <v>'FBUpdateFeedbackFile"0"'</v>
      </c>
      <c r="L15" s="129"/>
    </row>
    <row r="16" spans="1:12">
      <c r="E16" s="125">
        <v>1</v>
      </c>
      <c r="F16" s="126" t="s">
        <v>267</v>
      </c>
      <c r="G16" s="127"/>
      <c r="H16" s="126"/>
      <c r="I16" s="126"/>
      <c r="J16" s="126"/>
      <c r="K16" s="128" t="str">
        <f t="shared" si="0"/>
        <v/>
      </c>
      <c r="L16" s="129"/>
    </row>
    <row r="17" spans="2:12">
      <c r="E17" s="125">
        <v>2</v>
      </c>
      <c r="F17" s="126" t="s">
        <v>98</v>
      </c>
      <c r="G17" s="127" t="s">
        <v>99</v>
      </c>
      <c r="H17" s="126"/>
      <c r="I17" s="126"/>
      <c r="J17" s="126"/>
      <c r="K17" s="128" t="str">
        <f t="shared" si="0"/>
        <v>'DecResetFormulae'</v>
      </c>
      <c r="L17" s="129"/>
    </row>
    <row r="18" spans="2:12">
      <c r="E18" s="125">
        <v>2</v>
      </c>
      <c r="F18" s="126" t="s">
        <v>100</v>
      </c>
      <c r="G18" s="127" t="s">
        <v>101</v>
      </c>
      <c r="H18" s="126">
        <f>xxRound</f>
        <v>0</v>
      </c>
      <c r="I18" s="126"/>
      <c r="J18" s="126"/>
      <c r="K18" s="128" t="str">
        <f t="shared" si="0"/>
        <v>'DecResetToolDecs"0"'</v>
      </c>
      <c r="L18" s="129"/>
    </row>
    <row r="19" spans="2:12">
      <c r="E19" s="125">
        <v>2</v>
      </c>
      <c r="F19" s="126" t="s">
        <v>117</v>
      </c>
      <c r="G19" s="127" t="s">
        <v>329</v>
      </c>
      <c r="H19" s="126"/>
      <c r="I19" s="126"/>
      <c r="J19" s="126"/>
      <c r="K19" s="128" t="str">
        <f t="shared" si="0"/>
        <v>'BalancesResetT0Obals'</v>
      </c>
      <c r="L19" s="129"/>
    </row>
    <row r="20" spans="2:12">
      <c r="E20" s="125">
        <v>2</v>
      </c>
      <c r="F20" s="126" t="s">
        <v>107</v>
      </c>
      <c r="G20" s="127" t="s">
        <v>108</v>
      </c>
      <c r="H20" s="126"/>
      <c r="I20" s="126"/>
      <c r="J20" s="126"/>
      <c r="K20" s="128" t="str">
        <f t="shared" si="0"/>
        <v>'DecShowErrorMessage'</v>
      </c>
      <c r="L20" s="129"/>
    </row>
    <row r="21" spans="2:12">
      <c r="E21" s="125">
        <v>1</v>
      </c>
      <c r="F21" s="126" t="s">
        <v>249</v>
      </c>
      <c r="G21" s="127"/>
      <c r="H21" s="126"/>
      <c r="I21" s="126"/>
      <c r="J21" s="126"/>
      <c r="K21" s="128" t="str">
        <f t="shared" si="0"/>
        <v/>
      </c>
      <c r="L21" s="129"/>
    </row>
    <row r="22" spans="2:12">
      <c r="E22" s="125">
        <v>2</v>
      </c>
      <c r="F22" s="126" t="s">
        <v>250</v>
      </c>
      <c r="G22" s="127" t="s">
        <v>251</v>
      </c>
      <c r="H22" s="126" t="s">
        <v>151</v>
      </c>
      <c r="I22" s="126"/>
      <c r="J22" s="126"/>
      <c r="K22" s="128" t="str">
        <f t="shared" si="0"/>
        <v>'HoodGoToScreen"tlIntro"'</v>
      </c>
      <c r="L22" s="129"/>
    </row>
    <row r="23" spans="2:12">
      <c r="E23" s="125">
        <v>2</v>
      </c>
      <c r="F23" s="126" t="s">
        <v>217</v>
      </c>
      <c r="G23" s="127" t="s">
        <v>251</v>
      </c>
      <c r="H23" s="126" t="s">
        <v>252</v>
      </c>
      <c r="I23" s="126"/>
      <c r="J23" s="126"/>
      <c r="K23" s="128" t="str">
        <f t="shared" si="0"/>
        <v>'HoodGoToScreen"tlProd1"'</v>
      </c>
      <c r="L23" s="129"/>
    </row>
    <row r="24" spans="2:12">
      <c r="E24" s="125">
        <v>2</v>
      </c>
      <c r="F24" s="126" t="s">
        <v>191</v>
      </c>
      <c r="G24" s="127" t="s">
        <v>251</v>
      </c>
      <c r="H24" s="126" t="s">
        <v>253</v>
      </c>
      <c r="I24" s="126"/>
      <c r="J24" s="126"/>
      <c r="K24" s="128" t="str">
        <f t="shared" si="0"/>
        <v>'HoodGoToScreen"tlSIs"'</v>
      </c>
      <c r="L24" s="129"/>
    </row>
    <row r="25" spans="2:12" ht="16.2" thickBot="1">
      <c r="E25" s="130">
        <v>1</v>
      </c>
      <c r="F25" s="131" t="s">
        <v>272</v>
      </c>
      <c r="G25" s="132" t="s">
        <v>273</v>
      </c>
      <c r="H25" s="131"/>
      <c r="I25" s="133"/>
      <c r="J25" s="131"/>
      <c r="K25" s="134" t="str">
        <f t="shared" si="0"/>
        <v>'MasterReset'</v>
      </c>
      <c r="L25" s="135"/>
    </row>
    <row r="26" spans="2:12">
      <c r="E26" s="136" t="s">
        <v>62</v>
      </c>
      <c r="F26" s="136" t="s">
        <v>63</v>
      </c>
      <c r="J26" s="137"/>
      <c r="K26" s="136" t="s">
        <v>64</v>
      </c>
      <c r="L26" s="136" t="s">
        <v>65</v>
      </c>
    </row>
    <row r="27" spans="2:12">
      <c r="J27" s="137"/>
      <c r="K27" s="137"/>
    </row>
    <row r="28" spans="2:12" ht="16.2" thickBot="1">
      <c r="B28" s="119" t="s">
        <v>318</v>
      </c>
    </row>
    <row r="29" spans="2:12">
      <c r="C29" s="119" t="s">
        <v>50</v>
      </c>
      <c r="E29" s="138">
        <f>COUNTIF(vbaPopupMenu1ListLevel,1)</f>
        <v>4</v>
      </c>
      <c r="F29" s="136" t="s">
        <v>51</v>
      </c>
    </row>
    <row r="30" spans="2:12">
      <c r="C30" s="119" t="s">
        <v>52</v>
      </c>
      <c r="E30" s="139">
        <f>COUNTIF(vbaPopupMenu1ListLevel,2)</f>
        <v>12</v>
      </c>
      <c r="F30" s="136" t="s">
        <v>53</v>
      </c>
    </row>
    <row r="31" spans="2:12" ht="16.2" thickBot="1">
      <c r="C31" s="119" t="s">
        <v>54</v>
      </c>
      <c r="E31" s="140">
        <f>SUM(E29:E30)</f>
        <v>16</v>
      </c>
      <c r="F31" s="136" t="s">
        <v>55</v>
      </c>
    </row>
    <row r="33" spans="1:6" s="117" customFormat="1" ht="21">
      <c r="A33" s="116" t="s">
        <v>319</v>
      </c>
    </row>
    <row r="34" spans="1:6" ht="16.2" thickBot="1"/>
    <row r="35" spans="1:6" ht="16.5" customHeight="1">
      <c r="B35" s="119" t="s">
        <v>320</v>
      </c>
      <c r="E35" s="141" t="s">
        <v>66</v>
      </c>
      <c r="F35" s="142" t="s">
        <v>67</v>
      </c>
    </row>
    <row r="36" spans="1:6">
      <c r="E36" s="143">
        <v>1</v>
      </c>
      <c r="F36" s="144" t="s">
        <v>68</v>
      </c>
    </row>
    <row r="37" spans="1:6">
      <c r="E37" s="145">
        <v>3</v>
      </c>
      <c r="F37" s="146" t="s">
        <v>69</v>
      </c>
    </row>
    <row r="38" spans="1:6">
      <c r="E38" s="143">
        <v>4</v>
      </c>
      <c r="F38" s="144" t="s">
        <v>70</v>
      </c>
    </row>
    <row r="39" spans="1:6">
      <c r="E39" s="145">
        <v>21</v>
      </c>
      <c r="F39" s="146" t="s">
        <v>71</v>
      </c>
    </row>
    <row r="40" spans="1:6">
      <c r="E40" s="143">
        <v>22</v>
      </c>
      <c r="F40" s="144" t="s">
        <v>72</v>
      </c>
    </row>
    <row r="41" spans="1:6">
      <c r="E41" s="145">
        <v>23</v>
      </c>
      <c r="F41" s="146" t="s">
        <v>73</v>
      </c>
    </row>
    <row r="42" spans="1:6">
      <c r="E42" s="143">
        <v>37</v>
      </c>
      <c r="F42" s="144" t="s">
        <v>74</v>
      </c>
    </row>
    <row r="43" spans="1:6">
      <c r="E43" s="145">
        <v>67</v>
      </c>
      <c r="F43" s="146" t="s">
        <v>75</v>
      </c>
    </row>
    <row r="44" spans="1:6">
      <c r="E44" s="143">
        <v>141</v>
      </c>
      <c r="F44" s="144" t="s">
        <v>76</v>
      </c>
    </row>
    <row r="45" spans="1:6">
      <c r="E45" s="145">
        <v>330</v>
      </c>
      <c r="F45" s="146" t="s">
        <v>77</v>
      </c>
    </row>
    <row r="46" spans="1:6">
      <c r="E46" s="143">
        <v>358</v>
      </c>
      <c r="F46" s="144" t="s">
        <v>78</v>
      </c>
    </row>
    <row r="47" spans="1:6">
      <c r="E47" s="145">
        <v>373</v>
      </c>
      <c r="F47" s="146" t="s">
        <v>79</v>
      </c>
    </row>
    <row r="48" spans="1:6">
      <c r="E48" s="143">
        <v>374</v>
      </c>
      <c r="F48" s="144" t="s">
        <v>80</v>
      </c>
    </row>
    <row r="49" spans="2:6">
      <c r="E49" s="145">
        <v>375</v>
      </c>
      <c r="F49" s="146" t="s">
        <v>81</v>
      </c>
    </row>
    <row r="50" spans="2:6">
      <c r="E50" s="143" t="s">
        <v>82</v>
      </c>
      <c r="F50" s="144" t="s">
        <v>83</v>
      </c>
    </row>
    <row r="51" spans="2:6" ht="16.2" thickBot="1">
      <c r="E51" s="147" t="s">
        <v>84</v>
      </c>
      <c r="F51" s="148" t="s">
        <v>85</v>
      </c>
    </row>
    <row r="53" spans="2:6" ht="16.2" thickBot="1">
      <c r="B53" s="119" t="s">
        <v>321</v>
      </c>
    </row>
    <row r="54" spans="2:6">
      <c r="C54" s="119" t="s">
        <v>322</v>
      </c>
      <c r="E54" s="149" t="s">
        <v>323</v>
      </c>
      <c r="F54" s="152" t="s">
        <v>86</v>
      </c>
    </row>
    <row r="55" spans="2:6">
      <c r="C55" s="119" t="s">
        <v>324</v>
      </c>
      <c r="E55" s="150" t="s">
        <v>325</v>
      </c>
      <c r="F55" s="152" t="s">
        <v>87</v>
      </c>
    </row>
    <row r="56" spans="2:6" ht="16.2" thickBot="1">
      <c r="C56" s="119" t="s">
        <v>326</v>
      </c>
      <c r="E56" s="151" t="s">
        <v>327</v>
      </c>
      <c r="F56" s="152" t="s">
        <v>328</v>
      </c>
    </row>
  </sheetData>
  <conditionalFormatting sqref="I10:J13 I15:J25">
    <cfRule type="expression" dxfId="324" priority="6">
      <formula>H10=""</formula>
    </cfRule>
  </conditionalFormatting>
  <conditionalFormatting sqref="I10:K13 I15:K25">
    <cfRule type="expression" dxfId="323" priority="5">
      <formula>$E10=1</formula>
    </cfRule>
  </conditionalFormatting>
  <conditionalFormatting sqref="I14:J14">
    <cfRule type="expression" dxfId="322" priority="2">
      <formula>H14=""</formula>
    </cfRule>
  </conditionalFormatting>
  <conditionalFormatting sqref="I14:K14">
    <cfRule type="expression" dxfId="321" priority="1">
      <formula>$E14=1</formula>
    </cfRule>
  </conditionalFormatting>
  <dataValidations disablePrompts="1" count="1">
    <dataValidation type="list" allowBlank="1" showInputMessage="1" showErrorMessage="1" sqref="E4">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AE265"/>
  <sheetViews>
    <sheetView workbookViewId="0">
      <selection activeCell="E32" sqref="E32"/>
    </sheetView>
  </sheetViews>
  <sheetFormatPr defaultColWidth="8.81640625" defaultRowHeight="12.6"/>
  <cols>
    <col min="1" max="1" width="8.81640625" style="252"/>
    <col min="2" max="2" width="24" style="252" customWidth="1"/>
    <col min="3" max="3" width="11.08984375" style="252" customWidth="1"/>
    <col min="4" max="4" width="8.81640625" style="252" customWidth="1"/>
    <col min="5" max="17" width="8.81640625" style="252"/>
    <col min="18" max="18" width="8.90625" style="252" customWidth="1"/>
    <col min="19" max="16384" width="8.81640625" style="252"/>
  </cols>
  <sheetData>
    <row r="1" spans="1:26" s="18" customFormat="1" ht="13.8">
      <c r="A1" s="234" t="s">
        <v>520</v>
      </c>
      <c r="E1" s="235"/>
      <c r="F1" s="236"/>
      <c r="G1" s="236"/>
      <c r="H1" s="22"/>
      <c r="I1" s="22"/>
    </row>
    <row r="2" spans="1:26" s="237" customFormat="1" ht="12.75" customHeight="1">
      <c r="D2" s="238"/>
      <c r="F2" s="238"/>
    </row>
    <row r="3" spans="1:26" s="237" customFormat="1" ht="13.8">
      <c r="B3" s="237" t="s">
        <v>521</v>
      </c>
      <c r="E3" s="239" t="s">
        <v>522</v>
      </c>
      <c r="F3" s="240"/>
    </row>
    <row r="5" spans="1:26" s="23" customFormat="1" ht="13.8">
      <c r="B5" s="241" t="s">
        <v>388</v>
      </c>
      <c r="E5" s="24"/>
      <c r="F5" s="24"/>
      <c r="G5" s="24"/>
      <c r="H5" s="24"/>
      <c r="I5" s="24"/>
    </row>
    <row r="6" spans="1:26" s="242" customFormat="1" ht="13.8"/>
    <row r="7" spans="1:26" s="242" customFormat="1" ht="13.8">
      <c r="B7" s="65" t="s">
        <v>523</v>
      </c>
    </row>
    <row r="8" spans="1:26" s="242" customFormat="1" ht="13.8">
      <c r="B8" s="243"/>
      <c r="C8" s="244" t="s">
        <v>524</v>
      </c>
      <c r="G8" s="245" t="s">
        <v>525</v>
      </c>
    </row>
    <row r="9" spans="1:26" s="242" customFormat="1" ht="13.8">
      <c r="B9" s="246"/>
      <c r="C9" s="244" t="s">
        <v>526</v>
      </c>
      <c r="G9" s="247"/>
      <c r="H9" s="244" t="s">
        <v>527</v>
      </c>
    </row>
    <row r="10" spans="1:26" s="242" customFormat="1" ht="13.8">
      <c r="B10" s="248"/>
      <c r="C10" s="244" t="s">
        <v>385</v>
      </c>
      <c r="I10" s="249"/>
    </row>
    <row r="11" spans="1:26" s="242" customFormat="1" ht="13.8">
      <c r="E11" s="250"/>
      <c r="I11" s="250"/>
    </row>
    <row r="12" spans="1:26" s="23" customFormat="1" ht="21" customHeight="1">
      <c r="B12" s="251" t="s">
        <v>125</v>
      </c>
      <c r="E12" s="24"/>
      <c r="F12" s="24"/>
      <c r="G12" s="24"/>
      <c r="H12" s="24"/>
      <c r="I12" s="24"/>
    </row>
    <row r="13" spans="1:26" ht="13.8">
      <c r="B13" s="253"/>
      <c r="C13" s="253"/>
      <c r="D13" s="254"/>
      <c r="E13" s="253"/>
      <c r="F13" s="254"/>
      <c r="G13" s="253"/>
      <c r="H13" s="253"/>
      <c r="I13" s="253"/>
      <c r="J13" s="253"/>
      <c r="K13" s="253"/>
      <c r="L13" s="253"/>
      <c r="M13" s="253"/>
      <c r="N13" s="253"/>
      <c r="O13" s="253"/>
      <c r="P13" s="253"/>
      <c r="Q13" s="253"/>
      <c r="R13" s="253"/>
      <c r="S13" s="253"/>
    </row>
    <row r="14" spans="1:26" ht="13.8">
      <c r="A14" s="255"/>
      <c r="B14" s="256" t="s">
        <v>41</v>
      </c>
      <c r="C14" s="257"/>
      <c r="D14" s="256" t="s">
        <v>528</v>
      </c>
      <c r="E14" s="256"/>
      <c r="F14" s="256"/>
      <c r="G14" s="256"/>
      <c r="H14" s="256"/>
      <c r="I14" s="256"/>
      <c r="J14" s="256"/>
      <c r="K14" s="256"/>
      <c r="L14" s="256"/>
      <c r="M14" s="256"/>
      <c r="N14" s="256"/>
      <c r="O14" s="256"/>
      <c r="P14" s="256"/>
      <c r="Q14" s="256"/>
      <c r="R14" s="256"/>
      <c r="S14" s="256"/>
      <c r="T14" s="255"/>
      <c r="U14" s="255"/>
      <c r="V14" s="255"/>
      <c r="W14" s="255"/>
      <c r="X14" s="255"/>
      <c r="Y14" s="255"/>
      <c r="Z14" s="255"/>
    </row>
    <row r="15" spans="1:26" ht="13.8">
      <c r="A15" s="255"/>
      <c r="B15" s="256" t="s">
        <v>43</v>
      </c>
      <c r="C15" s="257">
        <v>1</v>
      </c>
      <c r="D15" s="256" t="s">
        <v>529</v>
      </c>
      <c r="E15" s="256"/>
      <c r="F15" s="258" t="s">
        <v>530</v>
      </c>
      <c r="G15" s="256"/>
      <c r="H15" s="256"/>
      <c r="I15" s="256"/>
      <c r="J15" s="256"/>
      <c r="K15" s="256"/>
      <c r="L15" s="256"/>
      <c r="M15" s="256"/>
      <c r="N15" s="256"/>
      <c r="O15" s="256"/>
      <c r="P15" s="256"/>
      <c r="Q15" s="256"/>
      <c r="R15" s="256"/>
      <c r="S15" s="256"/>
      <c r="T15" s="255"/>
      <c r="U15" s="255"/>
      <c r="V15" s="255"/>
      <c r="W15" s="255"/>
      <c r="X15" s="255"/>
      <c r="Y15" s="255"/>
      <c r="Z15" s="255"/>
    </row>
    <row r="16" spans="1:26" ht="13.8">
      <c r="A16" s="255"/>
      <c r="B16" s="256" t="s">
        <v>531</v>
      </c>
      <c r="C16" s="257">
        <f>xxSim0Tool1</f>
        <v>1</v>
      </c>
      <c r="D16" s="256" t="s">
        <v>532</v>
      </c>
      <c r="E16" s="256"/>
      <c r="F16" s="258" t="s">
        <v>533</v>
      </c>
      <c r="G16" s="256"/>
      <c r="H16" s="256"/>
      <c r="I16" s="256"/>
      <c r="J16" s="256"/>
      <c r="K16" s="256"/>
      <c r="L16" s="256"/>
      <c r="M16" s="256"/>
      <c r="N16" s="256"/>
      <c r="O16" s="256"/>
      <c r="P16" s="256"/>
      <c r="Q16" s="256"/>
      <c r="R16" s="256"/>
      <c r="S16" s="256"/>
      <c r="T16" s="255"/>
      <c r="U16" s="255"/>
      <c r="V16" s="255"/>
      <c r="W16" s="255"/>
      <c r="X16" s="255"/>
      <c r="Y16" s="255"/>
      <c r="Z16" s="255"/>
    </row>
    <row r="17" spans="1:30" ht="13.8">
      <c r="A17" s="255"/>
      <c r="B17" s="256" t="s">
        <v>534</v>
      </c>
      <c r="C17" s="259">
        <v>43292.378101851849</v>
      </c>
      <c r="D17" s="256" t="s">
        <v>535</v>
      </c>
      <c r="E17" s="256"/>
      <c r="F17" s="256"/>
      <c r="G17" s="256"/>
      <c r="H17" s="256"/>
      <c r="I17" s="256"/>
      <c r="J17" s="256"/>
      <c r="K17" s="256" t="s">
        <v>2130</v>
      </c>
      <c r="L17" s="256"/>
      <c r="M17" s="256"/>
      <c r="N17" s="256"/>
      <c r="O17" s="256"/>
      <c r="P17" s="256"/>
      <c r="Q17" s="256"/>
      <c r="R17" s="256"/>
      <c r="S17" s="256"/>
      <c r="T17" s="255"/>
      <c r="U17" s="255"/>
      <c r="V17" s="255"/>
      <c r="W17" s="255"/>
      <c r="X17" s="255"/>
      <c r="Y17" s="255"/>
      <c r="Z17" s="255"/>
    </row>
    <row r="18" spans="1:30" ht="14.4" thickBot="1">
      <c r="A18" s="255"/>
      <c r="B18" s="256"/>
      <c r="C18" s="256"/>
      <c r="D18" s="256"/>
      <c r="E18" s="256"/>
      <c r="F18" s="256"/>
      <c r="G18" s="256"/>
      <c r="H18" s="256"/>
      <c r="I18" s="256"/>
      <c r="J18" s="256"/>
      <c r="K18" s="256"/>
      <c r="L18" s="256"/>
      <c r="M18" s="256"/>
      <c r="N18" s="256"/>
      <c r="O18" s="256"/>
      <c r="P18" s="256"/>
      <c r="Q18" s="256"/>
      <c r="R18" s="256"/>
      <c r="S18" s="256"/>
      <c r="T18" s="255"/>
      <c r="U18" s="255"/>
      <c r="V18" s="255"/>
      <c r="W18" s="255"/>
      <c r="X18" s="255"/>
      <c r="Y18" s="255"/>
      <c r="Z18" s="255"/>
    </row>
    <row r="19" spans="1:30" ht="14.4" thickBot="1">
      <c r="B19" s="253" t="s">
        <v>536</v>
      </c>
      <c r="C19" s="260">
        <f>INDEX(F19:J19,Wobbler_Round)</f>
        <v>8</v>
      </c>
      <c r="D19" s="253"/>
      <c r="E19" s="253" t="s">
        <v>537</v>
      </c>
      <c r="F19" s="261">
        <f>COUNTIF($C$25:$C$46,1)</f>
        <v>8</v>
      </c>
      <c r="G19" s="261">
        <f>COUNTIF($C$25:$C$46,2)+F19</f>
        <v>11</v>
      </c>
      <c r="H19" s="261">
        <f>COUNTIF($C$25:$C$46,3)+G19</f>
        <v>12</v>
      </c>
      <c r="I19" s="261">
        <f>COUNTIF($C$25:$C$46,4)+H19</f>
        <v>22</v>
      </c>
      <c r="J19" s="262"/>
      <c r="K19" s="253"/>
      <c r="L19" s="253"/>
      <c r="M19" s="253"/>
      <c r="N19" s="253"/>
      <c r="O19" s="253"/>
      <c r="P19" s="253"/>
      <c r="Q19" s="253"/>
      <c r="R19" s="253"/>
      <c r="S19" s="253"/>
    </row>
    <row r="20" spans="1:30" ht="14.4" thickBot="1">
      <c r="B20" s="253" t="s">
        <v>538</v>
      </c>
      <c r="C20" s="260">
        <v>6</v>
      </c>
      <c r="D20" s="253"/>
      <c r="E20" s="253" t="s">
        <v>539</v>
      </c>
      <c r="F20" s="261">
        <v>1</v>
      </c>
      <c r="G20" s="261">
        <f>F19+1</f>
        <v>9</v>
      </c>
      <c r="H20" s="261">
        <f>G19+1</f>
        <v>12</v>
      </c>
      <c r="I20" s="261">
        <f>H19+1</f>
        <v>13</v>
      </c>
      <c r="J20" s="253"/>
      <c r="K20" s="253"/>
      <c r="L20" s="253"/>
      <c r="M20" s="253"/>
      <c r="N20" s="253"/>
      <c r="O20" s="253"/>
      <c r="P20" s="253"/>
      <c r="Q20" s="253"/>
      <c r="R20" s="253"/>
      <c r="S20" s="253"/>
    </row>
    <row r="21" spans="1:30" ht="13.8">
      <c r="B21" s="253"/>
      <c r="C21" s="253"/>
      <c r="D21" s="263"/>
      <c r="E21" s="253"/>
      <c r="F21" s="253" t="s">
        <v>540</v>
      </c>
      <c r="G21" s="253" t="s">
        <v>541</v>
      </c>
      <c r="H21" s="253" t="s">
        <v>542</v>
      </c>
      <c r="I21" s="253" t="s">
        <v>543</v>
      </c>
      <c r="J21" s="253"/>
      <c r="K21" s="253"/>
      <c r="L21" s="253"/>
      <c r="M21" s="253"/>
      <c r="N21" s="253"/>
      <c r="O21" s="253"/>
      <c r="P21" s="262" t="s">
        <v>544</v>
      </c>
      <c r="Q21" s="262">
        <v>6.9444444444444436E-4</v>
      </c>
      <c r="R21" s="253"/>
      <c r="S21" s="253"/>
    </row>
    <row r="22" spans="1:30" ht="13.8">
      <c r="B22" s="253"/>
      <c r="C22" s="253"/>
      <c r="D22" s="253"/>
      <c r="E22" s="253"/>
      <c r="F22" s="253"/>
      <c r="G22" s="253"/>
      <c r="H22" s="253"/>
      <c r="I22" s="253"/>
      <c r="J22" s="253"/>
      <c r="K22" s="253"/>
      <c r="L22" s="253"/>
      <c r="M22" s="253"/>
      <c r="N22" s="253"/>
      <c r="O22" s="253"/>
      <c r="P22" s="253"/>
      <c r="Q22" s="253"/>
      <c r="R22" s="253"/>
      <c r="S22" s="253"/>
    </row>
    <row r="23" spans="1:30" ht="14.4" thickBot="1">
      <c r="A23" s="255"/>
      <c r="B23" s="256"/>
      <c r="C23" s="264" t="s">
        <v>545</v>
      </c>
      <c r="D23" s="256"/>
      <c r="E23" s="256"/>
      <c r="F23" s="256"/>
      <c r="G23" s="256"/>
      <c r="H23" s="256"/>
      <c r="I23" s="256"/>
      <c r="J23" s="256"/>
      <c r="K23" s="256"/>
      <c r="L23" s="256"/>
      <c r="M23" s="256"/>
      <c r="N23" s="256"/>
      <c r="O23" s="256"/>
      <c r="P23" s="256"/>
      <c r="Q23" s="256"/>
      <c r="R23" s="256"/>
      <c r="S23" s="256"/>
      <c r="T23" s="255"/>
      <c r="U23" s="255"/>
      <c r="V23" s="255"/>
      <c r="W23" s="255"/>
      <c r="X23" s="255"/>
      <c r="Y23" s="255"/>
      <c r="Z23" s="255"/>
    </row>
    <row r="24" spans="1:30" s="270" customFormat="1" ht="34.5" customHeight="1" thickBot="1">
      <c r="A24" s="265"/>
      <c r="B24" s="266" t="s">
        <v>546</v>
      </c>
      <c r="C24" s="267" t="s">
        <v>43</v>
      </c>
      <c r="D24" s="267" t="s">
        <v>58</v>
      </c>
      <c r="E24" s="267" t="s">
        <v>384</v>
      </c>
      <c r="F24" s="267" t="s">
        <v>547</v>
      </c>
      <c r="G24" s="267" t="s">
        <v>548</v>
      </c>
      <c r="H24" s="267" t="s">
        <v>549</v>
      </c>
      <c r="I24" s="267" t="s">
        <v>550</v>
      </c>
      <c r="J24" s="267" t="s">
        <v>551</v>
      </c>
      <c r="K24" s="267" t="s">
        <v>552</v>
      </c>
      <c r="L24" s="267" t="s">
        <v>553</v>
      </c>
      <c r="M24" s="267" t="s">
        <v>554</v>
      </c>
      <c r="N24" s="267" t="s">
        <v>555</v>
      </c>
      <c r="O24" s="267" t="s">
        <v>556</v>
      </c>
      <c r="P24" s="267" t="s">
        <v>557</v>
      </c>
      <c r="Q24" s="267" t="s">
        <v>558</v>
      </c>
      <c r="R24" s="267" t="s">
        <v>559</v>
      </c>
      <c r="S24" s="268" t="s">
        <v>560</v>
      </c>
      <c r="T24" s="269"/>
      <c r="AD24" s="265"/>
    </row>
    <row r="25" spans="1:30" ht="15" customHeight="1">
      <c r="A25" s="255"/>
      <c r="B25" s="271">
        <v>1</v>
      </c>
      <c r="C25" s="272">
        <v>1</v>
      </c>
      <c r="D25" s="272" t="s">
        <v>2070</v>
      </c>
      <c r="E25" s="273" t="str">
        <f>Data!E367</f>
        <v xml:space="preserve">Over the past several months, a torrent of M&amp;A activity in the greater Beantown vicinity will force CLOUD to revisit its Integration Plan for Snowflake as well as CLOUD’s broader Beantown real estate strategy. While satellite offices make sense when the employee base is small, with over 1,000 CLOUD employees in and around Beantown, the company needs to make a decision that considers the costs and benefits of maintaining a consistent employee experience, real estate strategy, and security standards. If you did not choose to relocate to CLOUD offices, revisit your Real Estate strategy and other related decisions.
</v>
      </c>
      <c r="F25" s="274" t="s">
        <v>561</v>
      </c>
      <c r="G25" s="273"/>
      <c r="H25" s="273"/>
      <c r="I25" s="274"/>
      <c r="J25" s="275" t="s">
        <v>2082</v>
      </c>
      <c r="K25" s="275"/>
      <c r="L25" s="274"/>
      <c r="M25" s="274"/>
      <c r="N25" s="272"/>
      <c r="O25" s="272"/>
      <c r="P25" s="274"/>
      <c r="Q25" s="274"/>
      <c r="R25" s="276">
        <v>3.472222222222222E-3</v>
      </c>
      <c r="S25" s="277" t="s">
        <v>3740</v>
      </c>
      <c r="T25" s="278"/>
      <c r="AD25" s="255"/>
    </row>
    <row r="26" spans="1:30" ht="15" customHeight="1">
      <c r="A26" s="255"/>
      <c r="B26" s="271">
        <v>2</v>
      </c>
      <c r="C26" s="272">
        <v>1</v>
      </c>
      <c r="D26" s="272" t="s">
        <v>2160</v>
      </c>
      <c r="E26" s="272" t="str">
        <f>Data!E368</f>
        <v xml:space="preserve">Financial pressure (i.e. a bookings miss) leads to budget cuts across the company.  Some of the “easiest” ways to find savings are to delay hiring, reduce T&amp;E, and reduce integration budgets.  Regardless of your integration plan, Snowflake's integration budget is now reduced by $5M. Although budget reductions may delay integration milestones, and jeopardize the success of the acquisition, you still need to make tough cuts to remain within your reduced budget. </v>
      </c>
      <c r="F26" s="272" t="s">
        <v>561</v>
      </c>
      <c r="G26" s="275"/>
      <c r="H26" s="275"/>
      <c r="I26" s="272"/>
      <c r="J26" s="275" t="s">
        <v>2082</v>
      </c>
      <c r="K26" s="275"/>
      <c r="L26" s="272"/>
      <c r="M26" s="272"/>
      <c r="N26" s="272"/>
      <c r="O26" s="272"/>
      <c r="P26" s="272"/>
      <c r="Q26" s="272"/>
      <c r="R26" s="279">
        <v>3.472222222222222E-3</v>
      </c>
      <c r="S26" s="277" t="s">
        <v>3739</v>
      </c>
      <c r="T26" s="278"/>
      <c r="AD26" s="255"/>
    </row>
    <row r="27" spans="1:30" ht="15" customHeight="1">
      <c r="A27" s="255"/>
      <c r="B27" s="271">
        <v>3</v>
      </c>
      <c r="C27" s="272">
        <v>1</v>
      </c>
      <c r="D27" s="272" t="s">
        <v>2071</v>
      </c>
      <c r="E27" s="272" t="str">
        <f>Data!E369</f>
        <v xml:space="preserve">Snowflake’s Executive Sponsor is spending a significant amount of time on site during the integration and has not been too pleased with the back office experience. Although integration plans that included a Move to Cloud offices, or an investment in building out Snowflake’s existing space, will be met more favorably than others, the exec is still expecting some big improvements.  Additionally, the Executive Sponsor is focused on an expedited IT and back office integration timeline.  Review and adjust the timeline and scope of decisions on the Back Office page to align with the new Executive directive. 
</v>
      </c>
      <c r="F27" s="272" t="s">
        <v>561</v>
      </c>
      <c r="G27" s="272"/>
      <c r="H27" s="272"/>
      <c r="I27" s="272"/>
      <c r="J27" s="275" t="s">
        <v>2082</v>
      </c>
      <c r="K27" s="272"/>
      <c r="L27" s="272"/>
      <c r="M27" s="272"/>
      <c r="N27" s="272"/>
      <c r="O27" s="272"/>
      <c r="P27" s="272"/>
      <c r="Q27" s="272"/>
      <c r="R27" s="279">
        <v>3.472222222222222E-3</v>
      </c>
      <c r="S27" s="277" t="s">
        <v>3741</v>
      </c>
      <c r="T27" s="278"/>
      <c r="AD27" s="255"/>
    </row>
    <row r="28" spans="1:30" ht="15" customHeight="1">
      <c r="A28" s="255"/>
      <c r="B28" s="271">
        <v>4</v>
      </c>
      <c r="C28" s="272">
        <v>1</v>
      </c>
      <c r="D28" s="272" t="s">
        <v>2072</v>
      </c>
      <c r="E28" s="272" t="str">
        <f>Data!E370</f>
        <v>As the GTM integration leads learned more about Snowflake, they discovered that Snowflake’s product provisioning is so complex that it makes a quick and comprehensive integration nearly impossible.  Teams that already had an Integration Plan of 50% stack focus or higher are not impacted. The impact for teams that chose to focus less than 50% on stack and  invested in features is a slight softening to ACV.  All teams should discuss GTM and Product strategies. If your ACV was reduced, what trade-offs will you make to fuel top line growth?</v>
      </c>
      <c r="F28" s="272" t="s">
        <v>561</v>
      </c>
      <c r="G28" s="272"/>
      <c r="H28" s="272"/>
      <c r="I28" s="272"/>
      <c r="J28" s="275" t="s">
        <v>2082</v>
      </c>
      <c r="K28" s="272"/>
      <c r="L28" s="272"/>
      <c r="M28" s="272"/>
      <c r="N28" s="272"/>
      <c r="O28" s="272"/>
      <c r="P28" s="272"/>
      <c r="Q28" s="272"/>
      <c r="R28" s="279">
        <v>3.472222222222222E-3</v>
      </c>
      <c r="S28" s="277" t="s">
        <v>3742</v>
      </c>
      <c r="T28" s="278"/>
      <c r="AD28" s="255"/>
    </row>
    <row r="29" spans="1:30" ht="15" customHeight="1">
      <c r="A29" s="255"/>
      <c r="B29" s="271">
        <v>5</v>
      </c>
      <c r="C29" s="272">
        <v>1</v>
      </c>
      <c r="D29" s="272" t="s">
        <v>2073</v>
      </c>
      <c r="E29" s="272" t="str">
        <f>Data!E371</f>
        <v>Despite known risks, Snowflake’s network experienced a major security breach that could damage CLOUD’s reputation. If you have not fully invested in all P0, P1 and P2 priorities, you are a victim of this security breach. What do you do to respond to the breach and prevent future trust and security issues from occurring? What implications does this reshuffling of priorities have on your in-year operating margin?  What trade-offs will you make to ensure customer data remains safe?</v>
      </c>
      <c r="F29" s="272" t="s">
        <v>561</v>
      </c>
      <c r="G29" s="272"/>
      <c r="H29" s="272"/>
      <c r="I29" s="272"/>
      <c r="J29" s="275" t="s">
        <v>2082</v>
      </c>
      <c r="K29" s="272"/>
      <c r="L29" s="272"/>
      <c r="M29" s="272"/>
      <c r="N29" s="272"/>
      <c r="O29" s="272"/>
      <c r="P29" s="272"/>
      <c r="Q29" s="272"/>
      <c r="R29" s="279">
        <v>3.472222222222222E-3</v>
      </c>
      <c r="S29" s="277" t="s">
        <v>3743</v>
      </c>
      <c r="T29" s="278"/>
      <c r="AD29" s="255"/>
    </row>
    <row r="30" spans="1:30" ht="15" customHeight="1">
      <c r="A30" s="255"/>
      <c r="B30" s="271">
        <v>6</v>
      </c>
      <c r="C30" s="272">
        <v>1</v>
      </c>
      <c r="D30" s="272" t="s">
        <v>2074</v>
      </c>
      <c r="E30" s="272" t="str">
        <f>Data!E372</f>
        <v>Despite the support of the initial integration plan, CLOUD’s CEO has decided after close that the integration plan needs to include an expedited Lead-to-Cash integration. The CEO’s desire to double ACV expectations by fully integrating Snowflake into the AE product portfolio will be hard to manage, especially given recent discovery, budget challenges, and other execution hiccups. Revisit your Lead-to-Cash timeline; does it align with the CEO’s evolving integration strategy?</v>
      </c>
      <c r="F30" s="272" t="s">
        <v>561</v>
      </c>
      <c r="G30" s="272"/>
      <c r="H30" s="272"/>
      <c r="I30" s="272"/>
      <c r="J30" s="275" t="s">
        <v>2082</v>
      </c>
      <c r="K30" s="272"/>
      <c r="L30" s="272"/>
      <c r="M30" s="272"/>
      <c r="N30" s="272"/>
      <c r="O30" s="272"/>
      <c r="P30" s="272"/>
      <c r="Q30" s="272"/>
      <c r="R30" s="279">
        <v>3.472222222222222E-3</v>
      </c>
      <c r="S30" s="277" t="s">
        <v>3744</v>
      </c>
      <c r="T30" s="278"/>
      <c r="AD30" s="255"/>
    </row>
    <row r="31" spans="1:30" ht="15" customHeight="1">
      <c r="A31" s="255"/>
      <c r="B31" s="271">
        <v>7</v>
      </c>
      <c r="C31" s="272">
        <v>1</v>
      </c>
      <c r="D31" s="272" t="s">
        <v>2075</v>
      </c>
      <c r="E31" s="272" t="str">
        <f>Data!E373</f>
        <v xml:space="preserve">While CLOUD thought that Snowflake’s CEO would be a great cultural fit within Sales Cloud, the CEO’s inability to work collaboratively inside a large organization, flex management style, and find common ground among many divergent interests has posed a major challenge.  After various strategies and development conversations were attempted, it was agreed that Snowflake's CEO would leave the company. The negative impact on Employee Engagement will be more severe for teams that do not invest in this area. </v>
      </c>
      <c r="F31" s="272" t="s">
        <v>561</v>
      </c>
      <c r="G31" s="272"/>
      <c r="H31" s="272"/>
      <c r="I31" s="272"/>
      <c r="J31" s="275" t="s">
        <v>2082</v>
      </c>
      <c r="K31" s="272"/>
      <c r="L31" s="272"/>
      <c r="M31" s="272"/>
      <c r="N31" s="272"/>
      <c r="O31" s="272"/>
      <c r="P31" s="272"/>
      <c r="Q31" s="272"/>
      <c r="R31" s="279">
        <v>3.472222222222222E-3</v>
      </c>
      <c r="S31" s="277" t="s">
        <v>3745</v>
      </c>
      <c r="T31" s="278"/>
      <c r="AD31" s="255"/>
    </row>
    <row r="32" spans="1:30" ht="15" customHeight="1">
      <c r="A32" s="255"/>
      <c r="B32" s="271">
        <v>8</v>
      </c>
      <c r="C32" s="272">
        <v>1</v>
      </c>
      <c r="D32" s="272" t="s">
        <v>3971</v>
      </c>
      <c r="E32" s="272" t="str">
        <f>Data!E374</f>
        <v>The M&amp;A team conducts a Acquisition Experience Survey 30 days following Close. Results show that Snowflake employees feel overwhelmed by the amount of change being introduced.  Employees report receiving conflicting priorities from CLOUD and Snowflake leaders that make it difficult to be as productive in their day jobs with all the integration activities.  What can you do to improve the employee experience?</v>
      </c>
      <c r="F32" s="272" t="s">
        <v>561</v>
      </c>
      <c r="G32" s="272"/>
      <c r="H32" s="272"/>
      <c r="I32" s="272"/>
      <c r="J32" s="275" t="s">
        <v>2082</v>
      </c>
      <c r="K32" s="272"/>
      <c r="L32" s="272"/>
      <c r="M32" s="272"/>
      <c r="N32" s="272"/>
      <c r="O32" s="272"/>
      <c r="P32" s="272"/>
      <c r="Q32" s="272"/>
      <c r="R32" s="279">
        <v>3.472222222222222E-3</v>
      </c>
      <c r="S32" s="277" t="s">
        <v>3746</v>
      </c>
      <c r="T32" s="278"/>
      <c r="AD32" s="255"/>
    </row>
    <row r="33" spans="1:31" ht="15" customHeight="1">
      <c r="A33" s="255"/>
      <c r="B33" s="271">
        <v>9</v>
      </c>
      <c r="C33" s="272">
        <v>2</v>
      </c>
      <c r="D33" s="272"/>
      <c r="E33" s="272"/>
      <c r="F33" s="272"/>
      <c r="G33" s="272"/>
      <c r="H33" s="272"/>
      <c r="I33" s="272"/>
      <c r="J33" s="272"/>
      <c r="K33" s="272"/>
      <c r="L33" s="272"/>
      <c r="M33" s="272"/>
      <c r="N33" s="272"/>
      <c r="O33" s="272"/>
      <c r="P33" s="272"/>
      <c r="Q33" s="272"/>
      <c r="R33" s="279">
        <v>3.472222222222222E-3</v>
      </c>
      <c r="S33" s="277" t="s">
        <v>562</v>
      </c>
      <c r="T33" s="278"/>
      <c r="AD33" s="255"/>
    </row>
    <row r="34" spans="1:31" ht="15" customHeight="1">
      <c r="A34" s="255"/>
      <c r="B34" s="271">
        <v>10</v>
      </c>
      <c r="C34" s="272">
        <v>2</v>
      </c>
      <c r="D34" s="272"/>
      <c r="E34" s="272"/>
      <c r="F34" s="272"/>
      <c r="G34" s="272"/>
      <c r="H34" s="272"/>
      <c r="I34" s="272"/>
      <c r="J34" s="272"/>
      <c r="K34" s="272"/>
      <c r="L34" s="272"/>
      <c r="M34" s="272"/>
      <c r="N34" s="272"/>
      <c r="O34" s="272"/>
      <c r="P34" s="272"/>
      <c r="Q34" s="272"/>
      <c r="R34" s="279">
        <v>3.472222222222222E-3</v>
      </c>
      <c r="S34" s="277" t="s">
        <v>562</v>
      </c>
      <c r="T34" s="278"/>
      <c r="AD34" s="255"/>
    </row>
    <row r="35" spans="1:31" ht="15" customHeight="1">
      <c r="A35" s="255"/>
      <c r="B35" s="271">
        <v>11</v>
      </c>
      <c r="C35" s="272">
        <v>2</v>
      </c>
      <c r="D35" s="272"/>
      <c r="E35" s="272"/>
      <c r="F35" s="272"/>
      <c r="G35" s="272"/>
      <c r="H35" s="272"/>
      <c r="I35" s="272"/>
      <c r="J35" s="272"/>
      <c r="K35" s="272"/>
      <c r="L35" s="272"/>
      <c r="M35" s="272"/>
      <c r="N35" s="272"/>
      <c r="O35" s="272"/>
      <c r="P35" s="272"/>
      <c r="Q35" s="272"/>
      <c r="R35" s="279">
        <v>3.472222222222222E-3</v>
      </c>
      <c r="S35" s="277" t="s">
        <v>562</v>
      </c>
      <c r="T35" s="278"/>
      <c r="AD35" s="255"/>
    </row>
    <row r="36" spans="1:31" ht="15" customHeight="1">
      <c r="A36" s="255"/>
      <c r="B36" s="271">
        <v>12</v>
      </c>
      <c r="C36" s="272">
        <v>3</v>
      </c>
      <c r="D36" s="272"/>
      <c r="E36" s="272"/>
      <c r="F36" s="272"/>
      <c r="G36" s="272"/>
      <c r="H36" s="272"/>
      <c r="I36" s="272"/>
      <c r="J36" s="272"/>
      <c r="K36" s="272"/>
      <c r="L36" s="272"/>
      <c r="M36" s="272"/>
      <c r="N36" s="272"/>
      <c r="O36" s="272"/>
      <c r="P36" s="272"/>
      <c r="Q36" s="272"/>
      <c r="R36" s="279">
        <v>3.472222222222222E-3</v>
      </c>
      <c r="S36" s="277" t="s">
        <v>562</v>
      </c>
      <c r="T36" s="278"/>
      <c r="AD36" s="255"/>
    </row>
    <row r="37" spans="1:31" ht="15" customHeight="1">
      <c r="A37" s="255"/>
      <c r="B37" s="271">
        <v>13</v>
      </c>
      <c r="C37" s="272">
        <v>4</v>
      </c>
      <c r="D37" s="272"/>
      <c r="E37" s="272"/>
      <c r="F37" s="272"/>
      <c r="G37" s="272"/>
      <c r="H37" s="272"/>
      <c r="I37" s="272"/>
      <c r="J37" s="272"/>
      <c r="K37" s="272"/>
      <c r="L37" s="272"/>
      <c r="M37" s="272"/>
      <c r="N37" s="272"/>
      <c r="O37" s="272"/>
      <c r="P37" s="272"/>
      <c r="Q37" s="272"/>
      <c r="R37" s="279">
        <v>3.472222222222222E-3</v>
      </c>
      <c r="S37" s="277" t="s">
        <v>562</v>
      </c>
      <c r="T37" s="278"/>
      <c r="AD37" s="255"/>
    </row>
    <row r="38" spans="1:31" ht="15" customHeight="1">
      <c r="A38" s="255"/>
      <c r="B38" s="271">
        <v>14</v>
      </c>
      <c r="C38" s="272">
        <v>4</v>
      </c>
      <c r="D38" s="272"/>
      <c r="E38" s="272"/>
      <c r="F38" s="272"/>
      <c r="G38" s="272"/>
      <c r="H38" s="272"/>
      <c r="I38" s="272"/>
      <c r="J38" s="272"/>
      <c r="K38" s="272"/>
      <c r="L38" s="272"/>
      <c r="M38" s="272"/>
      <c r="N38" s="272"/>
      <c r="O38" s="272"/>
      <c r="P38" s="272"/>
      <c r="Q38" s="272"/>
      <c r="R38" s="279">
        <v>3.472222222222222E-3</v>
      </c>
      <c r="S38" s="277" t="s">
        <v>562</v>
      </c>
      <c r="T38" s="278"/>
      <c r="AD38" s="255"/>
    </row>
    <row r="39" spans="1:31" ht="15" customHeight="1">
      <c r="A39" s="255"/>
      <c r="B39" s="271">
        <v>15</v>
      </c>
      <c r="C39" s="272">
        <v>4</v>
      </c>
      <c r="D39" s="272"/>
      <c r="E39" s="272"/>
      <c r="F39" s="272"/>
      <c r="G39" s="272"/>
      <c r="H39" s="272"/>
      <c r="I39" s="272"/>
      <c r="J39" s="272"/>
      <c r="K39" s="272"/>
      <c r="L39" s="272"/>
      <c r="M39" s="272"/>
      <c r="N39" s="272"/>
      <c r="O39" s="272"/>
      <c r="P39" s="272"/>
      <c r="Q39" s="272"/>
      <c r="R39" s="279">
        <v>3.472222222222222E-3</v>
      </c>
      <c r="S39" s="277" t="s">
        <v>562</v>
      </c>
      <c r="T39" s="278"/>
      <c r="AD39" s="255"/>
    </row>
    <row r="40" spans="1:31" ht="15" customHeight="1">
      <c r="A40" s="255"/>
      <c r="B40" s="271">
        <v>16</v>
      </c>
      <c r="C40" s="272">
        <v>4</v>
      </c>
      <c r="D40" s="272"/>
      <c r="E40" s="272"/>
      <c r="F40" s="272"/>
      <c r="G40" s="272"/>
      <c r="H40" s="272"/>
      <c r="I40" s="272"/>
      <c r="J40" s="272"/>
      <c r="K40" s="272"/>
      <c r="L40" s="272"/>
      <c r="M40" s="272"/>
      <c r="N40" s="272"/>
      <c r="O40" s="272"/>
      <c r="P40" s="272"/>
      <c r="Q40" s="272"/>
      <c r="R40" s="279">
        <v>3.472222222222222E-3</v>
      </c>
      <c r="S40" s="277" t="s">
        <v>562</v>
      </c>
      <c r="T40" s="278"/>
      <c r="AD40" s="255"/>
    </row>
    <row r="41" spans="1:31" ht="15" customHeight="1">
      <c r="A41" s="255"/>
      <c r="B41" s="271">
        <v>17</v>
      </c>
      <c r="C41" s="272">
        <v>4</v>
      </c>
      <c r="D41" s="272"/>
      <c r="E41" s="272"/>
      <c r="F41" s="272"/>
      <c r="G41" s="272"/>
      <c r="H41" s="272"/>
      <c r="I41" s="272"/>
      <c r="J41" s="272"/>
      <c r="K41" s="272"/>
      <c r="L41" s="272"/>
      <c r="M41" s="272"/>
      <c r="N41" s="272"/>
      <c r="O41" s="272"/>
      <c r="P41" s="272"/>
      <c r="Q41" s="272"/>
      <c r="R41" s="279">
        <v>3.472222222222222E-3</v>
      </c>
      <c r="S41" s="277" t="s">
        <v>562</v>
      </c>
      <c r="T41" s="278"/>
      <c r="AD41" s="255"/>
    </row>
    <row r="42" spans="1:31" ht="15" customHeight="1">
      <c r="A42" s="255"/>
      <c r="B42" s="271">
        <v>18</v>
      </c>
      <c r="C42" s="272">
        <v>4</v>
      </c>
      <c r="D42" s="272"/>
      <c r="E42" s="272"/>
      <c r="F42" s="272"/>
      <c r="G42" s="272"/>
      <c r="H42" s="272"/>
      <c r="I42" s="272"/>
      <c r="J42" s="272"/>
      <c r="K42" s="272"/>
      <c r="L42" s="272"/>
      <c r="M42" s="272"/>
      <c r="N42" s="272"/>
      <c r="O42" s="272"/>
      <c r="P42" s="272"/>
      <c r="Q42" s="272"/>
      <c r="R42" s="279">
        <v>3.472222222222222E-3</v>
      </c>
      <c r="S42" s="277" t="s">
        <v>562</v>
      </c>
      <c r="T42" s="278"/>
      <c r="AD42" s="255"/>
    </row>
    <row r="43" spans="1:31" ht="15" customHeight="1">
      <c r="A43" s="255"/>
      <c r="B43" s="271">
        <v>19</v>
      </c>
      <c r="C43" s="272">
        <v>4</v>
      </c>
      <c r="D43" s="272"/>
      <c r="E43" s="272"/>
      <c r="F43" s="272"/>
      <c r="G43" s="272"/>
      <c r="H43" s="272"/>
      <c r="I43" s="272"/>
      <c r="J43" s="272"/>
      <c r="K43" s="272"/>
      <c r="L43" s="272"/>
      <c r="M43" s="272"/>
      <c r="N43" s="272"/>
      <c r="O43" s="272"/>
      <c r="P43" s="272"/>
      <c r="Q43" s="272"/>
      <c r="R43" s="279">
        <v>3.472222222222222E-3</v>
      </c>
      <c r="S43" s="277" t="s">
        <v>562</v>
      </c>
      <c r="T43" s="278"/>
      <c r="AD43" s="255"/>
    </row>
    <row r="44" spans="1:31" ht="15" customHeight="1">
      <c r="A44" s="255"/>
      <c r="B44" s="271">
        <v>20</v>
      </c>
      <c r="C44" s="272">
        <v>4</v>
      </c>
      <c r="D44" s="272"/>
      <c r="E44" s="272"/>
      <c r="F44" s="272"/>
      <c r="G44" s="272"/>
      <c r="H44" s="272"/>
      <c r="I44" s="272"/>
      <c r="J44" s="272"/>
      <c r="K44" s="272"/>
      <c r="L44" s="272"/>
      <c r="M44" s="272"/>
      <c r="N44" s="272"/>
      <c r="O44" s="272"/>
      <c r="P44" s="272"/>
      <c r="Q44" s="272"/>
      <c r="R44" s="279">
        <v>3.472222222222222E-3</v>
      </c>
      <c r="S44" s="277" t="s">
        <v>562</v>
      </c>
      <c r="T44" s="278"/>
      <c r="AD44" s="255"/>
    </row>
    <row r="45" spans="1:31" ht="15" customHeight="1">
      <c r="A45" s="255"/>
      <c r="B45" s="271">
        <v>21</v>
      </c>
      <c r="C45" s="272">
        <v>4</v>
      </c>
      <c r="D45" s="272"/>
      <c r="E45" s="272"/>
      <c r="F45" s="272"/>
      <c r="G45" s="272"/>
      <c r="H45" s="272"/>
      <c r="I45" s="272"/>
      <c r="J45" s="272"/>
      <c r="K45" s="272"/>
      <c r="L45" s="272"/>
      <c r="M45" s="272"/>
      <c r="N45" s="272"/>
      <c r="O45" s="272"/>
      <c r="P45" s="272"/>
      <c r="Q45" s="272"/>
      <c r="R45" s="279">
        <v>3.472222222222222E-3</v>
      </c>
      <c r="S45" s="277" t="s">
        <v>562</v>
      </c>
      <c r="T45" s="278"/>
      <c r="AD45" s="255"/>
    </row>
    <row r="46" spans="1:31" ht="15" customHeight="1" thickBot="1">
      <c r="A46" s="255"/>
      <c r="B46" s="280">
        <v>22</v>
      </c>
      <c r="C46" s="281">
        <v>4</v>
      </c>
      <c r="D46" s="281" t="s">
        <v>563</v>
      </c>
      <c r="E46" s="281" t="s">
        <v>564</v>
      </c>
      <c r="F46" s="281" t="s">
        <v>561</v>
      </c>
      <c r="G46" s="281"/>
      <c r="H46" s="281"/>
      <c r="I46" s="281"/>
      <c r="J46" s="281" t="s">
        <v>565</v>
      </c>
      <c r="K46" s="281"/>
      <c r="L46" s="281"/>
      <c r="M46" s="281"/>
      <c r="N46" s="281"/>
      <c r="O46" s="281"/>
      <c r="P46" s="281"/>
      <c r="Q46" s="281"/>
      <c r="R46" s="282">
        <v>3.472222222222222E-3</v>
      </c>
      <c r="S46" s="283" t="s">
        <v>562</v>
      </c>
      <c r="T46" s="284"/>
      <c r="AD46" s="255"/>
    </row>
    <row r="47" spans="1:31" ht="14.4" thickBot="1">
      <c r="A47" s="255"/>
      <c r="B47" s="256"/>
      <c r="C47" s="256"/>
      <c r="D47" s="256"/>
      <c r="E47" s="256"/>
      <c r="F47" s="256"/>
      <c r="G47" s="256"/>
      <c r="H47" s="256"/>
      <c r="I47" s="256"/>
      <c r="J47" s="256"/>
      <c r="K47" s="256"/>
      <c r="L47" s="256"/>
      <c r="M47" s="256"/>
      <c r="N47" s="256"/>
      <c r="O47" s="256"/>
      <c r="P47" s="256"/>
      <c r="Q47" s="256"/>
      <c r="R47" s="256"/>
      <c r="S47" s="256"/>
      <c r="T47" s="255"/>
      <c r="U47" s="255"/>
      <c r="V47" s="255"/>
      <c r="W47" s="255"/>
      <c r="X47" s="255"/>
      <c r="Y47" s="255"/>
      <c r="Z47" s="255"/>
    </row>
    <row r="48" spans="1:31" ht="28.2" thickBot="1">
      <c r="A48" s="255"/>
      <c r="B48" s="285" t="s">
        <v>546</v>
      </c>
      <c r="C48" s="286" t="s">
        <v>43</v>
      </c>
      <c r="D48" s="286" t="s">
        <v>58</v>
      </c>
      <c r="E48" s="286" t="s">
        <v>384</v>
      </c>
      <c r="F48" s="286" t="s">
        <v>547</v>
      </c>
      <c r="G48" s="286" t="s">
        <v>548</v>
      </c>
      <c r="H48" s="286" t="s">
        <v>549</v>
      </c>
      <c r="I48" s="286" t="s">
        <v>550</v>
      </c>
      <c r="J48" s="286" t="s">
        <v>551</v>
      </c>
      <c r="K48" s="286" t="s">
        <v>552</v>
      </c>
      <c r="L48" s="286" t="s">
        <v>553</v>
      </c>
      <c r="M48" s="286" t="s">
        <v>554</v>
      </c>
      <c r="N48" s="286" t="s">
        <v>555</v>
      </c>
      <c r="O48" s="286" t="s">
        <v>556</v>
      </c>
      <c r="P48" s="286" t="s">
        <v>557</v>
      </c>
      <c r="Q48" s="286" t="s">
        <v>558</v>
      </c>
      <c r="R48" s="286" t="s">
        <v>559</v>
      </c>
      <c r="S48" s="287" t="s">
        <v>560</v>
      </c>
      <c r="T48" s="255"/>
      <c r="U48" s="288"/>
      <c r="V48" s="288"/>
      <c r="W48" s="255"/>
      <c r="X48" s="255"/>
      <c r="Y48" s="255"/>
      <c r="Z48" s="255"/>
      <c r="AA48" s="255"/>
      <c r="AB48" s="255"/>
      <c r="AC48" s="255"/>
      <c r="AD48" s="255"/>
      <c r="AE48" s="255"/>
    </row>
    <row r="49" spans="1:31" ht="14.4" thickBot="1">
      <c r="A49" s="255"/>
      <c r="B49" s="289">
        <f t="shared" ref="B49:S49" si="0">INDEX(B$25:B$46,xxPopupWobblerCurrent)</f>
        <v>6</v>
      </c>
      <c r="C49" s="290">
        <f t="shared" si="0"/>
        <v>1</v>
      </c>
      <c r="D49" s="290" t="str">
        <f t="shared" si="0"/>
        <v>Executive Sponsor Change of Heart</v>
      </c>
      <c r="E49" s="290" t="str">
        <f t="shared" si="0"/>
        <v>Despite the support of the initial integration plan, CLOUD’s CEO has decided after close that the integration plan needs to include an expedited Lead-to-Cash integration. The CEO’s desire to double ACV expectations by fully integrating Snowflake into the AE product portfolio will be hard to manage, especially given recent discovery, budget challenges, and other execution hiccups. Revisit your Lead-to-Cash timeline; does it align with the CEO’s evolving integration strategy?</v>
      </c>
      <c r="F49" s="290" t="str">
        <f t="shared" si="0"/>
        <v>Please select to continue</v>
      </c>
      <c r="G49" s="290">
        <f t="shared" si="0"/>
        <v>0</v>
      </c>
      <c r="H49" s="290">
        <f t="shared" si="0"/>
        <v>0</v>
      </c>
      <c r="I49" s="290">
        <f t="shared" si="0"/>
        <v>0</v>
      </c>
      <c r="J49" s="290" t="str">
        <f t="shared" si="0"/>
        <v>Please check on the Execution tab to see what was impacted.</v>
      </c>
      <c r="K49" s="290">
        <f t="shared" si="0"/>
        <v>0</v>
      </c>
      <c r="L49" s="290">
        <f t="shared" si="0"/>
        <v>0</v>
      </c>
      <c r="M49" s="290">
        <f t="shared" si="0"/>
        <v>0</v>
      </c>
      <c r="N49" s="290">
        <f t="shared" si="0"/>
        <v>0</v>
      </c>
      <c r="O49" s="290">
        <f t="shared" si="0"/>
        <v>0</v>
      </c>
      <c r="P49" s="290">
        <f t="shared" si="0"/>
        <v>0</v>
      </c>
      <c r="Q49" s="290">
        <f t="shared" si="0"/>
        <v>0</v>
      </c>
      <c r="R49" s="291">
        <f t="shared" si="0"/>
        <v>3.472222222222222E-3</v>
      </c>
      <c r="S49" s="292" t="str">
        <f t="shared" si="0"/>
        <v>tlInputWobbler6</v>
      </c>
      <c r="T49" s="255"/>
      <c r="U49" s="293"/>
      <c r="V49" s="293"/>
      <c r="W49" s="255"/>
      <c r="X49" s="255"/>
      <c r="Y49" s="255"/>
      <c r="Z49" s="255"/>
      <c r="AA49" s="255"/>
      <c r="AB49" s="255"/>
      <c r="AC49" s="255"/>
      <c r="AD49" s="255"/>
      <c r="AE49" s="255"/>
    </row>
    <row r="50" spans="1:31" ht="13.8">
      <c r="A50" s="255"/>
      <c r="B50" s="256"/>
      <c r="C50" s="256"/>
      <c r="D50" s="256" t="s">
        <v>566</v>
      </c>
      <c r="E50" s="256" t="s">
        <v>567</v>
      </c>
      <c r="F50" s="256" t="s">
        <v>568</v>
      </c>
      <c r="G50" s="256" t="s">
        <v>569</v>
      </c>
      <c r="H50" s="256" t="s">
        <v>570</v>
      </c>
      <c r="I50" s="256" t="s">
        <v>571</v>
      </c>
      <c r="J50" s="256" t="s">
        <v>572</v>
      </c>
      <c r="K50" s="256" t="s">
        <v>573</v>
      </c>
      <c r="L50" s="256" t="s">
        <v>574</v>
      </c>
      <c r="M50" s="256" t="s">
        <v>575</v>
      </c>
      <c r="N50" s="256" t="s">
        <v>576</v>
      </c>
      <c r="O50" s="256" t="s">
        <v>577</v>
      </c>
      <c r="P50" s="256" t="s">
        <v>578</v>
      </c>
      <c r="Q50" s="256" t="s">
        <v>579</v>
      </c>
      <c r="R50" s="256" t="s">
        <v>580</v>
      </c>
      <c r="S50" s="256" t="s">
        <v>581</v>
      </c>
      <c r="T50" s="255"/>
      <c r="U50" s="294"/>
      <c r="V50" s="255"/>
      <c r="W50" s="255"/>
      <c r="X50" s="255"/>
      <c r="Y50" s="255"/>
      <c r="Z50" s="255"/>
    </row>
    <row r="51" spans="1:31" s="242" customFormat="1" ht="13.8">
      <c r="E51" s="250"/>
      <c r="I51" s="250"/>
    </row>
    <row r="52" spans="1:31" s="23" customFormat="1" ht="21" customHeight="1">
      <c r="B52" s="251" t="s">
        <v>120</v>
      </c>
      <c r="E52" s="24"/>
      <c r="F52" s="24"/>
      <c r="G52" s="24"/>
      <c r="H52" s="24"/>
      <c r="I52" s="24"/>
    </row>
    <row r="53" spans="1:31" s="242" customFormat="1" ht="12" customHeight="1">
      <c r="B53" s="65"/>
      <c r="D53" s="295"/>
    </row>
    <row r="54" spans="1:31" s="23" customFormat="1" ht="13.8">
      <c r="B54" s="241" t="s">
        <v>582</v>
      </c>
      <c r="E54" s="24"/>
      <c r="F54" s="24"/>
      <c r="G54" s="24"/>
      <c r="H54" s="24"/>
      <c r="I54" s="24"/>
    </row>
    <row r="55" spans="1:31" s="242" customFormat="1" ht="12.75" customHeight="1">
      <c r="B55" s="295" t="s">
        <v>583</v>
      </c>
    </row>
    <row r="57" spans="1:31" ht="13.8">
      <c r="C57" s="296" t="s">
        <v>582</v>
      </c>
    </row>
    <row r="58" spans="1:31" ht="13.8">
      <c r="C58" s="297" t="str">
        <f t="shared" ref="C58:C121" si="1">INDEX($E$177:$E$264,MATCH(D177,$F$177:$F$264,0))</f>
        <v>1A</v>
      </c>
    </row>
    <row r="59" spans="1:31" ht="13.8">
      <c r="C59" s="297" t="str">
        <f t="shared" si="1"/>
        <v>2A</v>
      </c>
    </row>
    <row r="60" spans="1:31" ht="13.8">
      <c r="C60" s="297" t="str">
        <f t="shared" si="1"/>
        <v>3A</v>
      </c>
    </row>
    <row r="61" spans="1:31" ht="13.8">
      <c r="C61" s="297" t="str">
        <f t="shared" si="1"/>
        <v>4A</v>
      </c>
    </row>
    <row r="62" spans="1:31" ht="13.8">
      <c r="C62" s="297" t="str">
        <f t="shared" si="1"/>
        <v>5A</v>
      </c>
    </row>
    <row r="63" spans="1:31" ht="13.8">
      <c r="C63" s="297" t="str">
        <f t="shared" si="1"/>
        <v>6A</v>
      </c>
    </row>
    <row r="64" spans="1:31" ht="13.8">
      <c r="C64" s="297" t="str">
        <f t="shared" si="1"/>
        <v>7A</v>
      </c>
    </row>
    <row r="65" spans="3:3" ht="13.8">
      <c r="C65" s="297" t="str">
        <f t="shared" si="1"/>
        <v>8A</v>
      </c>
    </row>
    <row r="66" spans="3:3" ht="13.8">
      <c r="C66" s="297" t="str">
        <f t="shared" si="1"/>
        <v>22A</v>
      </c>
    </row>
    <row r="67" spans="3:3" ht="13.8">
      <c r="C67" s="297" t="e">
        <f t="shared" si="1"/>
        <v>#N/A</v>
      </c>
    </row>
    <row r="68" spans="3:3" ht="13.8">
      <c r="C68" s="297" t="e">
        <f t="shared" si="1"/>
        <v>#N/A</v>
      </c>
    </row>
    <row r="69" spans="3:3" ht="13.8">
      <c r="C69" s="297" t="e">
        <f t="shared" si="1"/>
        <v>#N/A</v>
      </c>
    </row>
    <row r="70" spans="3:3" ht="13.8">
      <c r="C70" s="297" t="e">
        <f t="shared" si="1"/>
        <v>#N/A</v>
      </c>
    </row>
    <row r="71" spans="3:3" ht="13.8">
      <c r="C71" s="297" t="e">
        <f t="shared" si="1"/>
        <v>#N/A</v>
      </c>
    </row>
    <row r="72" spans="3:3" ht="13.8">
      <c r="C72" s="297" t="e">
        <f t="shared" si="1"/>
        <v>#N/A</v>
      </c>
    </row>
    <row r="73" spans="3:3" ht="13.8">
      <c r="C73" s="297" t="e">
        <f t="shared" si="1"/>
        <v>#N/A</v>
      </c>
    </row>
    <row r="74" spans="3:3" ht="13.8">
      <c r="C74" s="297" t="e">
        <f t="shared" si="1"/>
        <v>#N/A</v>
      </c>
    </row>
    <row r="75" spans="3:3" ht="13.8">
      <c r="C75" s="297" t="e">
        <f t="shared" si="1"/>
        <v>#N/A</v>
      </c>
    </row>
    <row r="76" spans="3:3" ht="13.8">
      <c r="C76" s="297" t="e">
        <f t="shared" si="1"/>
        <v>#N/A</v>
      </c>
    </row>
    <row r="77" spans="3:3" ht="13.8">
      <c r="C77" s="297" t="e">
        <f t="shared" si="1"/>
        <v>#N/A</v>
      </c>
    </row>
    <row r="78" spans="3:3" ht="13.8">
      <c r="C78" s="297" t="e">
        <f t="shared" si="1"/>
        <v>#N/A</v>
      </c>
    </row>
    <row r="79" spans="3:3" ht="13.8">
      <c r="C79" s="297" t="e">
        <f t="shared" si="1"/>
        <v>#N/A</v>
      </c>
    </row>
    <row r="80" spans="3:3" ht="13.8">
      <c r="C80" s="297" t="e">
        <f t="shared" si="1"/>
        <v>#N/A</v>
      </c>
    </row>
    <row r="81" spans="3:3" ht="13.8">
      <c r="C81" s="297" t="e">
        <f t="shared" si="1"/>
        <v>#N/A</v>
      </c>
    </row>
    <row r="82" spans="3:3" ht="13.8">
      <c r="C82" s="297" t="e">
        <f t="shared" si="1"/>
        <v>#N/A</v>
      </c>
    </row>
    <row r="83" spans="3:3" ht="13.8">
      <c r="C83" s="297" t="e">
        <f t="shared" si="1"/>
        <v>#N/A</v>
      </c>
    </row>
    <row r="84" spans="3:3" ht="13.8">
      <c r="C84" s="297" t="e">
        <f t="shared" si="1"/>
        <v>#N/A</v>
      </c>
    </row>
    <row r="85" spans="3:3" ht="13.8">
      <c r="C85" s="297" t="e">
        <f t="shared" si="1"/>
        <v>#N/A</v>
      </c>
    </row>
    <row r="86" spans="3:3" ht="13.8">
      <c r="C86" s="297" t="e">
        <f t="shared" si="1"/>
        <v>#N/A</v>
      </c>
    </row>
    <row r="87" spans="3:3" ht="13.8">
      <c r="C87" s="297" t="e">
        <f t="shared" si="1"/>
        <v>#N/A</v>
      </c>
    </row>
    <row r="88" spans="3:3" ht="13.8">
      <c r="C88" s="297" t="e">
        <f t="shared" si="1"/>
        <v>#N/A</v>
      </c>
    </row>
    <row r="89" spans="3:3" ht="13.8">
      <c r="C89" s="297" t="e">
        <f t="shared" si="1"/>
        <v>#N/A</v>
      </c>
    </row>
    <row r="90" spans="3:3" ht="13.8">
      <c r="C90" s="297" t="e">
        <f t="shared" si="1"/>
        <v>#N/A</v>
      </c>
    </row>
    <row r="91" spans="3:3" ht="13.8">
      <c r="C91" s="297" t="e">
        <f t="shared" si="1"/>
        <v>#N/A</v>
      </c>
    </row>
    <row r="92" spans="3:3" ht="13.8">
      <c r="C92" s="297" t="e">
        <f t="shared" si="1"/>
        <v>#N/A</v>
      </c>
    </row>
    <row r="93" spans="3:3" ht="13.8">
      <c r="C93" s="297" t="e">
        <f t="shared" si="1"/>
        <v>#N/A</v>
      </c>
    </row>
    <row r="94" spans="3:3" ht="13.8">
      <c r="C94" s="297" t="e">
        <f t="shared" si="1"/>
        <v>#N/A</v>
      </c>
    </row>
    <row r="95" spans="3:3" ht="13.8">
      <c r="C95" s="297" t="e">
        <f t="shared" si="1"/>
        <v>#N/A</v>
      </c>
    </row>
    <row r="96" spans="3:3" ht="13.8">
      <c r="C96" s="297" t="e">
        <f t="shared" si="1"/>
        <v>#N/A</v>
      </c>
    </row>
    <row r="97" spans="3:3" ht="13.8">
      <c r="C97" s="297" t="e">
        <f t="shared" si="1"/>
        <v>#N/A</v>
      </c>
    </row>
    <row r="98" spans="3:3" ht="13.8">
      <c r="C98" s="297" t="e">
        <f t="shared" si="1"/>
        <v>#N/A</v>
      </c>
    </row>
    <row r="99" spans="3:3" ht="13.8">
      <c r="C99" s="297" t="e">
        <f t="shared" si="1"/>
        <v>#N/A</v>
      </c>
    </row>
    <row r="100" spans="3:3" ht="13.8">
      <c r="C100" s="297" t="e">
        <f t="shared" si="1"/>
        <v>#N/A</v>
      </c>
    </row>
    <row r="101" spans="3:3" ht="13.8">
      <c r="C101" s="297" t="e">
        <f t="shared" si="1"/>
        <v>#N/A</v>
      </c>
    </row>
    <row r="102" spans="3:3" ht="13.8">
      <c r="C102" s="297" t="e">
        <f t="shared" si="1"/>
        <v>#N/A</v>
      </c>
    </row>
    <row r="103" spans="3:3" ht="13.8">
      <c r="C103" s="297" t="e">
        <f t="shared" si="1"/>
        <v>#N/A</v>
      </c>
    </row>
    <row r="104" spans="3:3" ht="13.8">
      <c r="C104" s="297" t="e">
        <f t="shared" si="1"/>
        <v>#N/A</v>
      </c>
    </row>
    <row r="105" spans="3:3" ht="13.8">
      <c r="C105" s="297" t="e">
        <f t="shared" si="1"/>
        <v>#N/A</v>
      </c>
    </row>
    <row r="106" spans="3:3" ht="13.8">
      <c r="C106" s="297" t="e">
        <f t="shared" si="1"/>
        <v>#N/A</v>
      </c>
    </row>
    <row r="107" spans="3:3" ht="13.8">
      <c r="C107" s="297" t="e">
        <f t="shared" si="1"/>
        <v>#N/A</v>
      </c>
    </row>
    <row r="108" spans="3:3" ht="13.8">
      <c r="C108" s="297" t="e">
        <f t="shared" si="1"/>
        <v>#N/A</v>
      </c>
    </row>
    <row r="109" spans="3:3" ht="13.8">
      <c r="C109" s="297" t="e">
        <f t="shared" si="1"/>
        <v>#N/A</v>
      </c>
    </row>
    <row r="110" spans="3:3" ht="13.8">
      <c r="C110" s="297" t="e">
        <f t="shared" si="1"/>
        <v>#N/A</v>
      </c>
    </row>
    <row r="111" spans="3:3" ht="13.8">
      <c r="C111" s="297" t="e">
        <f t="shared" si="1"/>
        <v>#N/A</v>
      </c>
    </row>
    <row r="112" spans="3:3" ht="13.8">
      <c r="C112" s="297" t="e">
        <f t="shared" si="1"/>
        <v>#N/A</v>
      </c>
    </row>
    <row r="113" spans="3:3" ht="13.8">
      <c r="C113" s="297" t="e">
        <f t="shared" si="1"/>
        <v>#N/A</v>
      </c>
    </row>
    <row r="114" spans="3:3" ht="13.8">
      <c r="C114" s="297" t="e">
        <f t="shared" si="1"/>
        <v>#N/A</v>
      </c>
    </row>
    <row r="115" spans="3:3" ht="13.8">
      <c r="C115" s="297" t="e">
        <f t="shared" si="1"/>
        <v>#N/A</v>
      </c>
    </row>
    <row r="116" spans="3:3" ht="13.8">
      <c r="C116" s="297" t="e">
        <f t="shared" si="1"/>
        <v>#N/A</v>
      </c>
    </row>
    <row r="117" spans="3:3" ht="13.8">
      <c r="C117" s="297" t="e">
        <f t="shared" si="1"/>
        <v>#N/A</v>
      </c>
    </row>
    <row r="118" spans="3:3" ht="13.8">
      <c r="C118" s="297" t="e">
        <f t="shared" si="1"/>
        <v>#N/A</v>
      </c>
    </row>
    <row r="119" spans="3:3" ht="13.8">
      <c r="C119" s="297" t="e">
        <f t="shared" si="1"/>
        <v>#N/A</v>
      </c>
    </row>
    <row r="120" spans="3:3" ht="13.8">
      <c r="C120" s="297" t="e">
        <f t="shared" si="1"/>
        <v>#N/A</v>
      </c>
    </row>
    <row r="121" spans="3:3" ht="13.8">
      <c r="C121" s="297" t="e">
        <f t="shared" si="1"/>
        <v>#N/A</v>
      </c>
    </row>
    <row r="122" spans="3:3" ht="13.8">
      <c r="C122" s="297" t="e">
        <f t="shared" ref="C122:C145" si="2">INDEX($E$177:$E$264,MATCH(D241,$F$177:$F$264,0))</f>
        <v>#N/A</v>
      </c>
    </row>
    <row r="123" spans="3:3" ht="13.8">
      <c r="C123" s="297" t="e">
        <f t="shared" si="2"/>
        <v>#N/A</v>
      </c>
    </row>
    <row r="124" spans="3:3" ht="13.8">
      <c r="C124" s="297" t="e">
        <f t="shared" si="2"/>
        <v>#N/A</v>
      </c>
    </row>
    <row r="125" spans="3:3" ht="13.8">
      <c r="C125" s="297" t="e">
        <f t="shared" si="2"/>
        <v>#N/A</v>
      </c>
    </row>
    <row r="126" spans="3:3" ht="13.8">
      <c r="C126" s="297" t="e">
        <f t="shared" si="2"/>
        <v>#N/A</v>
      </c>
    </row>
    <row r="127" spans="3:3" ht="13.8">
      <c r="C127" s="297" t="e">
        <f t="shared" si="2"/>
        <v>#N/A</v>
      </c>
    </row>
    <row r="128" spans="3:3" ht="13.8">
      <c r="C128" s="297" t="e">
        <f t="shared" si="2"/>
        <v>#N/A</v>
      </c>
    </row>
    <row r="129" spans="3:3" ht="13.8">
      <c r="C129" s="297" t="e">
        <f t="shared" si="2"/>
        <v>#N/A</v>
      </c>
    </row>
    <row r="130" spans="3:3" ht="13.8">
      <c r="C130" s="297" t="e">
        <f t="shared" si="2"/>
        <v>#N/A</v>
      </c>
    </row>
    <row r="131" spans="3:3" ht="13.8">
      <c r="C131" s="297" t="e">
        <f t="shared" si="2"/>
        <v>#N/A</v>
      </c>
    </row>
    <row r="132" spans="3:3" ht="13.8">
      <c r="C132" s="297" t="e">
        <f t="shared" si="2"/>
        <v>#N/A</v>
      </c>
    </row>
    <row r="133" spans="3:3" ht="13.8">
      <c r="C133" s="297" t="e">
        <f t="shared" si="2"/>
        <v>#N/A</v>
      </c>
    </row>
    <row r="134" spans="3:3" ht="13.8">
      <c r="C134" s="297" t="e">
        <f t="shared" si="2"/>
        <v>#N/A</v>
      </c>
    </row>
    <row r="135" spans="3:3" ht="13.8">
      <c r="C135" s="297" t="e">
        <f t="shared" si="2"/>
        <v>#N/A</v>
      </c>
    </row>
    <row r="136" spans="3:3" ht="13.8">
      <c r="C136" s="297" t="e">
        <f t="shared" si="2"/>
        <v>#N/A</v>
      </c>
    </row>
    <row r="137" spans="3:3" ht="13.8">
      <c r="C137" s="297" t="e">
        <f t="shared" si="2"/>
        <v>#N/A</v>
      </c>
    </row>
    <row r="138" spans="3:3" ht="13.8">
      <c r="C138" s="297" t="e">
        <f t="shared" si="2"/>
        <v>#N/A</v>
      </c>
    </row>
    <row r="139" spans="3:3" ht="13.8">
      <c r="C139" s="297" t="e">
        <f t="shared" si="2"/>
        <v>#N/A</v>
      </c>
    </row>
    <row r="140" spans="3:3" ht="13.8">
      <c r="C140" s="297" t="e">
        <f t="shared" si="2"/>
        <v>#N/A</v>
      </c>
    </row>
    <row r="141" spans="3:3" ht="13.8">
      <c r="C141" s="297" t="e">
        <f t="shared" si="2"/>
        <v>#N/A</v>
      </c>
    </row>
    <row r="142" spans="3:3" ht="13.8">
      <c r="C142" s="297" t="e">
        <f t="shared" si="2"/>
        <v>#N/A</v>
      </c>
    </row>
    <row r="143" spans="3:3" ht="13.8">
      <c r="C143" s="297" t="e">
        <f t="shared" si="2"/>
        <v>#N/A</v>
      </c>
    </row>
    <row r="144" spans="3:3" ht="13.8">
      <c r="C144" s="297" t="e">
        <f t="shared" si="2"/>
        <v>#N/A</v>
      </c>
    </row>
    <row r="145" spans="2:9" ht="13.8">
      <c r="C145" s="297" t="e">
        <f t="shared" si="2"/>
        <v>#N/A</v>
      </c>
    </row>
    <row r="147" spans="2:9" s="23" customFormat="1" ht="21" customHeight="1">
      <c r="B147" s="251" t="s">
        <v>142</v>
      </c>
      <c r="E147" s="24"/>
      <c r="F147" s="24"/>
      <c r="G147" s="24"/>
      <c r="H147" s="24"/>
      <c r="I147" s="24"/>
    </row>
    <row r="148" spans="2:9" s="242" customFormat="1" ht="12.75" customHeight="1"/>
    <row r="149" spans="2:9" s="23" customFormat="1" ht="13.8">
      <c r="B149" s="241" t="s">
        <v>584</v>
      </c>
      <c r="E149" s="24"/>
      <c r="F149" s="24"/>
      <c r="G149" s="24"/>
      <c r="H149" s="24"/>
      <c r="I149" s="24"/>
    </row>
    <row r="150" spans="2:9" s="242" customFormat="1" ht="12.75" customHeight="1"/>
    <row r="151" spans="2:9" s="242" customFormat="1" ht="12.75" customHeight="1">
      <c r="E151" s="298" t="s">
        <v>284</v>
      </c>
      <c r="F151" s="298" t="s">
        <v>585</v>
      </c>
      <c r="G151" s="298" t="s">
        <v>586</v>
      </c>
      <c r="H151" s="298" t="s">
        <v>587</v>
      </c>
    </row>
    <row r="152" spans="2:9" s="242" customFormat="1" ht="12.75" customHeight="1">
      <c r="D152" s="299">
        <v>1</v>
      </c>
      <c r="E152" s="300" t="str">
        <f t="shared" ref="E152:H173" si="3">IF(F25&lt;&gt;"",$D152&amp;E$151)</f>
        <v>1A</v>
      </c>
      <c r="F152" s="301" t="b">
        <f t="shared" si="3"/>
        <v>0</v>
      </c>
      <c r="G152" s="301" t="b">
        <f t="shared" si="3"/>
        <v>0</v>
      </c>
      <c r="H152" s="302" t="b">
        <f t="shared" si="3"/>
        <v>0</v>
      </c>
    </row>
    <row r="153" spans="2:9" s="242" customFormat="1" ht="12.75" customHeight="1">
      <c r="D153" s="299">
        <v>2</v>
      </c>
      <c r="E153" s="303" t="str">
        <f t="shared" si="3"/>
        <v>2A</v>
      </c>
      <c r="F153" s="304" t="b">
        <f t="shared" si="3"/>
        <v>0</v>
      </c>
      <c r="G153" s="304" t="b">
        <f t="shared" si="3"/>
        <v>0</v>
      </c>
      <c r="H153" s="305" t="b">
        <f t="shared" si="3"/>
        <v>0</v>
      </c>
    </row>
    <row r="154" spans="2:9" s="242" customFormat="1" ht="12.75" customHeight="1">
      <c r="D154" s="299">
        <v>3</v>
      </c>
      <c r="E154" s="303" t="str">
        <f t="shared" si="3"/>
        <v>3A</v>
      </c>
      <c r="F154" s="304" t="b">
        <f t="shared" si="3"/>
        <v>0</v>
      </c>
      <c r="G154" s="304" t="b">
        <f t="shared" si="3"/>
        <v>0</v>
      </c>
      <c r="H154" s="305" t="b">
        <f t="shared" si="3"/>
        <v>0</v>
      </c>
    </row>
    <row r="155" spans="2:9" s="242" customFormat="1" ht="12.75" customHeight="1">
      <c r="D155" s="299">
        <v>4</v>
      </c>
      <c r="E155" s="303" t="str">
        <f t="shared" si="3"/>
        <v>4A</v>
      </c>
      <c r="F155" s="304" t="b">
        <f t="shared" si="3"/>
        <v>0</v>
      </c>
      <c r="G155" s="304" t="b">
        <f t="shared" si="3"/>
        <v>0</v>
      </c>
      <c r="H155" s="305" t="b">
        <f t="shared" si="3"/>
        <v>0</v>
      </c>
    </row>
    <row r="156" spans="2:9" s="242" customFormat="1" ht="12.75" customHeight="1">
      <c r="D156" s="299">
        <v>5</v>
      </c>
      <c r="E156" s="303" t="str">
        <f t="shared" si="3"/>
        <v>5A</v>
      </c>
      <c r="F156" s="304" t="b">
        <f t="shared" si="3"/>
        <v>0</v>
      </c>
      <c r="G156" s="304" t="b">
        <f t="shared" si="3"/>
        <v>0</v>
      </c>
      <c r="H156" s="305" t="b">
        <f t="shared" si="3"/>
        <v>0</v>
      </c>
    </row>
    <row r="157" spans="2:9" s="242" customFormat="1" ht="12.75" customHeight="1">
      <c r="D157" s="299">
        <v>6</v>
      </c>
      <c r="E157" s="303" t="str">
        <f t="shared" si="3"/>
        <v>6A</v>
      </c>
      <c r="F157" s="304" t="b">
        <f t="shared" si="3"/>
        <v>0</v>
      </c>
      <c r="G157" s="304" t="b">
        <f t="shared" si="3"/>
        <v>0</v>
      </c>
      <c r="H157" s="305" t="b">
        <f t="shared" si="3"/>
        <v>0</v>
      </c>
    </row>
    <row r="158" spans="2:9" s="242" customFormat="1" ht="12.75" customHeight="1">
      <c r="D158" s="299">
        <v>7</v>
      </c>
      <c r="E158" s="303" t="str">
        <f t="shared" si="3"/>
        <v>7A</v>
      </c>
      <c r="F158" s="304" t="b">
        <f t="shared" si="3"/>
        <v>0</v>
      </c>
      <c r="G158" s="304" t="b">
        <f t="shared" si="3"/>
        <v>0</v>
      </c>
      <c r="H158" s="305" t="b">
        <f t="shared" si="3"/>
        <v>0</v>
      </c>
    </row>
    <row r="159" spans="2:9" s="242" customFormat="1" ht="12.75" customHeight="1">
      <c r="D159" s="299">
        <v>8</v>
      </c>
      <c r="E159" s="303" t="str">
        <f t="shared" si="3"/>
        <v>8A</v>
      </c>
      <c r="F159" s="304" t="b">
        <f t="shared" si="3"/>
        <v>0</v>
      </c>
      <c r="G159" s="304" t="b">
        <f t="shared" si="3"/>
        <v>0</v>
      </c>
      <c r="H159" s="305" t="b">
        <f t="shared" si="3"/>
        <v>0</v>
      </c>
    </row>
    <row r="160" spans="2:9" s="242" customFormat="1" ht="12.75" customHeight="1">
      <c r="D160" s="299">
        <v>9</v>
      </c>
      <c r="E160" s="303" t="b">
        <f t="shared" si="3"/>
        <v>0</v>
      </c>
      <c r="F160" s="304" t="b">
        <f t="shared" si="3"/>
        <v>0</v>
      </c>
      <c r="G160" s="304" t="b">
        <f t="shared" si="3"/>
        <v>0</v>
      </c>
      <c r="H160" s="305" t="b">
        <f t="shared" si="3"/>
        <v>0</v>
      </c>
    </row>
    <row r="161" spans="4:8" s="242" customFormat="1" ht="12.75" customHeight="1">
      <c r="D161" s="299">
        <v>10</v>
      </c>
      <c r="E161" s="303" t="b">
        <f t="shared" si="3"/>
        <v>0</v>
      </c>
      <c r="F161" s="304" t="b">
        <f t="shared" si="3"/>
        <v>0</v>
      </c>
      <c r="G161" s="304" t="b">
        <f t="shared" si="3"/>
        <v>0</v>
      </c>
      <c r="H161" s="305" t="b">
        <f t="shared" si="3"/>
        <v>0</v>
      </c>
    </row>
    <row r="162" spans="4:8" s="242" customFormat="1" ht="12.75" customHeight="1">
      <c r="D162" s="299">
        <v>11</v>
      </c>
      <c r="E162" s="303" t="b">
        <f t="shared" si="3"/>
        <v>0</v>
      </c>
      <c r="F162" s="304" t="b">
        <f t="shared" si="3"/>
        <v>0</v>
      </c>
      <c r="G162" s="304" t="b">
        <f t="shared" si="3"/>
        <v>0</v>
      </c>
      <c r="H162" s="305" t="b">
        <f t="shared" si="3"/>
        <v>0</v>
      </c>
    </row>
    <row r="163" spans="4:8" s="242" customFormat="1" ht="12.75" customHeight="1">
      <c r="D163" s="299">
        <v>12</v>
      </c>
      <c r="E163" s="303" t="b">
        <f t="shared" si="3"/>
        <v>0</v>
      </c>
      <c r="F163" s="304" t="b">
        <f t="shared" si="3"/>
        <v>0</v>
      </c>
      <c r="G163" s="304" t="b">
        <f t="shared" si="3"/>
        <v>0</v>
      </c>
      <c r="H163" s="305" t="b">
        <f t="shared" si="3"/>
        <v>0</v>
      </c>
    </row>
    <row r="164" spans="4:8" s="242" customFormat="1" ht="12.75" customHeight="1">
      <c r="D164" s="299">
        <v>13</v>
      </c>
      <c r="E164" s="303" t="b">
        <f t="shared" si="3"/>
        <v>0</v>
      </c>
      <c r="F164" s="304" t="b">
        <f t="shared" si="3"/>
        <v>0</v>
      </c>
      <c r="G164" s="304" t="b">
        <f t="shared" si="3"/>
        <v>0</v>
      </c>
      <c r="H164" s="305" t="b">
        <f t="shared" si="3"/>
        <v>0</v>
      </c>
    </row>
    <row r="165" spans="4:8" s="242" customFormat="1" ht="12.75" customHeight="1">
      <c r="D165" s="299">
        <v>14</v>
      </c>
      <c r="E165" s="303" t="b">
        <f t="shared" si="3"/>
        <v>0</v>
      </c>
      <c r="F165" s="304" t="b">
        <f t="shared" si="3"/>
        <v>0</v>
      </c>
      <c r="G165" s="304" t="b">
        <f t="shared" si="3"/>
        <v>0</v>
      </c>
      <c r="H165" s="305" t="b">
        <f t="shared" si="3"/>
        <v>0</v>
      </c>
    </row>
    <row r="166" spans="4:8" s="242" customFormat="1" ht="12.75" customHeight="1">
      <c r="D166" s="299">
        <v>15</v>
      </c>
      <c r="E166" s="303" t="b">
        <f t="shared" si="3"/>
        <v>0</v>
      </c>
      <c r="F166" s="304" t="b">
        <f t="shared" si="3"/>
        <v>0</v>
      </c>
      <c r="G166" s="304" t="b">
        <f t="shared" si="3"/>
        <v>0</v>
      </c>
      <c r="H166" s="305" t="b">
        <f t="shared" si="3"/>
        <v>0</v>
      </c>
    </row>
    <row r="167" spans="4:8" s="242" customFormat="1" ht="12.75" customHeight="1">
      <c r="D167" s="299">
        <v>16</v>
      </c>
      <c r="E167" s="303" t="b">
        <f t="shared" si="3"/>
        <v>0</v>
      </c>
      <c r="F167" s="304" t="b">
        <f t="shared" si="3"/>
        <v>0</v>
      </c>
      <c r="G167" s="304" t="b">
        <f t="shared" si="3"/>
        <v>0</v>
      </c>
      <c r="H167" s="305" t="b">
        <f t="shared" si="3"/>
        <v>0</v>
      </c>
    </row>
    <row r="168" spans="4:8" s="242" customFormat="1" ht="12.75" customHeight="1">
      <c r="D168" s="299">
        <v>17</v>
      </c>
      <c r="E168" s="303" t="b">
        <f t="shared" si="3"/>
        <v>0</v>
      </c>
      <c r="F168" s="304" t="b">
        <f t="shared" si="3"/>
        <v>0</v>
      </c>
      <c r="G168" s="304" t="b">
        <f t="shared" si="3"/>
        <v>0</v>
      </c>
      <c r="H168" s="305" t="b">
        <f t="shared" si="3"/>
        <v>0</v>
      </c>
    </row>
    <row r="169" spans="4:8" s="242" customFormat="1" ht="12.75" customHeight="1">
      <c r="D169" s="299">
        <v>18</v>
      </c>
      <c r="E169" s="303" t="b">
        <f t="shared" si="3"/>
        <v>0</v>
      </c>
      <c r="F169" s="304" t="b">
        <f t="shared" si="3"/>
        <v>0</v>
      </c>
      <c r="G169" s="304" t="b">
        <f t="shared" si="3"/>
        <v>0</v>
      </c>
      <c r="H169" s="305" t="b">
        <f t="shared" si="3"/>
        <v>0</v>
      </c>
    </row>
    <row r="170" spans="4:8" s="242" customFormat="1" ht="12.75" customHeight="1">
      <c r="D170" s="299">
        <v>19</v>
      </c>
      <c r="E170" s="303" t="b">
        <f t="shared" si="3"/>
        <v>0</v>
      </c>
      <c r="F170" s="304" t="b">
        <f t="shared" si="3"/>
        <v>0</v>
      </c>
      <c r="G170" s="304" t="b">
        <f t="shared" si="3"/>
        <v>0</v>
      </c>
      <c r="H170" s="305" t="b">
        <f t="shared" si="3"/>
        <v>0</v>
      </c>
    </row>
    <row r="171" spans="4:8" s="242" customFormat="1" ht="12.75" customHeight="1">
      <c r="D171" s="299">
        <v>20</v>
      </c>
      <c r="E171" s="303" t="b">
        <f t="shared" si="3"/>
        <v>0</v>
      </c>
      <c r="F171" s="304" t="b">
        <f t="shared" si="3"/>
        <v>0</v>
      </c>
      <c r="G171" s="304" t="b">
        <f t="shared" si="3"/>
        <v>0</v>
      </c>
      <c r="H171" s="305" t="b">
        <f t="shared" si="3"/>
        <v>0</v>
      </c>
    </row>
    <row r="172" spans="4:8" s="242" customFormat="1" ht="12.75" customHeight="1">
      <c r="D172" s="299">
        <v>21</v>
      </c>
      <c r="E172" s="303" t="b">
        <f t="shared" si="3"/>
        <v>0</v>
      </c>
      <c r="F172" s="304" t="b">
        <f t="shared" si="3"/>
        <v>0</v>
      </c>
      <c r="G172" s="304" t="b">
        <f t="shared" si="3"/>
        <v>0</v>
      </c>
      <c r="H172" s="305" t="b">
        <f t="shared" si="3"/>
        <v>0</v>
      </c>
    </row>
    <row r="173" spans="4:8" s="242" customFormat="1" ht="12.75" customHeight="1">
      <c r="D173" s="299">
        <v>22</v>
      </c>
      <c r="E173" s="306" t="str">
        <f t="shared" si="3"/>
        <v>22A</v>
      </c>
      <c r="F173" s="307" t="b">
        <f t="shared" si="3"/>
        <v>0</v>
      </c>
      <c r="G173" s="307" t="b">
        <f t="shared" si="3"/>
        <v>0</v>
      </c>
      <c r="H173" s="308" t="b">
        <f t="shared" si="3"/>
        <v>0</v>
      </c>
    </row>
    <row r="174" spans="4:8" s="242" customFormat="1" ht="12.75" customHeight="1">
      <c r="H174" s="242" t="s">
        <v>588</v>
      </c>
    </row>
    <row r="175" spans="4:8" s="242" customFormat="1" ht="12.75" customHeight="1"/>
    <row r="176" spans="4:8" s="312" customFormat="1" ht="12.75" customHeight="1">
      <c r="D176" s="309" t="s">
        <v>187</v>
      </c>
      <c r="E176" s="310" t="s">
        <v>188</v>
      </c>
      <c r="F176" s="311" t="s">
        <v>190</v>
      </c>
    </row>
    <row r="177" spans="4:6" s="312" customFormat="1" ht="12.75" customHeight="1">
      <c r="D177" s="312">
        <v>1</v>
      </c>
      <c r="E177" s="313" t="str">
        <f t="shared" ref="E177:E208" si="4">INDEX(xxPopupWobblerValid,INT((ROW()-ROW($E$177))/4)+1,MOD(ROW()-ROW($E$177),4)+1)</f>
        <v>1A</v>
      </c>
      <c r="F177" s="313">
        <f>COUNTIF(E177,"&lt;&gt;false")</f>
        <v>1</v>
      </c>
    </row>
    <row r="178" spans="4:6" s="312" customFormat="1" ht="12.75" customHeight="1">
      <c r="D178" s="312">
        <v>2</v>
      </c>
      <c r="E178" s="313" t="b">
        <f t="shared" si="4"/>
        <v>0</v>
      </c>
      <c r="F178" s="313">
        <f>COUNTIF(E178,"&lt;&gt;false")+F177</f>
        <v>1</v>
      </c>
    </row>
    <row r="179" spans="4:6" s="312" customFormat="1" ht="12.75" customHeight="1">
      <c r="D179" s="312">
        <v>3</v>
      </c>
      <c r="E179" s="313" t="b">
        <f t="shared" si="4"/>
        <v>0</v>
      </c>
      <c r="F179" s="313">
        <f t="shared" ref="F179:F242" si="5">COUNTIF(E179,"&lt;&gt;false")+F178</f>
        <v>1</v>
      </c>
    </row>
    <row r="180" spans="4:6" s="312" customFormat="1" ht="12.75" customHeight="1">
      <c r="D180" s="312">
        <v>4</v>
      </c>
      <c r="E180" s="313" t="b">
        <f t="shared" si="4"/>
        <v>0</v>
      </c>
      <c r="F180" s="313">
        <f t="shared" si="5"/>
        <v>1</v>
      </c>
    </row>
    <row r="181" spans="4:6" s="312" customFormat="1" ht="12.75" customHeight="1">
      <c r="D181" s="312">
        <v>5</v>
      </c>
      <c r="E181" s="313" t="str">
        <f t="shared" si="4"/>
        <v>2A</v>
      </c>
      <c r="F181" s="313">
        <f t="shared" si="5"/>
        <v>2</v>
      </c>
    </row>
    <row r="182" spans="4:6" s="312" customFormat="1" ht="12.75" customHeight="1">
      <c r="D182" s="312">
        <v>6</v>
      </c>
      <c r="E182" s="313" t="b">
        <f t="shared" si="4"/>
        <v>0</v>
      </c>
      <c r="F182" s="313">
        <f t="shared" si="5"/>
        <v>2</v>
      </c>
    </row>
    <row r="183" spans="4:6" s="312" customFormat="1" ht="12.75" customHeight="1">
      <c r="D183" s="312">
        <v>7</v>
      </c>
      <c r="E183" s="313" t="b">
        <f t="shared" si="4"/>
        <v>0</v>
      </c>
      <c r="F183" s="313">
        <f t="shared" si="5"/>
        <v>2</v>
      </c>
    </row>
    <row r="184" spans="4:6" s="312" customFormat="1" ht="12.75" customHeight="1">
      <c r="D184" s="312">
        <v>8</v>
      </c>
      <c r="E184" s="313" t="b">
        <f t="shared" si="4"/>
        <v>0</v>
      </c>
      <c r="F184" s="313">
        <f t="shared" si="5"/>
        <v>2</v>
      </c>
    </row>
    <row r="185" spans="4:6" s="312" customFormat="1" ht="12.75" customHeight="1">
      <c r="D185" s="312">
        <v>9</v>
      </c>
      <c r="E185" s="313" t="str">
        <f t="shared" si="4"/>
        <v>3A</v>
      </c>
      <c r="F185" s="313">
        <f t="shared" si="5"/>
        <v>3</v>
      </c>
    </row>
    <row r="186" spans="4:6" s="312" customFormat="1" ht="12.75" customHeight="1">
      <c r="D186" s="312">
        <v>10</v>
      </c>
      <c r="E186" s="313" t="b">
        <f t="shared" si="4"/>
        <v>0</v>
      </c>
      <c r="F186" s="313">
        <f t="shared" si="5"/>
        <v>3</v>
      </c>
    </row>
    <row r="187" spans="4:6" s="312" customFormat="1" ht="12.75" customHeight="1">
      <c r="D187" s="312">
        <v>11</v>
      </c>
      <c r="E187" s="313" t="b">
        <f t="shared" si="4"/>
        <v>0</v>
      </c>
      <c r="F187" s="313">
        <f t="shared" si="5"/>
        <v>3</v>
      </c>
    </row>
    <row r="188" spans="4:6" s="312" customFormat="1" ht="12.75" customHeight="1">
      <c r="D188" s="312">
        <v>12</v>
      </c>
      <c r="E188" s="313" t="b">
        <f t="shared" si="4"/>
        <v>0</v>
      </c>
      <c r="F188" s="313">
        <f t="shared" si="5"/>
        <v>3</v>
      </c>
    </row>
    <row r="189" spans="4:6" s="312" customFormat="1" ht="12.75" customHeight="1">
      <c r="D189" s="312">
        <v>13</v>
      </c>
      <c r="E189" s="313" t="str">
        <f t="shared" si="4"/>
        <v>4A</v>
      </c>
      <c r="F189" s="313">
        <f t="shared" si="5"/>
        <v>4</v>
      </c>
    </row>
    <row r="190" spans="4:6" s="312" customFormat="1" ht="12.75" customHeight="1">
      <c r="D190" s="312">
        <v>14</v>
      </c>
      <c r="E190" s="313" t="b">
        <f t="shared" si="4"/>
        <v>0</v>
      </c>
      <c r="F190" s="313">
        <f t="shared" si="5"/>
        <v>4</v>
      </c>
    </row>
    <row r="191" spans="4:6" s="312" customFormat="1" ht="12.75" customHeight="1">
      <c r="D191" s="312">
        <v>15</v>
      </c>
      <c r="E191" s="313" t="b">
        <f t="shared" si="4"/>
        <v>0</v>
      </c>
      <c r="F191" s="313">
        <f t="shared" si="5"/>
        <v>4</v>
      </c>
    </row>
    <row r="192" spans="4:6" s="312" customFormat="1" ht="12.75" customHeight="1">
      <c r="D192" s="312">
        <v>16</v>
      </c>
      <c r="E192" s="313" t="b">
        <f t="shared" si="4"/>
        <v>0</v>
      </c>
      <c r="F192" s="313">
        <f t="shared" si="5"/>
        <v>4</v>
      </c>
    </row>
    <row r="193" spans="4:6" s="312" customFormat="1" ht="12.75" customHeight="1">
      <c r="D193" s="312">
        <v>17</v>
      </c>
      <c r="E193" s="313" t="str">
        <f t="shared" si="4"/>
        <v>5A</v>
      </c>
      <c r="F193" s="313">
        <f t="shared" si="5"/>
        <v>5</v>
      </c>
    </row>
    <row r="194" spans="4:6" s="312" customFormat="1" ht="12.75" customHeight="1">
      <c r="D194" s="312">
        <v>18</v>
      </c>
      <c r="E194" s="313" t="b">
        <f t="shared" si="4"/>
        <v>0</v>
      </c>
      <c r="F194" s="313">
        <f t="shared" si="5"/>
        <v>5</v>
      </c>
    </row>
    <row r="195" spans="4:6" s="312" customFormat="1" ht="12.75" customHeight="1">
      <c r="D195" s="312">
        <v>19</v>
      </c>
      <c r="E195" s="313" t="b">
        <f t="shared" si="4"/>
        <v>0</v>
      </c>
      <c r="F195" s="313">
        <f t="shared" si="5"/>
        <v>5</v>
      </c>
    </row>
    <row r="196" spans="4:6" s="312" customFormat="1" ht="12.75" customHeight="1">
      <c r="D196" s="312">
        <v>20</v>
      </c>
      <c r="E196" s="313" t="b">
        <f t="shared" si="4"/>
        <v>0</v>
      </c>
      <c r="F196" s="313">
        <f t="shared" si="5"/>
        <v>5</v>
      </c>
    </row>
    <row r="197" spans="4:6" s="312" customFormat="1" ht="12.75" customHeight="1">
      <c r="D197" s="312">
        <v>21</v>
      </c>
      <c r="E197" s="313" t="str">
        <f t="shared" si="4"/>
        <v>6A</v>
      </c>
      <c r="F197" s="313">
        <f t="shared" si="5"/>
        <v>6</v>
      </c>
    </row>
    <row r="198" spans="4:6" s="312" customFormat="1" ht="12.75" customHeight="1">
      <c r="D198" s="312">
        <v>22</v>
      </c>
      <c r="E198" s="313" t="b">
        <f t="shared" si="4"/>
        <v>0</v>
      </c>
      <c r="F198" s="313">
        <f t="shared" si="5"/>
        <v>6</v>
      </c>
    </row>
    <row r="199" spans="4:6" s="312" customFormat="1" ht="12.75" customHeight="1">
      <c r="D199" s="312">
        <v>23</v>
      </c>
      <c r="E199" s="313" t="b">
        <f t="shared" si="4"/>
        <v>0</v>
      </c>
      <c r="F199" s="313">
        <f t="shared" si="5"/>
        <v>6</v>
      </c>
    </row>
    <row r="200" spans="4:6" s="312" customFormat="1" ht="12.75" customHeight="1">
      <c r="D200" s="312">
        <v>24</v>
      </c>
      <c r="E200" s="313" t="b">
        <f t="shared" si="4"/>
        <v>0</v>
      </c>
      <c r="F200" s="313">
        <f t="shared" si="5"/>
        <v>6</v>
      </c>
    </row>
    <row r="201" spans="4:6" s="312" customFormat="1" ht="12.75" customHeight="1">
      <c r="D201" s="312">
        <v>25</v>
      </c>
      <c r="E201" s="313" t="str">
        <f t="shared" si="4"/>
        <v>7A</v>
      </c>
      <c r="F201" s="313">
        <f t="shared" si="5"/>
        <v>7</v>
      </c>
    </row>
    <row r="202" spans="4:6" s="312" customFormat="1" ht="12.75" customHeight="1">
      <c r="D202" s="312">
        <v>26</v>
      </c>
      <c r="E202" s="313" t="b">
        <f t="shared" si="4"/>
        <v>0</v>
      </c>
      <c r="F202" s="313">
        <f t="shared" si="5"/>
        <v>7</v>
      </c>
    </row>
    <row r="203" spans="4:6" s="312" customFormat="1" ht="12.75" customHeight="1">
      <c r="D203" s="312">
        <v>27</v>
      </c>
      <c r="E203" s="313" t="b">
        <f t="shared" si="4"/>
        <v>0</v>
      </c>
      <c r="F203" s="313">
        <f t="shared" si="5"/>
        <v>7</v>
      </c>
    </row>
    <row r="204" spans="4:6" s="312" customFormat="1" ht="12.75" customHeight="1">
      <c r="D204" s="312">
        <v>28</v>
      </c>
      <c r="E204" s="313" t="b">
        <f t="shared" si="4"/>
        <v>0</v>
      </c>
      <c r="F204" s="313">
        <f t="shared" si="5"/>
        <v>7</v>
      </c>
    </row>
    <row r="205" spans="4:6" s="312" customFormat="1" ht="12.75" customHeight="1">
      <c r="D205" s="312">
        <v>29</v>
      </c>
      <c r="E205" s="313" t="str">
        <f t="shared" si="4"/>
        <v>8A</v>
      </c>
      <c r="F205" s="313">
        <f t="shared" si="5"/>
        <v>8</v>
      </c>
    </row>
    <row r="206" spans="4:6" s="312" customFormat="1" ht="12.75" customHeight="1">
      <c r="D206" s="312">
        <v>30</v>
      </c>
      <c r="E206" s="313" t="b">
        <f t="shared" si="4"/>
        <v>0</v>
      </c>
      <c r="F206" s="313">
        <f t="shared" si="5"/>
        <v>8</v>
      </c>
    </row>
    <row r="207" spans="4:6" s="312" customFormat="1" ht="12.75" customHeight="1">
      <c r="D207" s="312">
        <v>31</v>
      </c>
      <c r="E207" s="313" t="b">
        <f t="shared" si="4"/>
        <v>0</v>
      </c>
      <c r="F207" s="313">
        <f t="shared" si="5"/>
        <v>8</v>
      </c>
    </row>
    <row r="208" spans="4:6" s="312" customFormat="1" ht="12.75" customHeight="1">
      <c r="D208" s="312">
        <v>32</v>
      </c>
      <c r="E208" s="313" t="b">
        <f t="shared" si="4"/>
        <v>0</v>
      </c>
      <c r="F208" s="313">
        <f t="shared" si="5"/>
        <v>8</v>
      </c>
    </row>
    <row r="209" spans="4:6" s="312" customFormat="1" ht="12.75" customHeight="1">
      <c r="D209" s="312">
        <v>33</v>
      </c>
      <c r="E209" s="313" t="b">
        <f t="shared" ref="E209:E240" si="6">INDEX(xxPopupWobblerValid,INT((ROW()-ROW($E$177))/4)+1,MOD(ROW()-ROW($E$177),4)+1)</f>
        <v>0</v>
      </c>
      <c r="F209" s="313">
        <f t="shared" si="5"/>
        <v>8</v>
      </c>
    </row>
    <row r="210" spans="4:6" s="312" customFormat="1" ht="12.75" customHeight="1">
      <c r="D210" s="312">
        <v>34</v>
      </c>
      <c r="E210" s="313" t="b">
        <f t="shared" si="6"/>
        <v>0</v>
      </c>
      <c r="F210" s="313">
        <f t="shared" si="5"/>
        <v>8</v>
      </c>
    </row>
    <row r="211" spans="4:6" s="312" customFormat="1" ht="12.75" customHeight="1">
      <c r="D211" s="312">
        <v>35</v>
      </c>
      <c r="E211" s="313" t="b">
        <f t="shared" si="6"/>
        <v>0</v>
      </c>
      <c r="F211" s="313">
        <f t="shared" si="5"/>
        <v>8</v>
      </c>
    </row>
    <row r="212" spans="4:6" s="312" customFormat="1" ht="12.75" customHeight="1">
      <c r="D212" s="312">
        <v>36</v>
      </c>
      <c r="E212" s="313" t="b">
        <f t="shared" si="6"/>
        <v>0</v>
      </c>
      <c r="F212" s="313">
        <f t="shared" si="5"/>
        <v>8</v>
      </c>
    </row>
    <row r="213" spans="4:6" s="312" customFormat="1" ht="12.75" customHeight="1">
      <c r="D213" s="312">
        <v>37</v>
      </c>
      <c r="E213" s="313" t="b">
        <f t="shared" si="6"/>
        <v>0</v>
      </c>
      <c r="F213" s="313">
        <f t="shared" si="5"/>
        <v>8</v>
      </c>
    </row>
    <row r="214" spans="4:6" s="312" customFormat="1" ht="12.75" customHeight="1">
      <c r="D214" s="312">
        <v>38</v>
      </c>
      <c r="E214" s="313" t="b">
        <f t="shared" si="6"/>
        <v>0</v>
      </c>
      <c r="F214" s="313">
        <f t="shared" si="5"/>
        <v>8</v>
      </c>
    </row>
    <row r="215" spans="4:6" s="312" customFormat="1" ht="12.75" customHeight="1">
      <c r="D215" s="312">
        <v>39</v>
      </c>
      <c r="E215" s="313" t="b">
        <f t="shared" si="6"/>
        <v>0</v>
      </c>
      <c r="F215" s="313">
        <f t="shared" si="5"/>
        <v>8</v>
      </c>
    </row>
    <row r="216" spans="4:6" s="312" customFormat="1" ht="12.75" customHeight="1">
      <c r="D216" s="312">
        <v>40</v>
      </c>
      <c r="E216" s="313" t="b">
        <f t="shared" si="6"/>
        <v>0</v>
      </c>
      <c r="F216" s="313">
        <f t="shared" si="5"/>
        <v>8</v>
      </c>
    </row>
    <row r="217" spans="4:6" s="312" customFormat="1" ht="12.75" customHeight="1">
      <c r="D217" s="312">
        <v>41</v>
      </c>
      <c r="E217" s="313" t="b">
        <f t="shared" si="6"/>
        <v>0</v>
      </c>
      <c r="F217" s="313">
        <f t="shared" si="5"/>
        <v>8</v>
      </c>
    </row>
    <row r="218" spans="4:6" s="312" customFormat="1" ht="12.75" customHeight="1">
      <c r="D218" s="312">
        <v>42</v>
      </c>
      <c r="E218" s="313" t="b">
        <f t="shared" si="6"/>
        <v>0</v>
      </c>
      <c r="F218" s="313">
        <f t="shared" si="5"/>
        <v>8</v>
      </c>
    </row>
    <row r="219" spans="4:6" s="312" customFormat="1" ht="12.75" customHeight="1">
      <c r="D219" s="312">
        <v>43</v>
      </c>
      <c r="E219" s="313" t="b">
        <f t="shared" si="6"/>
        <v>0</v>
      </c>
      <c r="F219" s="313">
        <f t="shared" si="5"/>
        <v>8</v>
      </c>
    </row>
    <row r="220" spans="4:6" s="312" customFormat="1" ht="12.75" customHeight="1">
      <c r="D220" s="312">
        <v>44</v>
      </c>
      <c r="E220" s="313" t="b">
        <f t="shared" si="6"/>
        <v>0</v>
      </c>
      <c r="F220" s="313">
        <f t="shared" si="5"/>
        <v>8</v>
      </c>
    </row>
    <row r="221" spans="4:6" s="312" customFormat="1" ht="12.75" customHeight="1">
      <c r="D221" s="312">
        <v>45</v>
      </c>
      <c r="E221" s="313" t="b">
        <f t="shared" si="6"/>
        <v>0</v>
      </c>
      <c r="F221" s="313">
        <f t="shared" si="5"/>
        <v>8</v>
      </c>
    </row>
    <row r="222" spans="4:6" s="312" customFormat="1" ht="12.75" customHeight="1">
      <c r="D222" s="312">
        <v>46</v>
      </c>
      <c r="E222" s="313" t="b">
        <f t="shared" si="6"/>
        <v>0</v>
      </c>
      <c r="F222" s="313">
        <f t="shared" si="5"/>
        <v>8</v>
      </c>
    </row>
    <row r="223" spans="4:6" s="312" customFormat="1" ht="12.75" customHeight="1">
      <c r="D223" s="312">
        <v>47</v>
      </c>
      <c r="E223" s="313" t="b">
        <f t="shared" si="6"/>
        <v>0</v>
      </c>
      <c r="F223" s="313">
        <f t="shared" si="5"/>
        <v>8</v>
      </c>
    </row>
    <row r="224" spans="4:6" s="312" customFormat="1" ht="12.75" customHeight="1">
      <c r="D224" s="312">
        <v>48</v>
      </c>
      <c r="E224" s="313" t="b">
        <f t="shared" si="6"/>
        <v>0</v>
      </c>
      <c r="F224" s="313">
        <f t="shared" si="5"/>
        <v>8</v>
      </c>
    </row>
    <row r="225" spans="4:6" s="312" customFormat="1" ht="12.75" customHeight="1">
      <c r="D225" s="312">
        <v>49</v>
      </c>
      <c r="E225" s="313" t="b">
        <f t="shared" si="6"/>
        <v>0</v>
      </c>
      <c r="F225" s="313">
        <f t="shared" si="5"/>
        <v>8</v>
      </c>
    </row>
    <row r="226" spans="4:6" s="312" customFormat="1" ht="12.75" customHeight="1">
      <c r="D226" s="312">
        <v>50</v>
      </c>
      <c r="E226" s="313" t="b">
        <f t="shared" si="6"/>
        <v>0</v>
      </c>
      <c r="F226" s="313">
        <f t="shared" si="5"/>
        <v>8</v>
      </c>
    </row>
    <row r="227" spans="4:6" s="312" customFormat="1" ht="12.75" customHeight="1">
      <c r="D227" s="312">
        <v>51</v>
      </c>
      <c r="E227" s="313" t="b">
        <f t="shared" si="6"/>
        <v>0</v>
      </c>
      <c r="F227" s="313">
        <f t="shared" si="5"/>
        <v>8</v>
      </c>
    </row>
    <row r="228" spans="4:6" s="312" customFormat="1" ht="12.75" customHeight="1">
      <c r="D228" s="312">
        <v>52</v>
      </c>
      <c r="E228" s="313" t="b">
        <f t="shared" si="6"/>
        <v>0</v>
      </c>
      <c r="F228" s="313">
        <f t="shared" si="5"/>
        <v>8</v>
      </c>
    </row>
    <row r="229" spans="4:6" s="312" customFormat="1" ht="12.75" customHeight="1">
      <c r="D229" s="312">
        <v>53</v>
      </c>
      <c r="E229" s="313" t="b">
        <f t="shared" si="6"/>
        <v>0</v>
      </c>
      <c r="F229" s="313">
        <f t="shared" si="5"/>
        <v>8</v>
      </c>
    </row>
    <row r="230" spans="4:6" s="312" customFormat="1" ht="12.75" customHeight="1">
      <c r="D230" s="312">
        <v>54</v>
      </c>
      <c r="E230" s="313" t="b">
        <f t="shared" si="6"/>
        <v>0</v>
      </c>
      <c r="F230" s="313">
        <f t="shared" si="5"/>
        <v>8</v>
      </c>
    </row>
    <row r="231" spans="4:6" s="312" customFormat="1" ht="12.75" customHeight="1">
      <c r="D231" s="312">
        <v>55</v>
      </c>
      <c r="E231" s="313" t="b">
        <f t="shared" si="6"/>
        <v>0</v>
      </c>
      <c r="F231" s="313">
        <f t="shared" si="5"/>
        <v>8</v>
      </c>
    </row>
    <row r="232" spans="4:6" s="312" customFormat="1" ht="12.75" customHeight="1">
      <c r="D232" s="312">
        <v>56</v>
      </c>
      <c r="E232" s="313" t="b">
        <f t="shared" si="6"/>
        <v>0</v>
      </c>
      <c r="F232" s="313">
        <f t="shared" si="5"/>
        <v>8</v>
      </c>
    </row>
    <row r="233" spans="4:6" s="312" customFormat="1" ht="12.75" customHeight="1">
      <c r="D233" s="312">
        <v>57</v>
      </c>
      <c r="E233" s="313" t="b">
        <f t="shared" si="6"/>
        <v>0</v>
      </c>
      <c r="F233" s="313">
        <f t="shared" si="5"/>
        <v>8</v>
      </c>
    </row>
    <row r="234" spans="4:6" s="312" customFormat="1" ht="12.75" customHeight="1">
      <c r="D234" s="312">
        <v>58</v>
      </c>
      <c r="E234" s="313" t="b">
        <f t="shared" si="6"/>
        <v>0</v>
      </c>
      <c r="F234" s="313">
        <f t="shared" si="5"/>
        <v>8</v>
      </c>
    </row>
    <row r="235" spans="4:6" s="312" customFormat="1" ht="12.75" customHeight="1">
      <c r="D235" s="312">
        <v>59</v>
      </c>
      <c r="E235" s="313" t="b">
        <f t="shared" si="6"/>
        <v>0</v>
      </c>
      <c r="F235" s="313">
        <f t="shared" si="5"/>
        <v>8</v>
      </c>
    </row>
    <row r="236" spans="4:6" s="312" customFormat="1" ht="12.75" customHeight="1">
      <c r="D236" s="312">
        <v>60</v>
      </c>
      <c r="E236" s="313" t="b">
        <f t="shared" si="6"/>
        <v>0</v>
      </c>
      <c r="F236" s="313">
        <f t="shared" si="5"/>
        <v>8</v>
      </c>
    </row>
    <row r="237" spans="4:6" s="312" customFormat="1" ht="12.75" customHeight="1">
      <c r="D237" s="312">
        <v>61</v>
      </c>
      <c r="E237" s="313" t="b">
        <f t="shared" si="6"/>
        <v>0</v>
      </c>
      <c r="F237" s="313">
        <f t="shared" si="5"/>
        <v>8</v>
      </c>
    </row>
    <row r="238" spans="4:6" s="312" customFormat="1" ht="12.75" customHeight="1">
      <c r="D238" s="312">
        <v>62</v>
      </c>
      <c r="E238" s="313" t="b">
        <f t="shared" si="6"/>
        <v>0</v>
      </c>
      <c r="F238" s="313">
        <f t="shared" si="5"/>
        <v>8</v>
      </c>
    </row>
    <row r="239" spans="4:6" s="312" customFormat="1" ht="12.75" customHeight="1">
      <c r="D239" s="312">
        <v>63</v>
      </c>
      <c r="E239" s="313" t="b">
        <f t="shared" si="6"/>
        <v>0</v>
      </c>
      <c r="F239" s="313">
        <f t="shared" si="5"/>
        <v>8</v>
      </c>
    </row>
    <row r="240" spans="4:6" s="312" customFormat="1" ht="12.75" customHeight="1">
      <c r="D240" s="312">
        <v>64</v>
      </c>
      <c r="E240" s="313" t="b">
        <f t="shared" si="6"/>
        <v>0</v>
      </c>
      <c r="F240" s="313">
        <f t="shared" si="5"/>
        <v>8</v>
      </c>
    </row>
    <row r="241" spans="4:6" s="312" customFormat="1" ht="12.75" customHeight="1">
      <c r="D241" s="312">
        <v>65</v>
      </c>
      <c r="E241" s="313" t="b">
        <f t="shared" ref="E241:E264" si="7">INDEX(xxPopupWobblerValid,INT((ROW()-ROW($E$177))/4)+1,MOD(ROW()-ROW($E$177),4)+1)</f>
        <v>0</v>
      </c>
      <c r="F241" s="313">
        <f t="shared" si="5"/>
        <v>8</v>
      </c>
    </row>
    <row r="242" spans="4:6" s="312" customFormat="1" ht="12.75" customHeight="1">
      <c r="D242" s="312">
        <v>66</v>
      </c>
      <c r="E242" s="313" t="b">
        <f t="shared" si="7"/>
        <v>0</v>
      </c>
      <c r="F242" s="313">
        <f t="shared" si="5"/>
        <v>8</v>
      </c>
    </row>
    <row r="243" spans="4:6" s="312" customFormat="1" ht="12.75" customHeight="1">
      <c r="D243" s="312">
        <v>67</v>
      </c>
      <c r="E243" s="313" t="b">
        <f t="shared" si="7"/>
        <v>0</v>
      </c>
      <c r="F243" s="313">
        <f t="shared" ref="F243:F264" si="8">COUNTIF(E243,"&lt;&gt;false")+F242</f>
        <v>8</v>
      </c>
    </row>
    <row r="244" spans="4:6" s="312" customFormat="1" ht="12.75" customHeight="1">
      <c r="D244" s="312">
        <v>68</v>
      </c>
      <c r="E244" s="313" t="b">
        <f t="shared" si="7"/>
        <v>0</v>
      </c>
      <c r="F244" s="313">
        <f t="shared" si="8"/>
        <v>8</v>
      </c>
    </row>
    <row r="245" spans="4:6" s="312" customFormat="1" ht="12.75" customHeight="1">
      <c r="D245" s="312">
        <v>69</v>
      </c>
      <c r="E245" s="313" t="b">
        <f t="shared" si="7"/>
        <v>0</v>
      </c>
      <c r="F245" s="313">
        <f t="shared" si="8"/>
        <v>8</v>
      </c>
    </row>
    <row r="246" spans="4:6" s="312" customFormat="1" ht="12.75" customHeight="1">
      <c r="D246" s="312">
        <v>70</v>
      </c>
      <c r="E246" s="313" t="b">
        <f t="shared" si="7"/>
        <v>0</v>
      </c>
      <c r="F246" s="313">
        <f t="shared" si="8"/>
        <v>8</v>
      </c>
    </row>
    <row r="247" spans="4:6" s="312" customFormat="1" ht="12.75" customHeight="1">
      <c r="D247" s="312">
        <v>71</v>
      </c>
      <c r="E247" s="313" t="b">
        <f t="shared" si="7"/>
        <v>0</v>
      </c>
      <c r="F247" s="313">
        <f t="shared" si="8"/>
        <v>8</v>
      </c>
    </row>
    <row r="248" spans="4:6" s="312" customFormat="1" ht="12.75" customHeight="1">
      <c r="D248" s="312">
        <v>72</v>
      </c>
      <c r="E248" s="313" t="b">
        <f t="shared" si="7"/>
        <v>0</v>
      </c>
      <c r="F248" s="313">
        <f t="shared" si="8"/>
        <v>8</v>
      </c>
    </row>
    <row r="249" spans="4:6" s="312" customFormat="1" ht="12.75" customHeight="1">
      <c r="D249" s="312">
        <v>73</v>
      </c>
      <c r="E249" s="313" t="b">
        <f t="shared" si="7"/>
        <v>0</v>
      </c>
      <c r="F249" s="313">
        <f t="shared" si="8"/>
        <v>8</v>
      </c>
    </row>
    <row r="250" spans="4:6" s="312" customFormat="1" ht="12.75" customHeight="1">
      <c r="D250" s="312">
        <v>74</v>
      </c>
      <c r="E250" s="313" t="b">
        <f t="shared" si="7"/>
        <v>0</v>
      </c>
      <c r="F250" s="313">
        <f t="shared" si="8"/>
        <v>8</v>
      </c>
    </row>
    <row r="251" spans="4:6" s="312" customFormat="1" ht="12.75" customHeight="1">
      <c r="D251" s="312">
        <v>75</v>
      </c>
      <c r="E251" s="313" t="b">
        <f t="shared" si="7"/>
        <v>0</v>
      </c>
      <c r="F251" s="313">
        <f t="shared" si="8"/>
        <v>8</v>
      </c>
    </row>
    <row r="252" spans="4:6" s="312" customFormat="1" ht="12.75" customHeight="1">
      <c r="D252" s="312">
        <v>76</v>
      </c>
      <c r="E252" s="313" t="b">
        <f t="shared" si="7"/>
        <v>0</v>
      </c>
      <c r="F252" s="313">
        <f t="shared" si="8"/>
        <v>8</v>
      </c>
    </row>
    <row r="253" spans="4:6" s="312" customFormat="1" ht="12.75" customHeight="1">
      <c r="D253" s="312">
        <v>77</v>
      </c>
      <c r="E253" s="313" t="b">
        <f t="shared" si="7"/>
        <v>0</v>
      </c>
      <c r="F253" s="313">
        <f t="shared" si="8"/>
        <v>8</v>
      </c>
    </row>
    <row r="254" spans="4:6" s="312" customFormat="1" ht="12.75" customHeight="1">
      <c r="D254" s="312">
        <v>78</v>
      </c>
      <c r="E254" s="313" t="b">
        <f t="shared" si="7"/>
        <v>0</v>
      </c>
      <c r="F254" s="313">
        <f t="shared" si="8"/>
        <v>8</v>
      </c>
    </row>
    <row r="255" spans="4:6" s="312" customFormat="1" ht="12.75" customHeight="1">
      <c r="D255" s="312">
        <v>79</v>
      </c>
      <c r="E255" s="313" t="b">
        <f t="shared" si="7"/>
        <v>0</v>
      </c>
      <c r="F255" s="313">
        <f t="shared" si="8"/>
        <v>8</v>
      </c>
    </row>
    <row r="256" spans="4:6" s="312" customFormat="1" ht="12.75" customHeight="1">
      <c r="D256" s="312">
        <v>80</v>
      </c>
      <c r="E256" s="313" t="b">
        <f t="shared" si="7"/>
        <v>0</v>
      </c>
      <c r="F256" s="313">
        <f t="shared" si="8"/>
        <v>8</v>
      </c>
    </row>
    <row r="257" spans="4:6" s="312" customFormat="1" ht="12.75" customHeight="1">
      <c r="D257" s="312">
        <v>81</v>
      </c>
      <c r="E257" s="313" t="b">
        <f t="shared" si="7"/>
        <v>0</v>
      </c>
      <c r="F257" s="313">
        <f t="shared" si="8"/>
        <v>8</v>
      </c>
    </row>
    <row r="258" spans="4:6" s="312" customFormat="1" ht="12.75" customHeight="1">
      <c r="D258" s="312">
        <v>82</v>
      </c>
      <c r="E258" s="313" t="b">
        <f t="shared" si="7"/>
        <v>0</v>
      </c>
      <c r="F258" s="313">
        <f t="shared" si="8"/>
        <v>8</v>
      </c>
    </row>
    <row r="259" spans="4:6" s="312" customFormat="1" ht="12.75" customHeight="1">
      <c r="D259" s="312">
        <v>83</v>
      </c>
      <c r="E259" s="313" t="b">
        <f t="shared" si="7"/>
        <v>0</v>
      </c>
      <c r="F259" s="313">
        <f t="shared" si="8"/>
        <v>8</v>
      </c>
    </row>
    <row r="260" spans="4:6" s="312" customFormat="1" ht="12.75" customHeight="1">
      <c r="D260" s="312">
        <v>84</v>
      </c>
      <c r="E260" s="313" t="b">
        <f t="shared" si="7"/>
        <v>0</v>
      </c>
      <c r="F260" s="313">
        <f t="shared" si="8"/>
        <v>8</v>
      </c>
    </row>
    <row r="261" spans="4:6" s="312" customFormat="1" ht="12.75" customHeight="1">
      <c r="D261" s="312">
        <v>85</v>
      </c>
      <c r="E261" s="313" t="str">
        <f t="shared" si="7"/>
        <v>22A</v>
      </c>
      <c r="F261" s="313">
        <f t="shared" si="8"/>
        <v>9</v>
      </c>
    </row>
    <row r="262" spans="4:6" s="312" customFormat="1" ht="12.75" customHeight="1">
      <c r="D262" s="312">
        <v>86</v>
      </c>
      <c r="E262" s="313" t="b">
        <f t="shared" si="7"/>
        <v>0</v>
      </c>
      <c r="F262" s="313">
        <f t="shared" si="8"/>
        <v>9</v>
      </c>
    </row>
    <row r="263" spans="4:6" s="312" customFormat="1" ht="12.75" customHeight="1">
      <c r="D263" s="312">
        <v>87</v>
      </c>
      <c r="E263" s="313" t="b">
        <f t="shared" si="7"/>
        <v>0</v>
      </c>
      <c r="F263" s="313">
        <f t="shared" si="8"/>
        <v>9</v>
      </c>
    </row>
    <row r="264" spans="4:6" s="312" customFormat="1" ht="12.75" customHeight="1">
      <c r="D264" s="312">
        <v>88</v>
      </c>
      <c r="E264" s="313" t="b">
        <f t="shared" si="7"/>
        <v>0</v>
      </c>
      <c r="F264" s="313">
        <f t="shared" si="8"/>
        <v>9</v>
      </c>
    </row>
    <row r="265" spans="4:6" s="242" customFormat="1" ht="12.75" customHeight="1"/>
  </sheetData>
  <hyperlinks>
    <hyperlink ref="E3"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Z368"/>
  <sheetViews>
    <sheetView workbookViewId="0"/>
  </sheetViews>
  <sheetFormatPr defaultColWidth="7.453125" defaultRowHeight="12.6"/>
  <cols>
    <col min="1" max="1" width="3.7265625" style="362" customWidth="1"/>
    <col min="2" max="2" width="27.453125" style="362" customWidth="1"/>
    <col min="3" max="3" width="30.1796875" style="362" customWidth="1"/>
    <col min="4" max="4" width="0.7265625" style="385" customWidth="1"/>
    <col min="5" max="5" width="30.1796875" style="362" customWidth="1"/>
    <col min="6" max="6" width="0.7265625" style="385" customWidth="1"/>
    <col min="7" max="7" width="30.1796875" style="362" customWidth="1"/>
    <col min="8" max="8" width="17.26953125" style="362" customWidth="1"/>
    <col min="9" max="10" width="7.453125" style="365"/>
    <col min="11" max="16384" width="7.453125" style="362"/>
  </cols>
  <sheetData>
    <row r="1" spans="1:26" s="361" customFormat="1" ht="18.75" customHeight="1">
      <c r="A1" s="358" t="s">
        <v>691</v>
      </c>
      <c r="B1" s="358"/>
      <c r="C1" s="359"/>
      <c r="D1" s="358"/>
      <c r="E1" s="358"/>
      <c r="F1" s="358"/>
      <c r="G1" s="358"/>
      <c r="H1" s="358"/>
      <c r="I1" s="360"/>
      <c r="J1" s="360"/>
      <c r="K1" s="358"/>
      <c r="L1" s="358"/>
      <c r="M1" s="358"/>
      <c r="N1" s="358"/>
      <c r="O1" s="358"/>
      <c r="P1" s="358"/>
      <c r="Q1" s="358"/>
      <c r="R1" s="358"/>
      <c r="S1" s="358"/>
      <c r="T1" s="358"/>
      <c r="U1" s="358"/>
      <c r="V1" s="358"/>
      <c r="W1" s="358"/>
      <c r="X1" s="358"/>
      <c r="Y1" s="358"/>
      <c r="Z1" s="358"/>
    </row>
    <row r="3" spans="1:26" ht="14.4">
      <c r="B3" s="362" t="s">
        <v>521</v>
      </c>
      <c r="C3" s="363" t="s">
        <v>522</v>
      </c>
      <c r="D3" s="364"/>
      <c r="F3" s="364"/>
    </row>
    <row r="5" spans="1:26" s="366" customFormat="1" ht="13.8">
      <c r="B5" s="367" t="s">
        <v>388</v>
      </c>
      <c r="E5" s="368"/>
      <c r="F5" s="368"/>
      <c r="G5" s="368"/>
      <c r="H5" s="368"/>
      <c r="I5" s="369"/>
      <c r="J5" s="370"/>
    </row>
    <row r="7" spans="1:26">
      <c r="B7" s="371"/>
      <c r="C7" s="372" t="s">
        <v>603</v>
      </c>
      <c r="D7" s="373"/>
      <c r="F7" s="373"/>
    </row>
    <row r="8" spans="1:26">
      <c r="B8" s="374"/>
      <c r="C8" s="372" t="s">
        <v>692</v>
      </c>
      <c r="D8" s="373"/>
      <c r="F8" s="373"/>
    </row>
    <row r="9" spans="1:26">
      <c r="B9" s="375"/>
      <c r="C9" s="372" t="s">
        <v>527</v>
      </c>
      <c r="D9" s="373"/>
      <c r="F9" s="373"/>
    </row>
    <row r="11" spans="1:26" s="366" customFormat="1" ht="21" customHeight="1">
      <c r="B11" s="376" t="s">
        <v>120</v>
      </c>
      <c r="E11" s="368"/>
      <c r="F11" s="368"/>
      <c r="G11" s="368"/>
      <c r="H11" s="368"/>
      <c r="I11" s="369"/>
      <c r="J11" s="370"/>
    </row>
    <row r="13" spans="1:26" s="366" customFormat="1" ht="13.8">
      <c r="B13" s="367" t="s">
        <v>693</v>
      </c>
      <c r="E13" s="368"/>
      <c r="F13" s="368"/>
      <c r="G13" s="368"/>
      <c r="H13" s="368"/>
      <c r="I13" s="369"/>
      <c r="J13" s="370"/>
    </row>
    <row r="14" spans="1:26" s="377" customFormat="1" ht="13.8">
      <c r="D14" s="378"/>
      <c r="F14" s="378"/>
      <c r="I14" s="379"/>
      <c r="J14" s="379"/>
    </row>
    <row r="15" spans="1:26">
      <c r="C15" s="380" t="s">
        <v>694</v>
      </c>
      <c r="D15" s="381"/>
      <c r="E15" s="382" t="s">
        <v>695</v>
      </c>
      <c r="F15" s="381"/>
    </row>
    <row r="16" spans="1:26">
      <c r="B16" s="383" t="s">
        <v>696</v>
      </c>
      <c r="C16" s="384"/>
      <c r="E16" s="386"/>
    </row>
    <row r="17" spans="2:10">
      <c r="B17" s="362" t="s">
        <v>697</v>
      </c>
      <c r="C17" s="387" t="s">
        <v>698</v>
      </c>
      <c r="E17" s="386"/>
    </row>
    <row r="18" spans="2:10">
      <c r="C18" s="384"/>
      <c r="E18" s="386"/>
    </row>
    <row r="20" spans="2:10" s="366" customFormat="1" ht="21" customHeight="1">
      <c r="B20" s="376" t="s">
        <v>125</v>
      </c>
      <c r="E20" s="368"/>
      <c r="F20" s="368"/>
      <c r="G20" s="368"/>
      <c r="H20" s="368"/>
      <c r="I20" s="369"/>
      <c r="J20" s="370"/>
    </row>
    <row r="21" spans="2:10">
      <c r="B21" s="388" t="s">
        <v>699</v>
      </c>
    </row>
    <row r="22" spans="2:10">
      <c r="B22" s="388"/>
    </row>
    <row r="23" spans="2:10">
      <c r="B23" s="383" t="s">
        <v>212</v>
      </c>
    </row>
    <row r="24" spans="2:10">
      <c r="B24" s="362" t="s">
        <v>700</v>
      </c>
    </row>
    <row r="25" spans="2:10" ht="3" customHeight="1">
      <c r="C25" s="389"/>
      <c r="D25" s="390"/>
    </row>
    <row r="26" spans="2:10">
      <c r="B26" s="362" t="s">
        <v>701</v>
      </c>
    </row>
    <row r="27" spans="2:10" ht="3" customHeight="1">
      <c r="C27" s="389"/>
      <c r="D27" s="390"/>
    </row>
    <row r="28" spans="2:10">
      <c r="B28" s="362" t="s">
        <v>702</v>
      </c>
    </row>
    <row r="29" spans="2:10" ht="3" customHeight="1">
      <c r="C29" s="389"/>
      <c r="D29" s="390"/>
    </row>
    <row r="30" spans="2:10">
      <c r="B30" s="391" t="s">
        <v>703</v>
      </c>
    </row>
    <row r="31" spans="2:10" ht="3" customHeight="1">
      <c r="C31" s="389"/>
      <c r="D31" s="390"/>
    </row>
    <row r="32" spans="2:10">
      <c r="B32" s="362" t="s">
        <v>704</v>
      </c>
    </row>
    <row r="33" spans="2:5" ht="3" customHeight="1">
      <c r="C33" s="389"/>
      <c r="D33" s="390"/>
    </row>
    <row r="34" spans="2:5">
      <c r="B34" s="362" t="s">
        <v>705</v>
      </c>
    </row>
    <row r="35" spans="2:5" ht="3" customHeight="1">
      <c r="C35" s="389"/>
      <c r="D35" s="390"/>
    </row>
    <row r="36" spans="2:5">
      <c r="B36" s="362" t="s">
        <v>706</v>
      </c>
    </row>
    <row r="37" spans="2:5" ht="3" customHeight="1">
      <c r="C37" s="389"/>
      <c r="D37" s="390"/>
    </row>
    <row r="38" spans="2:5">
      <c r="B38" s="362" t="s">
        <v>707</v>
      </c>
    </row>
    <row r="39" spans="2:5">
      <c r="B39" s="388"/>
    </row>
    <row r="40" spans="2:5">
      <c r="B40" s="388"/>
    </row>
    <row r="41" spans="2:5">
      <c r="B41" s="383" t="s">
        <v>708</v>
      </c>
      <c r="C41" s="392">
        <v>1</v>
      </c>
      <c r="E41" s="362" t="s">
        <v>709</v>
      </c>
    </row>
    <row r="42" spans="2:5" ht="3" customHeight="1">
      <c r="C42" s="393"/>
      <c r="D42" s="390"/>
    </row>
    <row r="43" spans="2:5">
      <c r="B43" s="383" t="s">
        <v>710</v>
      </c>
      <c r="C43" s="392">
        <v>1</v>
      </c>
      <c r="E43" s="362" t="s">
        <v>711</v>
      </c>
    </row>
    <row r="44" spans="2:5">
      <c r="D44" s="362"/>
    </row>
    <row r="45" spans="2:5">
      <c r="D45" s="362"/>
    </row>
    <row r="46" spans="2:5">
      <c r="D46" s="362"/>
    </row>
    <row r="47" spans="2:5">
      <c r="D47" s="362"/>
    </row>
    <row r="49" spans="1:10" ht="13.2" thickBot="1">
      <c r="G49" s="362" t="s">
        <v>712</v>
      </c>
    </row>
    <row r="50" spans="1:10" ht="13.2" thickBot="1">
      <c r="A50" s="394">
        <v>1</v>
      </c>
      <c r="B50" s="362" t="s">
        <v>713</v>
      </c>
      <c r="C50" s="395" t="s">
        <v>978</v>
      </c>
      <c r="E50" s="362" t="s">
        <v>714</v>
      </c>
      <c r="G50" s="396" t="s">
        <v>151</v>
      </c>
      <c r="H50" s="388" t="s">
        <v>715</v>
      </c>
    </row>
    <row r="51" spans="1:10" ht="3" customHeight="1" thickBot="1">
      <c r="C51" s="397"/>
    </row>
    <row r="52" spans="1:10" ht="13.2" thickBot="1">
      <c r="B52" s="362" t="s">
        <v>716</v>
      </c>
      <c r="C52" s="398" t="b">
        <f>$A50&lt;=tabCount</f>
        <v>1</v>
      </c>
      <c r="E52" s="362" t="s">
        <v>717</v>
      </c>
      <c r="I52" s="399">
        <f>I64+I76+I88</f>
        <v>1</v>
      </c>
      <c r="J52" s="365" t="s">
        <v>718</v>
      </c>
    </row>
    <row r="53" spans="1:10" ht="3" customHeight="1" thickBot="1">
      <c r="C53" s="389"/>
      <c r="D53" s="390"/>
    </row>
    <row r="54" spans="1:10">
      <c r="A54" s="362" t="b">
        <v>1</v>
      </c>
      <c r="B54" s="400" t="s">
        <v>719</v>
      </c>
      <c r="C54" s="395" t="s">
        <v>977</v>
      </c>
      <c r="D54" s="390"/>
      <c r="E54" s="395" t="s">
        <v>404</v>
      </c>
      <c r="F54" s="390"/>
      <c r="G54" s="395" t="s">
        <v>2076</v>
      </c>
      <c r="H54" s="388" t="s">
        <v>720</v>
      </c>
    </row>
    <row r="55" spans="1:10" ht="3" customHeight="1">
      <c r="A55" s="362" t="b">
        <v>1</v>
      </c>
      <c r="C55" s="397"/>
      <c r="D55" s="390"/>
      <c r="E55" s="397"/>
      <c r="F55" s="390"/>
      <c r="G55" s="397"/>
    </row>
    <row r="56" spans="1:10">
      <c r="A56" s="362" t="b">
        <v>1</v>
      </c>
      <c r="B56" s="362" t="s">
        <v>721</v>
      </c>
      <c r="C56" s="401" t="s">
        <v>979</v>
      </c>
      <c r="D56" s="390"/>
      <c r="E56" s="401" t="s">
        <v>980</v>
      </c>
      <c r="F56" s="390"/>
      <c r="G56" s="401" t="s">
        <v>766</v>
      </c>
    </row>
    <row r="57" spans="1:10" ht="3" customHeight="1">
      <c r="A57" s="362" t="b">
        <v>1</v>
      </c>
      <c r="C57" s="397"/>
      <c r="D57" s="390"/>
      <c r="E57" s="397"/>
      <c r="F57" s="390"/>
      <c r="G57" s="397"/>
    </row>
    <row r="58" spans="1:10">
      <c r="A58" s="362" t="b">
        <v>1</v>
      </c>
      <c r="B58" s="362" t="s">
        <v>722</v>
      </c>
      <c r="C58" s="402" t="str">
        <f>C56&amp;"_light"</f>
        <v>Network_light</v>
      </c>
      <c r="D58" s="390"/>
      <c r="E58" s="402" t="str">
        <f>E56&amp;"_light"</f>
        <v>Operations_light</v>
      </c>
      <c r="F58" s="390"/>
      <c r="G58" s="402" t="str">
        <f>G56&amp;"_light"</f>
        <v>Gears_1_light</v>
      </c>
    </row>
    <row r="59" spans="1:10" ht="3" customHeight="1">
      <c r="A59" s="362" t="b">
        <v>1</v>
      </c>
      <c r="C59" s="397"/>
      <c r="D59" s="390"/>
      <c r="E59" s="397"/>
      <c r="F59" s="390"/>
      <c r="G59" s="397"/>
    </row>
    <row r="60" spans="1:10">
      <c r="A60" s="362" t="b">
        <v>1</v>
      </c>
      <c r="B60" s="362" t="s">
        <v>723</v>
      </c>
      <c r="C60" s="403" t="s">
        <v>981</v>
      </c>
      <c r="D60" s="390"/>
      <c r="E60" s="403" t="s">
        <v>982</v>
      </c>
      <c r="F60" s="390"/>
      <c r="G60" s="403" t="s">
        <v>1939</v>
      </c>
      <c r="H60" s="388" t="s">
        <v>715</v>
      </c>
    </row>
    <row r="61" spans="1:10" ht="3" customHeight="1">
      <c r="A61" s="362" t="b">
        <v>1</v>
      </c>
      <c r="C61" s="397"/>
      <c r="D61" s="390"/>
      <c r="E61" s="397"/>
      <c r="F61" s="390"/>
      <c r="G61" s="397"/>
    </row>
    <row r="62" spans="1:10">
      <c r="A62" s="362" t="b">
        <v>1</v>
      </c>
      <c r="B62" s="362" t="s">
        <v>726</v>
      </c>
      <c r="C62" s="404"/>
      <c r="D62" s="390"/>
      <c r="E62" s="403"/>
      <c r="F62" s="390"/>
      <c r="G62" s="403"/>
      <c r="H62" s="388" t="s">
        <v>727</v>
      </c>
      <c r="I62" s="365" t="s">
        <v>728</v>
      </c>
    </row>
    <row r="63" spans="1:10" ht="3" customHeight="1" thickBot="1">
      <c r="A63" s="362" t="b">
        <v>1</v>
      </c>
      <c r="C63" s="397"/>
      <c r="D63" s="390"/>
      <c r="E63" s="397"/>
      <c r="F63" s="390"/>
      <c r="G63" s="397"/>
    </row>
    <row r="64" spans="1:10" ht="13.2" thickBot="1">
      <c r="A64" s="362" t="b">
        <v>1</v>
      </c>
      <c r="B64" s="405" t="s">
        <v>729</v>
      </c>
      <c r="C64" s="406" t="b">
        <v>1</v>
      </c>
      <c r="D64" s="390"/>
      <c r="E64" s="406" t="b">
        <f>IF(tlInputValuesSubmitted&lt;&gt;FALSE,TRUE,FALSE)</f>
        <v>0</v>
      </c>
      <c r="F64" s="390"/>
      <c r="G64" s="406" t="b">
        <f>IF(xxCurrentRound&lt;3,FALSE,TRUE)</f>
        <v>0</v>
      </c>
      <c r="H64" s="388" t="s">
        <v>730</v>
      </c>
      <c r="I64" s="407" t="b">
        <f>IF($C52=TRUE,TRUE)</f>
        <v>1</v>
      </c>
    </row>
    <row r="65" spans="1:9" ht="3" customHeight="1">
      <c r="A65" s="362" t="b">
        <v>1</v>
      </c>
      <c r="C65" s="389"/>
      <c r="D65" s="390"/>
      <c r="E65" s="389"/>
      <c r="F65" s="390"/>
      <c r="G65" s="389"/>
    </row>
    <row r="66" spans="1:9" hidden="1">
      <c r="A66" s="362" t="b">
        <v>0</v>
      </c>
      <c r="B66" s="400" t="s">
        <v>731</v>
      </c>
      <c r="C66" s="395" t="s">
        <v>732</v>
      </c>
      <c r="D66" s="390"/>
      <c r="E66" s="395" t="s">
        <v>733</v>
      </c>
      <c r="F66" s="390"/>
      <c r="G66" s="395" t="s">
        <v>734</v>
      </c>
      <c r="H66" s="388" t="s">
        <v>720</v>
      </c>
    </row>
    <row r="67" spans="1:9" ht="3" hidden="1" customHeight="1">
      <c r="A67" s="362" t="b">
        <v>0</v>
      </c>
      <c r="C67" s="397"/>
      <c r="D67" s="390"/>
      <c r="E67" s="397"/>
      <c r="F67" s="390"/>
      <c r="G67" s="397"/>
    </row>
    <row r="68" spans="1:9" hidden="1">
      <c r="A68" s="362" t="b">
        <v>0</v>
      </c>
      <c r="B68" s="362" t="s">
        <v>721</v>
      </c>
      <c r="C68" s="401" t="s">
        <v>735</v>
      </c>
      <c r="D68" s="390"/>
      <c r="E68" s="401" t="s">
        <v>736</v>
      </c>
      <c r="F68" s="390"/>
      <c r="G68" s="401" t="s">
        <v>737</v>
      </c>
    </row>
    <row r="69" spans="1:9" ht="3" hidden="1" customHeight="1">
      <c r="A69" s="362" t="b">
        <v>0</v>
      </c>
      <c r="C69" s="397"/>
      <c r="D69" s="390"/>
      <c r="E69" s="397"/>
      <c r="F69" s="390"/>
      <c r="G69" s="397"/>
    </row>
    <row r="70" spans="1:9" hidden="1">
      <c r="A70" s="362" t="b">
        <v>0</v>
      </c>
      <c r="B70" s="362" t="s">
        <v>722</v>
      </c>
      <c r="C70" s="402" t="str">
        <f>C68&amp;"_light"</f>
        <v>Communication_1_light</v>
      </c>
      <c r="D70" s="390"/>
      <c r="E70" s="402" t="str">
        <f>E68&amp;"_light"</f>
        <v>Customer_Satisfaction_1_light</v>
      </c>
      <c r="F70" s="390"/>
      <c r="G70" s="402" t="str">
        <f>G68&amp;"_light"</f>
        <v>Cycle_light</v>
      </c>
    </row>
    <row r="71" spans="1:9" ht="3" hidden="1" customHeight="1">
      <c r="A71" s="362" t="b">
        <v>0</v>
      </c>
      <c r="C71" s="397"/>
      <c r="D71" s="390"/>
      <c r="E71" s="397"/>
      <c r="F71" s="390"/>
      <c r="G71" s="397"/>
    </row>
    <row r="72" spans="1:9" hidden="1">
      <c r="A72" s="362" t="b">
        <v>0</v>
      </c>
      <c r="B72" s="362" t="s">
        <v>723</v>
      </c>
      <c r="C72" s="403" t="s">
        <v>738</v>
      </c>
      <c r="D72" s="390"/>
      <c r="E72" s="403" t="s">
        <v>739</v>
      </c>
      <c r="F72" s="390"/>
      <c r="G72" s="403" t="s">
        <v>740</v>
      </c>
      <c r="H72" s="388" t="s">
        <v>715</v>
      </c>
    </row>
    <row r="73" spans="1:9" ht="3" hidden="1" customHeight="1">
      <c r="A73" s="362" t="b">
        <v>0</v>
      </c>
      <c r="C73" s="397"/>
      <c r="D73" s="390"/>
      <c r="E73" s="397"/>
      <c r="F73" s="390"/>
      <c r="G73" s="397"/>
    </row>
    <row r="74" spans="1:9" hidden="1">
      <c r="A74" s="362" t="b">
        <v>0</v>
      </c>
      <c r="B74" s="362" t="s">
        <v>726</v>
      </c>
      <c r="C74" s="403"/>
      <c r="D74" s="390"/>
      <c r="E74" s="403"/>
      <c r="F74" s="390"/>
      <c r="G74" s="403"/>
      <c r="H74" s="388" t="s">
        <v>727</v>
      </c>
      <c r="I74" s="365" t="s">
        <v>728</v>
      </c>
    </row>
    <row r="75" spans="1:9" ht="3" hidden="1" customHeight="1" thickBot="1">
      <c r="A75" s="362" t="b">
        <v>0</v>
      </c>
      <c r="C75" s="397"/>
      <c r="D75" s="390"/>
      <c r="E75" s="408"/>
      <c r="F75" s="390"/>
      <c r="G75" s="397"/>
    </row>
    <row r="76" spans="1:9" ht="13.2" hidden="1" thickBot="1">
      <c r="A76" s="362" t="b">
        <v>0</v>
      </c>
      <c r="B76" s="405" t="s">
        <v>729</v>
      </c>
      <c r="C76" s="406" t="b">
        <v>0</v>
      </c>
      <c r="D76" s="390"/>
      <c r="E76" s="406" t="b">
        <v>0</v>
      </c>
      <c r="F76" s="390"/>
      <c r="G76" s="406" t="b">
        <v>0</v>
      </c>
      <c r="H76" s="388" t="s">
        <v>730</v>
      </c>
      <c r="I76" s="407" t="b">
        <f>IF($I88=TRUE,TRUE,OR($C76,$E76,$G76))</f>
        <v>0</v>
      </c>
    </row>
    <row r="77" spans="1:9" ht="3" hidden="1" customHeight="1" thickBot="1">
      <c r="A77" s="362" t="b">
        <v>0</v>
      </c>
      <c r="C77" s="389"/>
      <c r="D77" s="390"/>
      <c r="E77" s="389"/>
      <c r="F77" s="390"/>
      <c r="G77" s="389"/>
    </row>
    <row r="78" spans="1:9" hidden="1">
      <c r="A78" s="362" t="b">
        <v>0</v>
      </c>
      <c r="B78" s="400" t="s">
        <v>741</v>
      </c>
      <c r="C78" s="395" t="s">
        <v>742</v>
      </c>
      <c r="D78" s="390"/>
      <c r="E78" s="395" t="s">
        <v>743</v>
      </c>
      <c r="F78" s="390"/>
      <c r="G78" s="395" t="s">
        <v>744</v>
      </c>
      <c r="H78" s="388" t="s">
        <v>720</v>
      </c>
    </row>
    <row r="79" spans="1:9" ht="3" hidden="1" customHeight="1">
      <c r="A79" s="362" t="b">
        <v>0</v>
      </c>
      <c r="C79" s="397"/>
      <c r="D79" s="390"/>
      <c r="E79" s="397"/>
      <c r="F79" s="390"/>
      <c r="G79" s="397"/>
    </row>
    <row r="80" spans="1:9" hidden="1">
      <c r="A80" s="362" t="b">
        <v>0</v>
      </c>
      <c r="B80" s="362" t="s">
        <v>721</v>
      </c>
      <c r="C80" s="401" t="s">
        <v>745</v>
      </c>
      <c r="D80" s="390"/>
      <c r="E80" s="401" t="s">
        <v>746</v>
      </c>
      <c r="F80" s="390"/>
      <c r="G80" s="401" t="s">
        <v>747</v>
      </c>
    </row>
    <row r="81" spans="1:10" ht="3" hidden="1" customHeight="1">
      <c r="A81" s="362" t="b">
        <v>0</v>
      </c>
      <c r="C81" s="397"/>
      <c r="D81" s="390"/>
      <c r="E81" s="397"/>
      <c r="F81" s="390"/>
      <c r="G81" s="397"/>
    </row>
    <row r="82" spans="1:10" hidden="1">
      <c r="A82" s="362" t="b">
        <v>0</v>
      </c>
      <c r="B82" s="362" t="s">
        <v>722</v>
      </c>
      <c r="C82" s="402" t="str">
        <f>C80&amp;"_light"</f>
        <v>Delivery_1_light</v>
      </c>
      <c r="D82" s="390"/>
      <c r="E82" s="402" t="str">
        <f>E80&amp;"_light"</f>
        <v>Email_1_light</v>
      </c>
      <c r="F82" s="390"/>
      <c r="G82" s="402" t="str">
        <f>G80&amp;"_light"</f>
        <v>Experience_1_light</v>
      </c>
    </row>
    <row r="83" spans="1:10" ht="3" hidden="1" customHeight="1">
      <c r="A83" s="362" t="b">
        <v>0</v>
      </c>
      <c r="C83" s="397"/>
      <c r="D83" s="390"/>
      <c r="E83" s="397"/>
      <c r="F83" s="390"/>
      <c r="G83" s="397"/>
    </row>
    <row r="84" spans="1:10" hidden="1">
      <c r="A84" s="362" t="b">
        <v>0</v>
      </c>
      <c r="B84" s="362" t="s">
        <v>723</v>
      </c>
      <c r="C84" s="403" t="s">
        <v>748</v>
      </c>
      <c r="D84" s="390"/>
      <c r="E84" s="403" t="s">
        <v>749</v>
      </c>
      <c r="F84" s="390"/>
      <c r="G84" s="403" t="s">
        <v>750</v>
      </c>
      <c r="H84" s="388" t="s">
        <v>715</v>
      </c>
    </row>
    <row r="85" spans="1:10" ht="3" hidden="1" customHeight="1">
      <c r="A85" s="362" t="b">
        <v>0</v>
      </c>
      <c r="C85" s="397"/>
      <c r="D85" s="390"/>
      <c r="E85" s="397"/>
      <c r="F85" s="390"/>
      <c r="G85" s="397"/>
    </row>
    <row r="86" spans="1:10" hidden="1">
      <c r="A86" s="362" t="b">
        <v>0</v>
      </c>
      <c r="B86" s="362" t="s">
        <v>726</v>
      </c>
      <c r="C86" s="403"/>
      <c r="D86" s="390"/>
      <c r="E86" s="403"/>
      <c r="F86" s="390"/>
      <c r="G86" s="403"/>
      <c r="H86" s="388" t="s">
        <v>727</v>
      </c>
      <c r="I86" s="365" t="s">
        <v>728</v>
      </c>
    </row>
    <row r="87" spans="1:10" ht="3" hidden="1" customHeight="1" thickBot="1">
      <c r="A87" s="362" t="b">
        <v>0</v>
      </c>
      <c r="C87" s="397"/>
      <c r="D87" s="390"/>
      <c r="E87" s="397"/>
      <c r="F87" s="390"/>
      <c r="G87" s="397"/>
    </row>
    <row r="88" spans="1:10" ht="13.2" hidden="1" thickBot="1">
      <c r="A88" s="362" t="b">
        <v>0</v>
      </c>
      <c r="B88" s="405" t="s">
        <v>729</v>
      </c>
      <c r="C88" s="406" t="b">
        <v>0</v>
      </c>
      <c r="D88" s="390"/>
      <c r="E88" s="406" t="b">
        <v>0</v>
      </c>
      <c r="F88" s="390"/>
      <c r="G88" s="406" t="b">
        <v>0</v>
      </c>
      <c r="H88" s="388" t="s">
        <v>730</v>
      </c>
      <c r="I88" s="407" t="b">
        <f>OR($C88,$E88,$G88)</f>
        <v>0</v>
      </c>
    </row>
    <row r="89" spans="1:10" ht="18.75" customHeight="1" thickBot="1"/>
    <row r="90" spans="1:10">
      <c r="A90" s="394">
        <v>2</v>
      </c>
      <c r="B90" s="362" t="s">
        <v>713</v>
      </c>
      <c r="C90" s="395" t="s">
        <v>751</v>
      </c>
      <c r="E90" s="362" t="s">
        <v>752</v>
      </c>
    </row>
    <row r="91" spans="1:10" ht="3" customHeight="1" thickBot="1">
      <c r="A91" s="362" t="b">
        <v>0</v>
      </c>
      <c r="C91" s="397"/>
    </row>
    <row r="92" spans="1:10" ht="13.2" thickBot="1">
      <c r="B92" s="362" t="s">
        <v>716</v>
      </c>
      <c r="C92" s="398" t="b">
        <v>0</v>
      </c>
      <c r="E92" s="362" t="s">
        <v>753</v>
      </c>
      <c r="I92" s="399">
        <f>I104+I116+I128</f>
        <v>0</v>
      </c>
      <c r="J92" s="365" t="s">
        <v>754</v>
      </c>
    </row>
    <row r="93" spans="1:10" ht="3" customHeight="1">
      <c r="A93" s="362" t="b">
        <v>0</v>
      </c>
      <c r="C93" s="389"/>
      <c r="D93" s="390"/>
    </row>
    <row r="94" spans="1:10" hidden="1">
      <c r="A94" s="362" t="b">
        <v>0</v>
      </c>
      <c r="B94" s="400" t="s">
        <v>719</v>
      </c>
      <c r="C94" s="395" t="s">
        <v>755</v>
      </c>
      <c r="D94" s="390"/>
      <c r="E94" s="395" t="s">
        <v>756</v>
      </c>
      <c r="F94" s="390"/>
      <c r="G94" s="395" t="s">
        <v>757</v>
      </c>
      <c r="H94" s="388" t="s">
        <v>720</v>
      </c>
    </row>
    <row r="95" spans="1:10" ht="3" hidden="1" customHeight="1">
      <c r="A95" s="362" t="b">
        <v>0</v>
      </c>
      <c r="C95" s="397"/>
      <c r="D95" s="390"/>
      <c r="E95" s="397"/>
      <c r="F95" s="390"/>
      <c r="G95" s="397"/>
    </row>
    <row r="96" spans="1:10" hidden="1">
      <c r="A96" s="362" t="b">
        <v>0</v>
      </c>
      <c r="B96" s="362" t="s">
        <v>721</v>
      </c>
      <c r="C96" s="401" t="s">
        <v>758</v>
      </c>
      <c r="D96" s="390"/>
      <c r="E96" s="401" t="s">
        <v>759</v>
      </c>
      <c r="F96" s="390"/>
      <c r="G96" s="401" t="s">
        <v>760</v>
      </c>
    </row>
    <row r="97" spans="1:9" ht="3" hidden="1" customHeight="1">
      <c r="A97" s="362" t="b">
        <v>0</v>
      </c>
      <c r="C97" s="397"/>
      <c r="D97" s="390"/>
      <c r="E97" s="397"/>
      <c r="F97" s="390"/>
      <c r="G97" s="397"/>
    </row>
    <row r="98" spans="1:9" hidden="1">
      <c r="A98" s="362" t="b">
        <v>0</v>
      </c>
      <c r="B98" s="362" t="s">
        <v>722</v>
      </c>
      <c r="C98" s="402" t="str">
        <f>C96&amp;"_light"</f>
        <v>Experience_2_light</v>
      </c>
      <c r="D98" s="390"/>
      <c r="E98" s="402" t="str">
        <f>E96&amp;"_light"</f>
        <v>Feedback_1_light</v>
      </c>
      <c r="F98" s="390"/>
      <c r="G98" s="402" t="str">
        <f>G96&amp;"_light"</f>
        <v>Feedback_Communcation_1_light</v>
      </c>
    </row>
    <row r="99" spans="1:9" ht="3" hidden="1" customHeight="1">
      <c r="A99" s="362" t="b">
        <v>0</v>
      </c>
      <c r="C99" s="397"/>
      <c r="D99" s="390"/>
      <c r="E99" s="397"/>
      <c r="F99" s="390"/>
      <c r="G99" s="397"/>
    </row>
    <row r="100" spans="1:9" hidden="1">
      <c r="A100" s="362" t="b">
        <v>0</v>
      </c>
      <c r="B100" s="362" t="s">
        <v>723</v>
      </c>
      <c r="C100" s="403" t="s">
        <v>252</v>
      </c>
      <c r="D100" s="390"/>
      <c r="E100" s="403" t="s">
        <v>724</v>
      </c>
      <c r="F100" s="390"/>
      <c r="G100" s="403" t="s">
        <v>725</v>
      </c>
      <c r="H100" s="388" t="s">
        <v>715</v>
      </c>
    </row>
    <row r="101" spans="1:9" ht="3" hidden="1" customHeight="1">
      <c r="A101" s="362" t="b">
        <v>0</v>
      </c>
      <c r="C101" s="397"/>
      <c r="D101" s="390"/>
      <c r="E101" s="397"/>
      <c r="F101" s="390"/>
      <c r="G101" s="397"/>
    </row>
    <row r="102" spans="1:9" hidden="1">
      <c r="A102" s="362" t="b">
        <v>0</v>
      </c>
      <c r="B102" s="362" t="s">
        <v>726</v>
      </c>
      <c r="C102" s="403"/>
      <c r="D102" s="390"/>
      <c r="E102" s="403"/>
      <c r="F102" s="390"/>
      <c r="G102" s="403"/>
      <c r="H102" s="388" t="s">
        <v>727</v>
      </c>
      <c r="I102" s="365" t="s">
        <v>728</v>
      </c>
    </row>
    <row r="103" spans="1:9" ht="3" hidden="1" customHeight="1" thickBot="1">
      <c r="A103" s="362" t="b">
        <v>0</v>
      </c>
      <c r="C103" s="397"/>
      <c r="D103" s="390"/>
      <c r="E103" s="397"/>
      <c r="F103" s="390"/>
      <c r="G103" s="397"/>
    </row>
    <row r="104" spans="1:9" ht="13.2" hidden="1" thickBot="1">
      <c r="A104" s="362" t="b">
        <v>0</v>
      </c>
      <c r="B104" s="405" t="s">
        <v>729</v>
      </c>
      <c r="C104" s="406" t="b">
        <v>0</v>
      </c>
      <c r="D104" s="390"/>
      <c r="E104" s="406" t="b">
        <v>0</v>
      </c>
      <c r="F104" s="390"/>
      <c r="G104" s="406" t="b">
        <v>0</v>
      </c>
      <c r="H104" s="388" t="s">
        <v>730</v>
      </c>
      <c r="I104" s="407" t="b">
        <f>IF($C92=TRUE,TRUE)</f>
        <v>0</v>
      </c>
    </row>
    <row r="105" spans="1:9" ht="3" hidden="1" customHeight="1" thickBot="1">
      <c r="A105" s="362" t="b">
        <v>0</v>
      </c>
      <c r="C105" s="389"/>
      <c r="D105" s="390"/>
      <c r="E105" s="389"/>
      <c r="F105" s="390"/>
      <c r="G105" s="389"/>
    </row>
    <row r="106" spans="1:9" hidden="1">
      <c r="A106" s="362" t="b">
        <v>0</v>
      </c>
      <c r="B106" s="400" t="s">
        <v>731</v>
      </c>
      <c r="C106" s="395" t="s">
        <v>761</v>
      </c>
      <c r="D106" s="390"/>
      <c r="E106" s="395" t="s">
        <v>762</v>
      </c>
      <c r="F106" s="390"/>
      <c r="G106" s="395" t="s">
        <v>763</v>
      </c>
      <c r="H106" s="388" t="s">
        <v>720</v>
      </c>
    </row>
    <row r="107" spans="1:9" ht="3" hidden="1" customHeight="1">
      <c r="A107" s="362" t="b">
        <v>0</v>
      </c>
      <c r="C107" s="397"/>
      <c r="D107" s="390"/>
      <c r="E107" s="397"/>
      <c r="F107" s="390"/>
      <c r="G107" s="397"/>
    </row>
    <row r="108" spans="1:9" hidden="1">
      <c r="A108" s="362" t="b">
        <v>0</v>
      </c>
      <c r="B108" s="362" t="s">
        <v>721</v>
      </c>
      <c r="C108" s="401" t="s">
        <v>764</v>
      </c>
      <c r="D108" s="390"/>
      <c r="E108" s="401" t="s">
        <v>765</v>
      </c>
      <c r="F108" s="390"/>
      <c r="G108" s="401" t="s">
        <v>766</v>
      </c>
    </row>
    <row r="109" spans="1:9" ht="3" hidden="1" customHeight="1">
      <c r="A109" s="362" t="b">
        <v>0</v>
      </c>
      <c r="C109" s="397"/>
      <c r="D109" s="390"/>
      <c r="E109" s="397"/>
      <c r="F109" s="390"/>
      <c r="G109" s="397"/>
    </row>
    <row r="110" spans="1:9" hidden="1">
      <c r="A110" s="362" t="b">
        <v>0</v>
      </c>
      <c r="B110" s="362" t="s">
        <v>722</v>
      </c>
      <c r="C110" s="402" t="str">
        <f>C108&amp;"_light"</f>
        <v>Find_Research_1_light</v>
      </c>
      <c r="D110" s="390"/>
      <c r="E110" s="402" t="str">
        <f>E108&amp;"_light"</f>
        <v>Fire_1_light</v>
      </c>
      <c r="F110" s="390"/>
      <c r="G110" s="402" t="str">
        <f>G108&amp;"_light"</f>
        <v>Gears_1_light</v>
      </c>
    </row>
    <row r="111" spans="1:9" ht="3" hidden="1" customHeight="1">
      <c r="A111" s="362" t="b">
        <v>0</v>
      </c>
      <c r="C111" s="397"/>
      <c r="D111" s="390"/>
      <c r="E111" s="397"/>
      <c r="F111" s="390"/>
      <c r="G111" s="397"/>
    </row>
    <row r="112" spans="1:9" hidden="1">
      <c r="A112" s="362" t="b">
        <v>0</v>
      </c>
      <c r="B112" s="362" t="s">
        <v>723</v>
      </c>
      <c r="C112" s="403" t="s">
        <v>738</v>
      </c>
      <c r="D112" s="390"/>
      <c r="E112" s="403" t="s">
        <v>739</v>
      </c>
      <c r="F112" s="390"/>
      <c r="G112" s="403" t="s">
        <v>740</v>
      </c>
      <c r="H112" s="388" t="s">
        <v>715</v>
      </c>
    </row>
    <row r="113" spans="1:9" ht="3" hidden="1" customHeight="1">
      <c r="A113" s="362" t="b">
        <v>0</v>
      </c>
      <c r="C113" s="397"/>
      <c r="D113" s="390"/>
      <c r="E113" s="397"/>
      <c r="F113" s="390"/>
      <c r="G113" s="397"/>
    </row>
    <row r="114" spans="1:9" hidden="1">
      <c r="A114" s="362" t="b">
        <v>0</v>
      </c>
      <c r="B114" s="362" t="s">
        <v>726</v>
      </c>
      <c r="C114" s="403"/>
      <c r="D114" s="390"/>
      <c r="E114" s="403"/>
      <c r="F114" s="390"/>
      <c r="G114" s="403"/>
      <c r="H114" s="388" t="s">
        <v>727</v>
      </c>
      <c r="I114" s="365" t="s">
        <v>728</v>
      </c>
    </row>
    <row r="115" spans="1:9" ht="3" hidden="1" customHeight="1" thickBot="1">
      <c r="A115" s="362" t="b">
        <v>0</v>
      </c>
      <c r="C115" s="397"/>
      <c r="D115" s="390"/>
      <c r="E115" s="397"/>
      <c r="F115" s="390"/>
      <c r="G115" s="397"/>
    </row>
    <row r="116" spans="1:9" ht="13.2" hidden="1" thickBot="1">
      <c r="A116" s="362" t="b">
        <v>0</v>
      </c>
      <c r="B116" s="405" t="s">
        <v>729</v>
      </c>
      <c r="C116" s="406" t="b">
        <v>0</v>
      </c>
      <c r="D116" s="390"/>
      <c r="E116" s="406" t="b">
        <v>0</v>
      </c>
      <c r="F116" s="390"/>
      <c r="G116" s="406" t="b">
        <v>0</v>
      </c>
      <c r="H116" s="388" t="s">
        <v>730</v>
      </c>
      <c r="I116" s="407" t="b">
        <f>IF($I128=TRUE,TRUE,OR($C116,$E116,$G116))</f>
        <v>0</v>
      </c>
    </row>
    <row r="117" spans="1:9" ht="3" hidden="1" customHeight="1" thickBot="1">
      <c r="A117" s="362" t="b">
        <v>0</v>
      </c>
      <c r="C117" s="389"/>
      <c r="D117" s="390"/>
      <c r="E117" s="389"/>
      <c r="F117" s="390"/>
      <c r="G117" s="389"/>
    </row>
    <row r="118" spans="1:9" hidden="1">
      <c r="A118" s="362" t="b">
        <v>0</v>
      </c>
      <c r="B118" s="400" t="s">
        <v>741</v>
      </c>
      <c r="C118" s="395" t="s">
        <v>767</v>
      </c>
      <c r="D118" s="390"/>
      <c r="E118" s="395" t="s">
        <v>768</v>
      </c>
      <c r="F118" s="390"/>
      <c r="G118" s="395" t="s">
        <v>769</v>
      </c>
      <c r="H118" s="388" t="s">
        <v>720</v>
      </c>
    </row>
    <row r="119" spans="1:9" ht="3" hidden="1" customHeight="1">
      <c r="A119" s="362" t="b">
        <v>0</v>
      </c>
      <c r="C119" s="397"/>
      <c r="D119" s="390"/>
      <c r="E119" s="397"/>
      <c r="F119" s="390"/>
      <c r="G119" s="397"/>
    </row>
    <row r="120" spans="1:9" hidden="1">
      <c r="A120" s="362" t="b">
        <v>0</v>
      </c>
      <c r="B120" s="362" t="s">
        <v>721</v>
      </c>
      <c r="C120" s="401" t="s">
        <v>770</v>
      </c>
      <c r="D120" s="390"/>
      <c r="E120" s="401" t="s">
        <v>771</v>
      </c>
      <c r="F120" s="390"/>
      <c r="G120" s="401" t="s">
        <v>772</v>
      </c>
    </row>
    <row r="121" spans="1:9" ht="3" hidden="1" customHeight="1">
      <c r="A121" s="362" t="b">
        <v>0</v>
      </c>
      <c r="C121" s="397"/>
      <c r="D121" s="390"/>
      <c r="E121" s="397"/>
      <c r="F121" s="390"/>
      <c r="G121" s="397"/>
    </row>
    <row r="122" spans="1:9" hidden="1">
      <c r="A122" s="362" t="b">
        <v>0</v>
      </c>
      <c r="B122" s="362" t="s">
        <v>722</v>
      </c>
      <c r="C122" s="402" t="str">
        <f>C120&amp;"_light"</f>
        <v>Global_1_light</v>
      </c>
      <c r="D122" s="390"/>
      <c r="E122" s="402" t="str">
        <f>E120&amp;"_light"</f>
        <v>Goal_Target_1_light</v>
      </c>
      <c r="F122" s="390"/>
      <c r="G122" s="402" t="str">
        <f>G120&amp;"_light"</f>
        <v>Good_Job_1_light</v>
      </c>
    </row>
    <row r="123" spans="1:9" ht="3" hidden="1" customHeight="1">
      <c r="A123" s="362" t="b">
        <v>0</v>
      </c>
      <c r="C123" s="397"/>
      <c r="D123" s="390"/>
      <c r="E123" s="397"/>
      <c r="F123" s="390"/>
      <c r="G123" s="397"/>
    </row>
    <row r="124" spans="1:9" hidden="1">
      <c r="A124" s="362" t="b">
        <v>0</v>
      </c>
      <c r="B124" s="362" t="s">
        <v>723</v>
      </c>
      <c r="C124" s="403" t="s">
        <v>748</v>
      </c>
      <c r="D124" s="390"/>
      <c r="E124" s="403" t="s">
        <v>749</v>
      </c>
      <c r="F124" s="390"/>
      <c r="G124" s="403" t="s">
        <v>750</v>
      </c>
      <c r="H124" s="388" t="s">
        <v>715</v>
      </c>
    </row>
    <row r="125" spans="1:9" ht="3" hidden="1" customHeight="1">
      <c r="A125" s="362" t="b">
        <v>0</v>
      </c>
      <c r="C125" s="397"/>
      <c r="D125" s="390"/>
      <c r="E125" s="397"/>
      <c r="F125" s="390"/>
      <c r="G125" s="397"/>
    </row>
    <row r="126" spans="1:9" hidden="1">
      <c r="A126" s="362" t="b">
        <v>0</v>
      </c>
      <c r="B126" s="362" t="s">
        <v>726</v>
      </c>
      <c r="C126" s="403"/>
      <c r="D126" s="390"/>
      <c r="E126" s="403"/>
      <c r="F126" s="390"/>
      <c r="G126" s="403"/>
      <c r="H126" s="388" t="s">
        <v>727</v>
      </c>
      <c r="I126" s="365" t="s">
        <v>728</v>
      </c>
    </row>
    <row r="127" spans="1:9" ht="3" hidden="1" customHeight="1" thickBot="1">
      <c r="A127" s="362" t="b">
        <v>0</v>
      </c>
      <c r="C127" s="397"/>
      <c r="D127" s="390"/>
      <c r="E127" s="397"/>
      <c r="F127" s="390"/>
      <c r="G127" s="397"/>
    </row>
    <row r="128" spans="1:9" ht="13.2" hidden="1" thickBot="1">
      <c r="A128" s="362" t="b">
        <v>0</v>
      </c>
      <c r="B128" s="405" t="s">
        <v>729</v>
      </c>
      <c r="C128" s="406" t="b">
        <v>0</v>
      </c>
      <c r="D128" s="390"/>
      <c r="E128" s="406" t="b">
        <v>0</v>
      </c>
      <c r="F128" s="390"/>
      <c r="G128" s="406" t="b">
        <v>0</v>
      </c>
      <c r="H128" s="388" t="s">
        <v>730</v>
      </c>
      <c r="I128" s="407" t="b">
        <f>OR($C128,$E128,$G128)</f>
        <v>0</v>
      </c>
    </row>
    <row r="129" spans="1:10" ht="18.75" customHeight="1" thickBot="1"/>
    <row r="130" spans="1:10">
      <c r="A130" s="394">
        <v>3</v>
      </c>
      <c r="B130" s="362" t="s">
        <v>713</v>
      </c>
      <c r="C130" s="395" t="s">
        <v>773</v>
      </c>
      <c r="E130" s="362" t="s">
        <v>774</v>
      </c>
    </row>
    <row r="131" spans="1:10" ht="3" customHeight="1" thickBot="1">
      <c r="A131" s="362" t="b">
        <v>0</v>
      </c>
      <c r="C131" s="397"/>
    </row>
    <row r="132" spans="1:10" ht="13.2" thickBot="1">
      <c r="B132" s="362" t="s">
        <v>716</v>
      </c>
      <c r="C132" s="398" t="b">
        <v>0</v>
      </c>
      <c r="E132" s="362" t="s">
        <v>775</v>
      </c>
      <c r="I132" s="399">
        <f>I144+I156+I168</f>
        <v>0</v>
      </c>
      <c r="J132" s="365" t="s">
        <v>776</v>
      </c>
    </row>
    <row r="133" spans="1:10" ht="3" customHeight="1">
      <c r="A133" s="362" t="b">
        <v>0</v>
      </c>
      <c r="C133" s="389"/>
      <c r="D133" s="390"/>
    </row>
    <row r="134" spans="1:10" hidden="1">
      <c r="A134" s="362" t="b">
        <v>0</v>
      </c>
      <c r="B134" s="400" t="s">
        <v>719</v>
      </c>
      <c r="C134" s="395" t="s">
        <v>777</v>
      </c>
      <c r="D134" s="390"/>
      <c r="E134" s="395" t="s">
        <v>778</v>
      </c>
      <c r="F134" s="390"/>
      <c r="G134" s="395" t="s">
        <v>779</v>
      </c>
      <c r="H134" s="388" t="s">
        <v>720</v>
      </c>
    </row>
    <row r="135" spans="1:10" ht="3" hidden="1" customHeight="1">
      <c r="A135" s="362" t="b">
        <v>0</v>
      </c>
      <c r="C135" s="397"/>
      <c r="D135" s="390"/>
      <c r="E135" s="397"/>
      <c r="F135" s="390"/>
      <c r="G135" s="397"/>
    </row>
    <row r="136" spans="1:10" hidden="1">
      <c r="A136" s="362" t="b">
        <v>0</v>
      </c>
      <c r="B136" s="362" t="s">
        <v>721</v>
      </c>
      <c r="C136" s="401" t="s">
        <v>780</v>
      </c>
      <c r="D136" s="390"/>
      <c r="E136" s="401" t="s">
        <v>781</v>
      </c>
      <c r="F136" s="390"/>
      <c r="G136" s="401" t="s">
        <v>782</v>
      </c>
    </row>
    <row r="137" spans="1:10" ht="3" hidden="1" customHeight="1">
      <c r="A137" s="362" t="b">
        <v>0</v>
      </c>
      <c r="C137" s="397"/>
      <c r="D137" s="390"/>
      <c r="E137" s="397"/>
      <c r="F137" s="390"/>
      <c r="G137" s="397"/>
    </row>
    <row r="138" spans="1:10" hidden="1">
      <c r="A138" s="362" t="b">
        <v>0</v>
      </c>
      <c r="B138" s="362" t="s">
        <v>722</v>
      </c>
      <c r="C138" s="402" t="str">
        <f>C136&amp;"_light"</f>
        <v>Growth_1_light</v>
      </c>
      <c r="D138" s="390"/>
      <c r="E138" s="402" t="str">
        <f>E136&amp;"_light"</f>
        <v>Ideas_Knowledge_1_light</v>
      </c>
      <c r="F138" s="390"/>
      <c r="G138" s="402" t="str">
        <f>G136&amp;"_light"</f>
        <v>Ideas_Knowledge_2_light</v>
      </c>
    </row>
    <row r="139" spans="1:10" ht="3" hidden="1" customHeight="1">
      <c r="A139" s="362" t="b">
        <v>0</v>
      </c>
      <c r="C139" s="397"/>
      <c r="D139" s="390"/>
      <c r="E139" s="397"/>
      <c r="F139" s="390"/>
      <c r="G139" s="397"/>
    </row>
    <row r="140" spans="1:10" hidden="1">
      <c r="A140" s="362" t="b">
        <v>0</v>
      </c>
      <c r="B140" s="362" t="s">
        <v>723</v>
      </c>
      <c r="C140" s="403" t="s">
        <v>252</v>
      </c>
      <c r="D140" s="390"/>
      <c r="E140" s="403" t="s">
        <v>724</v>
      </c>
      <c r="F140" s="390"/>
      <c r="G140" s="403" t="s">
        <v>725</v>
      </c>
      <c r="H140" s="388" t="s">
        <v>715</v>
      </c>
    </row>
    <row r="141" spans="1:10" ht="3" hidden="1" customHeight="1">
      <c r="A141" s="362" t="b">
        <v>0</v>
      </c>
      <c r="C141" s="397"/>
      <c r="D141" s="390"/>
      <c r="E141" s="397"/>
      <c r="F141" s="390"/>
      <c r="G141" s="397"/>
    </row>
    <row r="142" spans="1:10" hidden="1">
      <c r="A142" s="362" t="b">
        <v>0</v>
      </c>
      <c r="B142" s="362" t="s">
        <v>726</v>
      </c>
      <c r="C142" s="403"/>
      <c r="D142" s="390"/>
      <c r="E142" s="403"/>
      <c r="F142" s="390"/>
      <c r="G142" s="403"/>
      <c r="H142" s="388" t="s">
        <v>727</v>
      </c>
      <c r="I142" s="365" t="s">
        <v>728</v>
      </c>
    </row>
    <row r="143" spans="1:10" ht="3" hidden="1" customHeight="1" thickBot="1">
      <c r="A143" s="362" t="b">
        <v>0</v>
      </c>
      <c r="C143" s="397"/>
      <c r="D143" s="390"/>
      <c r="E143" s="397"/>
      <c r="F143" s="390"/>
      <c r="G143" s="397"/>
    </row>
    <row r="144" spans="1:10" ht="13.2" hidden="1" thickBot="1">
      <c r="A144" s="362" t="b">
        <v>0</v>
      </c>
      <c r="B144" s="405" t="s">
        <v>729</v>
      </c>
      <c r="C144" s="406" t="b">
        <v>0</v>
      </c>
      <c r="D144" s="390"/>
      <c r="E144" s="406" t="b">
        <v>0</v>
      </c>
      <c r="F144" s="390"/>
      <c r="G144" s="406" t="b">
        <v>0</v>
      </c>
      <c r="H144" s="388" t="s">
        <v>730</v>
      </c>
      <c r="I144" s="407" t="b">
        <f>IF($C132=TRUE,TRUE)</f>
        <v>0</v>
      </c>
    </row>
    <row r="145" spans="1:9" ht="3" hidden="1" customHeight="1" thickBot="1">
      <c r="A145" s="362" t="b">
        <v>0</v>
      </c>
      <c r="C145" s="389"/>
      <c r="D145" s="390"/>
      <c r="E145" s="389"/>
      <c r="F145" s="390"/>
      <c r="G145" s="389"/>
    </row>
    <row r="146" spans="1:9" hidden="1">
      <c r="A146" s="362" t="b">
        <v>0</v>
      </c>
      <c r="B146" s="400" t="s">
        <v>731</v>
      </c>
      <c r="C146" s="395" t="s">
        <v>783</v>
      </c>
      <c r="D146" s="390"/>
      <c r="E146" s="395" t="s">
        <v>784</v>
      </c>
      <c r="F146" s="390"/>
      <c r="G146" s="395" t="s">
        <v>785</v>
      </c>
      <c r="H146" s="388" t="s">
        <v>720</v>
      </c>
    </row>
    <row r="147" spans="1:9" ht="3" hidden="1" customHeight="1">
      <c r="A147" s="362" t="b">
        <v>0</v>
      </c>
      <c r="C147" s="397"/>
      <c r="D147" s="390"/>
      <c r="E147" s="397"/>
      <c r="F147" s="390"/>
      <c r="G147" s="397"/>
    </row>
    <row r="148" spans="1:9" hidden="1">
      <c r="A148" s="362" t="b">
        <v>0</v>
      </c>
      <c r="B148" s="362" t="s">
        <v>721</v>
      </c>
      <c r="C148" s="401" t="s">
        <v>786</v>
      </c>
      <c r="D148" s="390"/>
      <c r="E148" s="401" t="s">
        <v>787</v>
      </c>
      <c r="F148" s="390"/>
      <c r="G148" s="401" t="s">
        <v>788</v>
      </c>
    </row>
    <row r="149" spans="1:9" ht="3" hidden="1" customHeight="1">
      <c r="A149" s="362" t="b">
        <v>0</v>
      </c>
      <c r="C149" s="397"/>
      <c r="D149" s="390"/>
      <c r="E149" s="397"/>
      <c r="F149" s="390"/>
      <c r="G149" s="397"/>
    </row>
    <row r="150" spans="1:9" hidden="1">
      <c r="A150" s="362" t="b">
        <v>0</v>
      </c>
      <c r="B150" s="362" t="s">
        <v>722</v>
      </c>
      <c r="C150" s="402" t="str">
        <f>C148&amp;"_light"</f>
        <v>Ideas_Knowledge_3_light</v>
      </c>
      <c r="D150" s="390"/>
      <c r="E150" s="402" t="str">
        <f>E148&amp;"_light"</f>
        <v>Initiatives_light</v>
      </c>
      <c r="F150" s="390"/>
      <c r="G150" s="402" t="str">
        <f>G148&amp;"_light"</f>
        <v>Interview_1_light</v>
      </c>
    </row>
    <row r="151" spans="1:9" ht="3" hidden="1" customHeight="1">
      <c r="A151" s="362" t="b">
        <v>0</v>
      </c>
      <c r="C151" s="397"/>
      <c r="D151" s="390"/>
      <c r="E151" s="397"/>
      <c r="F151" s="390"/>
      <c r="G151" s="397"/>
    </row>
    <row r="152" spans="1:9" hidden="1">
      <c r="A152" s="362" t="b">
        <v>0</v>
      </c>
      <c r="B152" s="362" t="s">
        <v>723</v>
      </c>
      <c r="C152" s="403" t="s">
        <v>738</v>
      </c>
      <c r="D152" s="390"/>
      <c r="E152" s="403" t="s">
        <v>739</v>
      </c>
      <c r="F152" s="390"/>
      <c r="G152" s="403" t="s">
        <v>740</v>
      </c>
      <c r="H152" s="388" t="s">
        <v>715</v>
      </c>
    </row>
    <row r="153" spans="1:9" ht="3" hidden="1" customHeight="1">
      <c r="A153" s="362" t="b">
        <v>0</v>
      </c>
      <c r="C153" s="397"/>
      <c r="D153" s="390"/>
      <c r="E153" s="397"/>
      <c r="F153" s="390"/>
      <c r="G153" s="397"/>
    </row>
    <row r="154" spans="1:9" hidden="1">
      <c r="A154" s="362" t="b">
        <v>0</v>
      </c>
      <c r="B154" s="362" t="s">
        <v>726</v>
      </c>
      <c r="C154" s="403"/>
      <c r="D154" s="390"/>
      <c r="E154" s="403"/>
      <c r="F154" s="390"/>
      <c r="G154" s="403"/>
      <c r="H154" s="388" t="s">
        <v>727</v>
      </c>
      <c r="I154" s="365" t="s">
        <v>728</v>
      </c>
    </row>
    <row r="155" spans="1:9" ht="3" hidden="1" customHeight="1" thickBot="1">
      <c r="A155" s="362" t="b">
        <v>0</v>
      </c>
      <c r="C155" s="397"/>
      <c r="D155" s="390"/>
      <c r="E155" s="397"/>
      <c r="F155" s="390"/>
      <c r="G155" s="397"/>
    </row>
    <row r="156" spans="1:9" ht="13.2" hidden="1" thickBot="1">
      <c r="A156" s="362" t="b">
        <v>0</v>
      </c>
      <c r="B156" s="405" t="s">
        <v>729</v>
      </c>
      <c r="C156" s="406" t="b">
        <v>0</v>
      </c>
      <c r="D156" s="390"/>
      <c r="E156" s="406" t="b">
        <v>0</v>
      </c>
      <c r="F156" s="390"/>
      <c r="G156" s="406" t="b">
        <v>0</v>
      </c>
      <c r="H156" s="388" t="s">
        <v>730</v>
      </c>
      <c r="I156" s="407" t="b">
        <f>IF($I168=TRUE,TRUE,OR($C156,$E156,$G156))</f>
        <v>0</v>
      </c>
    </row>
    <row r="157" spans="1:9" ht="3" hidden="1" customHeight="1" thickBot="1">
      <c r="A157" s="362" t="b">
        <v>0</v>
      </c>
      <c r="C157" s="389"/>
      <c r="D157" s="390"/>
      <c r="E157" s="389"/>
      <c r="F157" s="390"/>
      <c r="G157" s="389"/>
    </row>
    <row r="158" spans="1:9" hidden="1">
      <c r="A158" s="362" t="b">
        <v>0</v>
      </c>
      <c r="B158" s="400" t="s">
        <v>741</v>
      </c>
      <c r="C158" s="395" t="s">
        <v>789</v>
      </c>
      <c r="D158" s="390"/>
      <c r="E158" s="395" t="s">
        <v>790</v>
      </c>
      <c r="F158" s="390"/>
      <c r="G158" s="395" t="s">
        <v>791</v>
      </c>
      <c r="H158" s="388" t="s">
        <v>720</v>
      </c>
    </row>
    <row r="159" spans="1:9" ht="3" hidden="1" customHeight="1">
      <c r="A159" s="362" t="b">
        <v>0</v>
      </c>
      <c r="C159" s="397"/>
      <c r="D159" s="390"/>
      <c r="E159" s="397"/>
      <c r="F159" s="390"/>
      <c r="G159" s="397"/>
    </row>
    <row r="160" spans="1:9" hidden="1">
      <c r="A160" s="362" t="b">
        <v>0</v>
      </c>
      <c r="B160" s="362" t="s">
        <v>721</v>
      </c>
      <c r="C160" s="401" t="s">
        <v>792</v>
      </c>
      <c r="D160" s="390"/>
      <c r="E160" s="401" t="s">
        <v>793</v>
      </c>
      <c r="F160" s="390"/>
      <c r="G160" s="401" t="s">
        <v>794</v>
      </c>
    </row>
    <row r="161" spans="1:10" ht="3" hidden="1" customHeight="1">
      <c r="A161" s="362" t="b">
        <v>0</v>
      </c>
      <c r="C161" s="397"/>
      <c r="D161" s="390"/>
      <c r="E161" s="397"/>
      <c r="F161" s="390"/>
      <c r="G161" s="397"/>
    </row>
    <row r="162" spans="1:10" hidden="1">
      <c r="A162" s="362" t="b">
        <v>0</v>
      </c>
      <c r="B162" s="362" t="s">
        <v>722</v>
      </c>
      <c r="C162" s="402" t="str">
        <f>C160&amp;"_light"</f>
        <v>Investment_1_light</v>
      </c>
      <c r="D162" s="390"/>
      <c r="E162" s="402" t="str">
        <f>E160&amp;"_light"</f>
        <v>KickOff_1_light</v>
      </c>
      <c r="F162" s="390"/>
      <c r="G162" s="402" t="str">
        <f>G160&amp;"_light"</f>
        <v>Leadership_1_light</v>
      </c>
    </row>
    <row r="163" spans="1:10" ht="3" hidden="1" customHeight="1">
      <c r="A163" s="362" t="b">
        <v>0</v>
      </c>
      <c r="C163" s="397"/>
      <c r="D163" s="390"/>
      <c r="E163" s="397"/>
      <c r="F163" s="390"/>
      <c r="G163" s="397"/>
    </row>
    <row r="164" spans="1:10" hidden="1">
      <c r="A164" s="362" t="b">
        <v>0</v>
      </c>
      <c r="B164" s="362" t="s">
        <v>723</v>
      </c>
      <c r="C164" s="403" t="s">
        <v>748</v>
      </c>
      <c r="D164" s="390"/>
      <c r="E164" s="403" t="s">
        <v>749</v>
      </c>
      <c r="F164" s="390"/>
      <c r="G164" s="403" t="s">
        <v>750</v>
      </c>
      <c r="H164" s="388" t="s">
        <v>715</v>
      </c>
    </row>
    <row r="165" spans="1:10" ht="3" hidden="1" customHeight="1">
      <c r="A165" s="362" t="b">
        <v>0</v>
      </c>
      <c r="C165" s="397"/>
      <c r="D165" s="390"/>
      <c r="E165" s="397"/>
      <c r="F165" s="390"/>
      <c r="G165" s="397"/>
    </row>
    <row r="166" spans="1:10" hidden="1">
      <c r="A166" s="362" t="b">
        <v>0</v>
      </c>
      <c r="B166" s="362" t="s">
        <v>726</v>
      </c>
      <c r="C166" s="403"/>
      <c r="D166" s="390"/>
      <c r="E166" s="403"/>
      <c r="F166" s="390"/>
      <c r="G166" s="403"/>
      <c r="H166" s="388" t="s">
        <v>727</v>
      </c>
      <c r="I166" s="365" t="s">
        <v>728</v>
      </c>
    </row>
    <row r="167" spans="1:10" ht="3" hidden="1" customHeight="1" thickBot="1">
      <c r="A167" s="362" t="b">
        <v>0</v>
      </c>
      <c r="C167" s="397"/>
      <c r="D167" s="390"/>
      <c r="E167" s="397"/>
      <c r="F167" s="390"/>
      <c r="G167" s="397"/>
    </row>
    <row r="168" spans="1:10" ht="13.2" hidden="1" thickBot="1">
      <c r="A168" s="362" t="b">
        <v>0</v>
      </c>
      <c r="B168" s="405" t="s">
        <v>729</v>
      </c>
      <c r="C168" s="406" t="b">
        <v>0</v>
      </c>
      <c r="D168" s="390"/>
      <c r="E168" s="406" t="b">
        <v>0</v>
      </c>
      <c r="F168" s="390"/>
      <c r="G168" s="406" t="b">
        <v>0</v>
      </c>
      <c r="H168" s="388" t="s">
        <v>730</v>
      </c>
      <c r="I168" s="407" t="b">
        <f>OR($C168,$E168,$G168)</f>
        <v>0</v>
      </c>
    </row>
    <row r="169" spans="1:10" ht="18.75" customHeight="1" thickBot="1"/>
    <row r="170" spans="1:10">
      <c r="A170" s="394">
        <v>4</v>
      </c>
      <c r="B170" s="362" t="s">
        <v>713</v>
      </c>
      <c r="C170" s="395" t="s">
        <v>795</v>
      </c>
      <c r="E170" s="362" t="s">
        <v>796</v>
      </c>
    </row>
    <row r="171" spans="1:10" ht="3" customHeight="1" thickBot="1">
      <c r="A171" s="362" t="b">
        <v>0</v>
      </c>
      <c r="C171" s="397"/>
    </row>
    <row r="172" spans="1:10" ht="13.2" thickBot="1">
      <c r="B172" s="362" t="s">
        <v>716</v>
      </c>
      <c r="C172" s="398" t="b">
        <v>0</v>
      </c>
      <c r="E172" s="362" t="s">
        <v>797</v>
      </c>
      <c r="I172" s="399">
        <f>I184+I196+I208</f>
        <v>0</v>
      </c>
      <c r="J172" s="365" t="s">
        <v>798</v>
      </c>
    </row>
    <row r="173" spans="1:10" ht="3" customHeight="1">
      <c r="A173" s="362" t="b">
        <v>0</v>
      </c>
      <c r="C173" s="389"/>
      <c r="D173" s="390"/>
    </row>
    <row r="174" spans="1:10" hidden="1">
      <c r="A174" s="362" t="b">
        <v>0</v>
      </c>
      <c r="B174" s="400" t="s">
        <v>719</v>
      </c>
      <c r="C174" s="395" t="s">
        <v>799</v>
      </c>
      <c r="D174" s="390"/>
      <c r="E174" s="395" t="s">
        <v>800</v>
      </c>
      <c r="F174" s="390"/>
      <c r="G174" s="395" t="s">
        <v>801</v>
      </c>
      <c r="H174" s="388" t="s">
        <v>720</v>
      </c>
    </row>
    <row r="175" spans="1:10" ht="3" hidden="1" customHeight="1">
      <c r="A175" s="362" t="b">
        <v>0</v>
      </c>
      <c r="C175" s="397"/>
      <c r="D175" s="390"/>
      <c r="E175" s="397"/>
      <c r="F175" s="390"/>
      <c r="G175" s="397"/>
    </row>
    <row r="176" spans="1:10" hidden="1">
      <c r="A176" s="362" t="b">
        <v>0</v>
      </c>
      <c r="B176" s="362" t="s">
        <v>721</v>
      </c>
      <c r="C176" s="401" t="s">
        <v>802</v>
      </c>
      <c r="D176" s="390"/>
      <c r="E176" s="401" t="s">
        <v>803</v>
      </c>
      <c r="F176" s="390"/>
      <c r="G176" s="401" t="s">
        <v>804</v>
      </c>
    </row>
    <row r="177" spans="1:9" ht="3" hidden="1" customHeight="1">
      <c r="A177" s="362" t="b">
        <v>0</v>
      </c>
      <c r="C177" s="397"/>
      <c r="D177" s="390"/>
      <c r="E177" s="397"/>
      <c r="F177" s="390"/>
      <c r="G177" s="397"/>
    </row>
    <row r="178" spans="1:9" hidden="1">
      <c r="A178" s="362" t="b">
        <v>0</v>
      </c>
      <c r="B178" s="362" t="s">
        <v>722</v>
      </c>
      <c r="C178" s="402" t="str">
        <f>C176&amp;"_light"</f>
        <v>Leadership_Coaching_1_light</v>
      </c>
      <c r="D178" s="390"/>
      <c r="E178" s="402" t="str">
        <f>E176&amp;"_light"</f>
        <v>Location_1_light</v>
      </c>
      <c r="F178" s="390"/>
      <c r="G178" s="402" t="str">
        <f>G176&amp;"_light"</f>
        <v>Mobile_1_light</v>
      </c>
    </row>
    <row r="179" spans="1:9" ht="3" hidden="1" customHeight="1">
      <c r="A179" s="362" t="b">
        <v>0</v>
      </c>
      <c r="C179" s="397"/>
      <c r="D179" s="390"/>
      <c r="E179" s="397"/>
      <c r="F179" s="390"/>
      <c r="G179" s="397"/>
    </row>
    <row r="180" spans="1:9" hidden="1">
      <c r="A180" s="362" t="b">
        <v>0</v>
      </c>
      <c r="B180" s="362" t="s">
        <v>723</v>
      </c>
      <c r="C180" s="403" t="s">
        <v>252</v>
      </c>
      <c r="D180" s="390"/>
      <c r="E180" s="403" t="s">
        <v>724</v>
      </c>
      <c r="F180" s="390"/>
      <c r="G180" s="403" t="s">
        <v>725</v>
      </c>
      <c r="H180" s="388" t="s">
        <v>715</v>
      </c>
    </row>
    <row r="181" spans="1:9" ht="3" hidden="1" customHeight="1">
      <c r="A181" s="362" t="b">
        <v>0</v>
      </c>
      <c r="C181" s="397"/>
      <c r="D181" s="390"/>
      <c r="E181" s="397"/>
      <c r="F181" s="390"/>
      <c r="G181" s="397"/>
    </row>
    <row r="182" spans="1:9" hidden="1">
      <c r="A182" s="362" t="b">
        <v>0</v>
      </c>
      <c r="B182" s="362" t="s">
        <v>726</v>
      </c>
      <c r="C182" s="403"/>
      <c r="D182" s="390"/>
      <c r="E182" s="403"/>
      <c r="F182" s="390"/>
      <c r="G182" s="403"/>
      <c r="H182" s="388" t="s">
        <v>727</v>
      </c>
      <c r="I182" s="365" t="s">
        <v>728</v>
      </c>
    </row>
    <row r="183" spans="1:9" ht="3" hidden="1" customHeight="1" thickBot="1">
      <c r="A183" s="362" t="b">
        <v>0</v>
      </c>
      <c r="C183" s="397"/>
      <c r="D183" s="390"/>
      <c r="E183" s="397"/>
      <c r="F183" s="390"/>
      <c r="G183" s="397"/>
    </row>
    <row r="184" spans="1:9" ht="13.2" hidden="1" thickBot="1">
      <c r="A184" s="362" t="b">
        <v>0</v>
      </c>
      <c r="B184" s="405" t="s">
        <v>729</v>
      </c>
      <c r="C184" s="406" t="b">
        <v>0</v>
      </c>
      <c r="D184" s="390"/>
      <c r="E184" s="406" t="b">
        <v>0</v>
      </c>
      <c r="F184" s="390"/>
      <c r="G184" s="406" t="b">
        <v>0</v>
      </c>
      <c r="H184" s="388" t="s">
        <v>730</v>
      </c>
      <c r="I184" s="407" t="b">
        <f>IF($C172=TRUE,TRUE)</f>
        <v>0</v>
      </c>
    </row>
    <row r="185" spans="1:9" ht="3" hidden="1" customHeight="1" thickBot="1">
      <c r="A185" s="362" t="b">
        <v>0</v>
      </c>
      <c r="C185" s="389"/>
      <c r="D185" s="390"/>
      <c r="E185" s="389"/>
      <c r="F185" s="390"/>
      <c r="G185" s="389"/>
    </row>
    <row r="186" spans="1:9" hidden="1">
      <c r="A186" s="362" t="b">
        <v>0</v>
      </c>
      <c r="B186" s="400" t="s">
        <v>731</v>
      </c>
      <c r="C186" s="395" t="s">
        <v>805</v>
      </c>
      <c r="D186" s="390"/>
      <c r="E186" s="395" t="s">
        <v>806</v>
      </c>
      <c r="F186" s="390"/>
      <c r="G186" s="395" t="s">
        <v>807</v>
      </c>
      <c r="H186" s="388" t="s">
        <v>720</v>
      </c>
    </row>
    <row r="187" spans="1:9" ht="3" hidden="1" customHeight="1">
      <c r="A187" s="362" t="b">
        <v>0</v>
      </c>
      <c r="C187" s="397"/>
      <c r="D187" s="390"/>
      <c r="E187" s="397"/>
      <c r="F187" s="390"/>
      <c r="G187" s="397"/>
    </row>
    <row r="188" spans="1:9" hidden="1">
      <c r="A188" s="362" t="b">
        <v>0</v>
      </c>
      <c r="B188" s="362" t="s">
        <v>721</v>
      </c>
      <c r="C188" s="401" t="s">
        <v>808</v>
      </c>
      <c r="D188" s="390"/>
      <c r="E188" s="401" t="s">
        <v>406</v>
      </c>
      <c r="F188" s="390"/>
      <c r="G188" s="401" t="s">
        <v>809</v>
      </c>
    </row>
    <row r="189" spans="1:9" ht="3" hidden="1" customHeight="1">
      <c r="A189" s="362" t="b">
        <v>0</v>
      </c>
      <c r="C189" s="397"/>
      <c r="D189" s="390"/>
      <c r="E189" s="397"/>
      <c r="F189" s="390"/>
      <c r="G189" s="397"/>
    </row>
    <row r="190" spans="1:9" hidden="1">
      <c r="A190" s="362" t="b">
        <v>0</v>
      </c>
      <c r="B190" s="362" t="s">
        <v>722</v>
      </c>
      <c r="C190" s="402" t="str">
        <f>C188&amp;"_light"</f>
        <v>Money_1_light</v>
      </c>
      <c r="D190" s="390"/>
      <c r="E190" s="402" t="str">
        <f>E188&amp;"_light"</f>
        <v>NPS_light</v>
      </c>
      <c r="F190" s="390"/>
      <c r="G190" s="402" t="str">
        <f>G188&amp;"_light"</f>
        <v>Oil_1_light</v>
      </c>
    </row>
    <row r="191" spans="1:9" ht="3" hidden="1" customHeight="1">
      <c r="A191" s="362" t="b">
        <v>0</v>
      </c>
      <c r="C191" s="397"/>
      <c r="D191" s="390"/>
      <c r="E191" s="397"/>
      <c r="F191" s="390"/>
      <c r="G191" s="397"/>
    </row>
    <row r="192" spans="1:9" hidden="1">
      <c r="A192" s="362" t="b">
        <v>0</v>
      </c>
      <c r="B192" s="362" t="s">
        <v>723</v>
      </c>
      <c r="C192" s="403" t="s">
        <v>738</v>
      </c>
      <c r="D192" s="390"/>
      <c r="E192" s="403" t="s">
        <v>739</v>
      </c>
      <c r="F192" s="390"/>
      <c r="G192" s="403" t="s">
        <v>740</v>
      </c>
      <c r="H192" s="388" t="s">
        <v>715</v>
      </c>
    </row>
    <row r="193" spans="1:9" ht="3" hidden="1" customHeight="1">
      <c r="A193" s="362" t="b">
        <v>0</v>
      </c>
      <c r="C193" s="397"/>
      <c r="D193" s="390"/>
      <c r="E193" s="397"/>
      <c r="F193" s="390"/>
      <c r="G193" s="397"/>
    </row>
    <row r="194" spans="1:9" hidden="1">
      <c r="A194" s="362" t="b">
        <v>0</v>
      </c>
      <c r="B194" s="362" t="s">
        <v>726</v>
      </c>
      <c r="C194" s="403"/>
      <c r="D194" s="390"/>
      <c r="E194" s="403"/>
      <c r="F194" s="390"/>
      <c r="G194" s="403"/>
      <c r="H194" s="388" t="s">
        <v>727</v>
      </c>
      <c r="I194" s="365" t="s">
        <v>728</v>
      </c>
    </row>
    <row r="195" spans="1:9" ht="3" hidden="1" customHeight="1" thickBot="1">
      <c r="A195" s="362" t="b">
        <v>0</v>
      </c>
      <c r="C195" s="397"/>
      <c r="D195" s="390"/>
      <c r="E195" s="397"/>
      <c r="F195" s="390"/>
      <c r="G195" s="397"/>
    </row>
    <row r="196" spans="1:9" ht="13.2" hidden="1" thickBot="1">
      <c r="A196" s="362" t="b">
        <v>0</v>
      </c>
      <c r="B196" s="405" t="s">
        <v>729</v>
      </c>
      <c r="C196" s="406" t="b">
        <v>0</v>
      </c>
      <c r="D196" s="390"/>
      <c r="E196" s="406" t="b">
        <v>0</v>
      </c>
      <c r="F196" s="390"/>
      <c r="G196" s="406" t="b">
        <v>0</v>
      </c>
      <c r="H196" s="388" t="s">
        <v>730</v>
      </c>
      <c r="I196" s="407" t="b">
        <f>IF($I208=TRUE,TRUE,OR($C196,$E196,$G196))</f>
        <v>0</v>
      </c>
    </row>
    <row r="197" spans="1:9" ht="3" hidden="1" customHeight="1" thickBot="1">
      <c r="A197" s="362" t="b">
        <v>0</v>
      </c>
      <c r="C197" s="389"/>
      <c r="D197" s="390"/>
      <c r="E197" s="389"/>
      <c r="F197" s="390"/>
      <c r="G197" s="389"/>
    </row>
    <row r="198" spans="1:9" hidden="1">
      <c r="A198" s="362" t="b">
        <v>0</v>
      </c>
      <c r="B198" s="400" t="s">
        <v>741</v>
      </c>
      <c r="C198" s="395" t="s">
        <v>810</v>
      </c>
      <c r="D198" s="390"/>
      <c r="E198" s="395" t="s">
        <v>811</v>
      </c>
      <c r="F198" s="390"/>
      <c r="G198" s="395" t="s">
        <v>812</v>
      </c>
      <c r="H198" s="388" t="s">
        <v>720</v>
      </c>
    </row>
    <row r="199" spans="1:9" ht="3" hidden="1" customHeight="1">
      <c r="A199" s="362" t="b">
        <v>0</v>
      </c>
      <c r="C199" s="397"/>
      <c r="D199" s="390"/>
      <c r="E199" s="397"/>
      <c r="F199" s="390"/>
      <c r="G199" s="397"/>
    </row>
    <row r="200" spans="1:9" hidden="1">
      <c r="A200" s="362" t="b">
        <v>0</v>
      </c>
      <c r="B200" s="362" t="s">
        <v>721</v>
      </c>
      <c r="C200" s="401" t="s">
        <v>400</v>
      </c>
      <c r="D200" s="390"/>
      <c r="E200" s="401" t="s">
        <v>813</v>
      </c>
      <c r="F200" s="390"/>
      <c r="G200" s="401" t="s">
        <v>814</v>
      </c>
    </row>
    <row r="201" spans="1:9" ht="3" hidden="1" customHeight="1">
      <c r="A201" s="362" t="b">
        <v>0</v>
      </c>
      <c r="C201" s="397"/>
      <c r="D201" s="390"/>
      <c r="E201" s="397"/>
      <c r="F201" s="390"/>
      <c r="G201" s="397"/>
    </row>
    <row r="202" spans="1:9" hidden="1">
      <c r="A202" s="362" t="b">
        <v>0</v>
      </c>
      <c r="B202" s="362" t="s">
        <v>722</v>
      </c>
      <c r="C202" s="402" t="str">
        <f>C200&amp;"_light"</f>
        <v>People_light</v>
      </c>
      <c r="D202" s="390"/>
      <c r="E202" s="402" t="str">
        <f>E200&amp;"_light"</f>
        <v>Person_1_light</v>
      </c>
      <c r="F202" s="390"/>
      <c r="G202" s="402" t="str">
        <f>G200&amp;"_light"</f>
        <v>Person_2_light</v>
      </c>
    </row>
    <row r="203" spans="1:9" ht="3" hidden="1" customHeight="1">
      <c r="A203" s="362" t="b">
        <v>0</v>
      </c>
      <c r="C203" s="397"/>
      <c r="D203" s="390"/>
      <c r="E203" s="397"/>
      <c r="F203" s="390"/>
      <c r="G203" s="397"/>
    </row>
    <row r="204" spans="1:9" hidden="1">
      <c r="A204" s="362" t="b">
        <v>0</v>
      </c>
      <c r="B204" s="362" t="s">
        <v>723</v>
      </c>
      <c r="C204" s="403" t="s">
        <v>748</v>
      </c>
      <c r="D204" s="390"/>
      <c r="E204" s="403" t="s">
        <v>749</v>
      </c>
      <c r="F204" s="390"/>
      <c r="G204" s="403" t="s">
        <v>750</v>
      </c>
      <c r="H204" s="388" t="s">
        <v>715</v>
      </c>
    </row>
    <row r="205" spans="1:9" ht="3" hidden="1" customHeight="1">
      <c r="A205" s="362" t="b">
        <v>0</v>
      </c>
      <c r="C205" s="397"/>
      <c r="D205" s="390"/>
      <c r="E205" s="397"/>
      <c r="F205" s="390"/>
      <c r="G205" s="397"/>
    </row>
    <row r="206" spans="1:9" hidden="1">
      <c r="A206" s="362" t="b">
        <v>0</v>
      </c>
      <c r="B206" s="362" t="s">
        <v>726</v>
      </c>
      <c r="C206" s="403"/>
      <c r="D206" s="390"/>
      <c r="E206" s="403"/>
      <c r="F206" s="390"/>
      <c r="G206" s="403"/>
      <c r="H206" s="388" t="s">
        <v>727</v>
      </c>
      <c r="I206" s="365" t="s">
        <v>728</v>
      </c>
    </row>
    <row r="207" spans="1:9" ht="3" hidden="1" customHeight="1" thickBot="1">
      <c r="A207" s="362" t="b">
        <v>0</v>
      </c>
      <c r="C207" s="397"/>
      <c r="D207" s="390"/>
      <c r="E207" s="397"/>
      <c r="F207" s="390"/>
      <c r="G207" s="397"/>
    </row>
    <row r="208" spans="1:9" ht="13.2" hidden="1" thickBot="1">
      <c r="A208" s="362" t="b">
        <v>0</v>
      </c>
      <c r="B208" s="405" t="s">
        <v>729</v>
      </c>
      <c r="C208" s="406" t="b">
        <v>0</v>
      </c>
      <c r="D208" s="390"/>
      <c r="E208" s="406" t="b">
        <v>0</v>
      </c>
      <c r="F208" s="390"/>
      <c r="G208" s="406" t="b">
        <v>0</v>
      </c>
      <c r="H208" s="388" t="s">
        <v>730</v>
      </c>
      <c r="I208" s="407" t="b">
        <f>OR($C208,$E208,$G208)</f>
        <v>0</v>
      </c>
    </row>
    <row r="209" spans="1:10" ht="18.75" customHeight="1" thickBot="1"/>
    <row r="210" spans="1:10">
      <c r="A210" s="394">
        <v>5</v>
      </c>
      <c r="B210" s="362" t="s">
        <v>713</v>
      </c>
      <c r="C210" s="395" t="s">
        <v>815</v>
      </c>
      <c r="E210" s="362" t="s">
        <v>816</v>
      </c>
    </row>
    <row r="211" spans="1:10" ht="3" customHeight="1" thickBot="1">
      <c r="A211" s="362" t="b">
        <v>0</v>
      </c>
      <c r="C211" s="397"/>
    </row>
    <row r="212" spans="1:10" ht="13.2" thickBot="1">
      <c r="B212" s="362" t="s">
        <v>716</v>
      </c>
      <c r="C212" s="398" t="b">
        <v>0</v>
      </c>
      <c r="E212" s="362" t="s">
        <v>817</v>
      </c>
      <c r="I212" s="399">
        <f>I224+I236+I248</f>
        <v>0</v>
      </c>
      <c r="J212" s="365" t="s">
        <v>818</v>
      </c>
    </row>
    <row r="213" spans="1:10" ht="3" customHeight="1">
      <c r="A213" s="362" t="b">
        <v>0</v>
      </c>
      <c r="C213" s="389"/>
      <c r="D213" s="390"/>
    </row>
    <row r="214" spans="1:10" hidden="1">
      <c r="A214" s="362" t="b">
        <v>0</v>
      </c>
      <c r="B214" s="400" t="s">
        <v>719</v>
      </c>
      <c r="C214" s="395" t="s">
        <v>819</v>
      </c>
      <c r="D214" s="390"/>
      <c r="E214" s="395" t="s">
        <v>820</v>
      </c>
      <c r="F214" s="390"/>
      <c r="G214" s="395" t="s">
        <v>821</v>
      </c>
      <c r="H214" s="388" t="s">
        <v>720</v>
      </c>
    </row>
    <row r="215" spans="1:10" ht="3" hidden="1" customHeight="1">
      <c r="A215" s="362" t="b">
        <v>0</v>
      </c>
      <c r="C215" s="397"/>
      <c r="D215" s="390"/>
      <c r="E215" s="397"/>
      <c r="F215" s="390"/>
      <c r="G215" s="397"/>
    </row>
    <row r="216" spans="1:10" hidden="1">
      <c r="A216" s="362" t="b">
        <v>0</v>
      </c>
      <c r="B216" s="362" t="s">
        <v>721</v>
      </c>
      <c r="C216" s="401" t="s">
        <v>822</v>
      </c>
      <c r="D216" s="390"/>
      <c r="E216" s="401" t="s">
        <v>823</v>
      </c>
      <c r="F216" s="390"/>
      <c r="G216" s="401" t="s">
        <v>824</v>
      </c>
    </row>
    <row r="217" spans="1:10" ht="3" hidden="1" customHeight="1">
      <c r="A217" s="362" t="b">
        <v>0</v>
      </c>
      <c r="C217" s="397"/>
      <c r="D217" s="390"/>
      <c r="E217" s="397"/>
      <c r="F217" s="390"/>
      <c r="G217" s="397"/>
    </row>
    <row r="218" spans="1:10" hidden="1">
      <c r="A218" s="362" t="b">
        <v>0</v>
      </c>
      <c r="B218" s="362" t="s">
        <v>722</v>
      </c>
      <c r="C218" s="402" t="str">
        <f>C216&amp;"_light"</f>
        <v>Person_3_light</v>
      </c>
      <c r="D218" s="390"/>
      <c r="E218" s="402" t="str">
        <f>E216&amp;"_light"</f>
        <v>Person_4_light</v>
      </c>
      <c r="F218" s="390"/>
      <c r="G218" s="402" t="str">
        <f>G216&amp;"_light"</f>
        <v>Person_Millenial_1_light</v>
      </c>
    </row>
    <row r="219" spans="1:10" ht="3" hidden="1" customHeight="1">
      <c r="A219" s="362" t="b">
        <v>0</v>
      </c>
      <c r="C219" s="397"/>
      <c r="D219" s="390"/>
      <c r="E219" s="397"/>
      <c r="F219" s="390"/>
      <c r="G219" s="397"/>
    </row>
    <row r="220" spans="1:10" hidden="1">
      <c r="A220" s="362" t="b">
        <v>0</v>
      </c>
      <c r="B220" s="362" t="s">
        <v>723</v>
      </c>
      <c r="C220" s="403" t="s">
        <v>252</v>
      </c>
      <c r="D220" s="390"/>
      <c r="E220" s="403" t="s">
        <v>724</v>
      </c>
      <c r="F220" s="390"/>
      <c r="G220" s="403" t="s">
        <v>725</v>
      </c>
      <c r="H220" s="388" t="s">
        <v>715</v>
      </c>
    </row>
    <row r="221" spans="1:10" ht="3" hidden="1" customHeight="1">
      <c r="A221" s="362" t="b">
        <v>0</v>
      </c>
      <c r="C221" s="397"/>
      <c r="D221" s="390"/>
      <c r="E221" s="397"/>
      <c r="F221" s="390"/>
      <c r="G221" s="397"/>
    </row>
    <row r="222" spans="1:10" hidden="1">
      <c r="A222" s="362" t="b">
        <v>0</v>
      </c>
      <c r="B222" s="362" t="s">
        <v>726</v>
      </c>
      <c r="C222" s="403"/>
      <c r="D222" s="390"/>
      <c r="E222" s="403"/>
      <c r="F222" s="390"/>
      <c r="G222" s="403"/>
      <c r="H222" s="388" t="s">
        <v>727</v>
      </c>
      <c r="I222" s="365" t="s">
        <v>728</v>
      </c>
    </row>
    <row r="223" spans="1:10" ht="3" hidden="1" customHeight="1" thickBot="1">
      <c r="A223" s="362" t="b">
        <v>0</v>
      </c>
      <c r="C223" s="397"/>
      <c r="D223" s="390"/>
      <c r="E223" s="397"/>
      <c r="F223" s="390"/>
      <c r="G223" s="397"/>
    </row>
    <row r="224" spans="1:10" ht="13.2" hidden="1" thickBot="1">
      <c r="A224" s="362" t="b">
        <v>0</v>
      </c>
      <c r="B224" s="405" t="s">
        <v>729</v>
      </c>
      <c r="C224" s="406" t="b">
        <v>0</v>
      </c>
      <c r="D224" s="390"/>
      <c r="E224" s="406" t="b">
        <v>0</v>
      </c>
      <c r="F224" s="390"/>
      <c r="G224" s="406" t="b">
        <v>0</v>
      </c>
      <c r="H224" s="388" t="s">
        <v>730</v>
      </c>
      <c r="I224" s="407" t="b">
        <f>IF($C212=TRUE,TRUE)</f>
        <v>0</v>
      </c>
    </row>
    <row r="225" spans="1:9" ht="3" hidden="1" customHeight="1" thickBot="1">
      <c r="A225" s="362" t="b">
        <v>0</v>
      </c>
      <c r="C225" s="389"/>
      <c r="D225" s="390"/>
      <c r="E225" s="389"/>
      <c r="F225" s="390"/>
      <c r="G225" s="389"/>
    </row>
    <row r="226" spans="1:9" hidden="1">
      <c r="A226" s="362" t="b">
        <v>0</v>
      </c>
      <c r="B226" s="400" t="s">
        <v>731</v>
      </c>
      <c r="C226" s="395" t="s">
        <v>825</v>
      </c>
      <c r="D226" s="390"/>
      <c r="E226" s="395" t="s">
        <v>826</v>
      </c>
      <c r="F226" s="390"/>
      <c r="G226" s="395" t="s">
        <v>827</v>
      </c>
      <c r="H226" s="388" t="s">
        <v>720</v>
      </c>
    </row>
    <row r="227" spans="1:9" ht="3" hidden="1" customHeight="1">
      <c r="A227" s="362" t="b">
        <v>0</v>
      </c>
      <c r="C227" s="397"/>
      <c r="D227" s="390"/>
      <c r="E227" s="397"/>
      <c r="F227" s="390"/>
      <c r="G227" s="397"/>
    </row>
    <row r="228" spans="1:9" hidden="1">
      <c r="A228" s="362" t="b">
        <v>0</v>
      </c>
      <c r="B228" s="362" t="s">
        <v>721</v>
      </c>
      <c r="C228" s="401" t="s">
        <v>828</v>
      </c>
      <c r="D228" s="390"/>
      <c r="E228" s="401" t="s">
        <v>829</v>
      </c>
      <c r="F228" s="390"/>
      <c r="G228" s="401" t="s">
        <v>830</v>
      </c>
    </row>
    <row r="229" spans="1:9" ht="3" hidden="1" customHeight="1">
      <c r="A229" s="362" t="b">
        <v>0</v>
      </c>
      <c r="C229" s="397"/>
      <c r="D229" s="390"/>
      <c r="E229" s="397"/>
      <c r="F229" s="390"/>
      <c r="G229" s="397"/>
    </row>
    <row r="230" spans="1:9" hidden="1">
      <c r="A230" s="362" t="b">
        <v>0</v>
      </c>
      <c r="B230" s="362" t="s">
        <v>722</v>
      </c>
      <c r="C230" s="402" t="str">
        <f>C228&amp;"_light"</f>
        <v>PNL_light</v>
      </c>
      <c r="D230" s="390"/>
      <c r="E230" s="402" t="str">
        <f>E228&amp;"_light"</f>
        <v>Presentation_1_light</v>
      </c>
      <c r="F230" s="390"/>
      <c r="G230" s="402" t="str">
        <f>G228&amp;"_light"</f>
        <v>Process_light</v>
      </c>
    </row>
    <row r="231" spans="1:9" ht="3" hidden="1" customHeight="1">
      <c r="A231" s="362" t="b">
        <v>0</v>
      </c>
      <c r="C231" s="397"/>
      <c r="D231" s="390"/>
      <c r="E231" s="397"/>
      <c r="F231" s="390"/>
      <c r="G231" s="397"/>
    </row>
    <row r="232" spans="1:9" hidden="1">
      <c r="A232" s="362" t="b">
        <v>0</v>
      </c>
      <c r="B232" s="362" t="s">
        <v>723</v>
      </c>
      <c r="C232" s="403" t="s">
        <v>738</v>
      </c>
      <c r="D232" s="390"/>
      <c r="E232" s="403" t="s">
        <v>739</v>
      </c>
      <c r="F232" s="390"/>
      <c r="G232" s="403" t="s">
        <v>740</v>
      </c>
      <c r="H232" s="388" t="s">
        <v>715</v>
      </c>
    </row>
    <row r="233" spans="1:9" ht="3" hidden="1" customHeight="1">
      <c r="A233" s="362" t="b">
        <v>0</v>
      </c>
      <c r="C233" s="397"/>
      <c r="D233" s="390"/>
      <c r="E233" s="397"/>
      <c r="F233" s="390"/>
      <c r="G233" s="397"/>
    </row>
    <row r="234" spans="1:9" hidden="1">
      <c r="A234" s="362" t="b">
        <v>0</v>
      </c>
      <c r="B234" s="362" t="s">
        <v>726</v>
      </c>
      <c r="C234" s="403"/>
      <c r="D234" s="390"/>
      <c r="E234" s="403"/>
      <c r="F234" s="390"/>
      <c r="G234" s="403"/>
      <c r="H234" s="388" t="s">
        <v>727</v>
      </c>
      <c r="I234" s="365" t="s">
        <v>728</v>
      </c>
    </row>
    <row r="235" spans="1:9" ht="3" hidden="1" customHeight="1" thickBot="1">
      <c r="A235" s="362" t="b">
        <v>0</v>
      </c>
      <c r="C235" s="397"/>
      <c r="D235" s="390"/>
      <c r="E235" s="397"/>
      <c r="F235" s="390"/>
      <c r="G235" s="397"/>
    </row>
    <row r="236" spans="1:9" ht="13.2" hidden="1" thickBot="1">
      <c r="A236" s="362" t="b">
        <v>0</v>
      </c>
      <c r="B236" s="405" t="s">
        <v>729</v>
      </c>
      <c r="C236" s="406" t="b">
        <v>0</v>
      </c>
      <c r="D236" s="390"/>
      <c r="E236" s="406" t="b">
        <v>0</v>
      </c>
      <c r="F236" s="390"/>
      <c r="G236" s="406" t="b">
        <v>0</v>
      </c>
      <c r="H236" s="388" t="s">
        <v>730</v>
      </c>
      <c r="I236" s="407" t="b">
        <f>IF($I248=TRUE,TRUE,OR($C236,$E236,$G236))</f>
        <v>0</v>
      </c>
    </row>
    <row r="237" spans="1:9" ht="3" hidden="1" customHeight="1" thickBot="1">
      <c r="A237" s="362" t="b">
        <v>0</v>
      </c>
      <c r="C237" s="389"/>
      <c r="D237" s="390"/>
      <c r="E237" s="389"/>
      <c r="F237" s="390"/>
      <c r="G237" s="389"/>
    </row>
    <row r="238" spans="1:9" hidden="1">
      <c r="A238" s="362" t="b">
        <v>0</v>
      </c>
      <c r="B238" s="400" t="s">
        <v>741</v>
      </c>
      <c r="C238" s="395" t="s">
        <v>831</v>
      </c>
      <c r="D238" s="390"/>
      <c r="E238" s="395" t="s">
        <v>832</v>
      </c>
      <c r="F238" s="390"/>
      <c r="G238" s="395" t="s">
        <v>833</v>
      </c>
      <c r="H238" s="388" t="s">
        <v>720</v>
      </c>
    </row>
    <row r="239" spans="1:9" ht="3" hidden="1" customHeight="1">
      <c r="A239" s="362" t="b">
        <v>0</v>
      </c>
      <c r="C239" s="397"/>
      <c r="D239" s="390"/>
      <c r="E239" s="397"/>
      <c r="F239" s="390"/>
      <c r="G239" s="397"/>
    </row>
    <row r="240" spans="1:9" hidden="1">
      <c r="A240" s="362" t="b">
        <v>0</v>
      </c>
      <c r="B240" s="362" t="s">
        <v>721</v>
      </c>
      <c r="C240" s="401" t="s">
        <v>834</v>
      </c>
      <c r="D240" s="390"/>
      <c r="E240" s="401" t="s">
        <v>835</v>
      </c>
      <c r="F240" s="390"/>
      <c r="G240" s="401" t="s">
        <v>836</v>
      </c>
    </row>
    <row r="241" spans="1:10" ht="3" hidden="1" customHeight="1">
      <c r="A241" s="362" t="b">
        <v>0</v>
      </c>
      <c r="C241" s="397"/>
      <c r="D241" s="390"/>
      <c r="E241" s="397"/>
      <c r="F241" s="390"/>
      <c r="G241" s="397"/>
    </row>
    <row r="242" spans="1:10" hidden="1">
      <c r="A242" s="362" t="b">
        <v>0</v>
      </c>
      <c r="B242" s="362" t="s">
        <v>722</v>
      </c>
      <c r="C242" s="402" t="str">
        <f>C240&amp;"_light"</f>
        <v>Program_1_light</v>
      </c>
      <c r="D242" s="390"/>
      <c r="E242" s="402" t="str">
        <f>E240&amp;"_light"</f>
        <v>Puzzle_Strategic_1_light</v>
      </c>
      <c r="F242" s="390"/>
      <c r="G242" s="402" t="str">
        <f>G240&amp;"_light"</f>
        <v>Questions_1_light</v>
      </c>
    </row>
    <row r="243" spans="1:10" ht="3" hidden="1" customHeight="1">
      <c r="A243" s="362" t="b">
        <v>0</v>
      </c>
      <c r="C243" s="397"/>
      <c r="D243" s="390"/>
      <c r="E243" s="397"/>
      <c r="F243" s="390"/>
      <c r="G243" s="397"/>
    </row>
    <row r="244" spans="1:10" hidden="1">
      <c r="A244" s="362" t="b">
        <v>0</v>
      </c>
      <c r="B244" s="362" t="s">
        <v>723</v>
      </c>
      <c r="C244" s="403" t="s">
        <v>748</v>
      </c>
      <c r="D244" s="390"/>
      <c r="E244" s="403" t="s">
        <v>749</v>
      </c>
      <c r="F244" s="390"/>
      <c r="G244" s="403" t="s">
        <v>750</v>
      </c>
      <c r="H244" s="388" t="s">
        <v>715</v>
      </c>
    </row>
    <row r="245" spans="1:10" ht="3" hidden="1" customHeight="1">
      <c r="A245" s="362" t="b">
        <v>0</v>
      </c>
      <c r="C245" s="397"/>
      <c r="D245" s="390"/>
      <c r="E245" s="397"/>
      <c r="F245" s="390"/>
      <c r="G245" s="397"/>
    </row>
    <row r="246" spans="1:10" hidden="1">
      <c r="A246" s="362" t="b">
        <v>0</v>
      </c>
      <c r="B246" s="362" t="s">
        <v>726</v>
      </c>
      <c r="C246" s="403"/>
      <c r="D246" s="390"/>
      <c r="E246" s="403"/>
      <c r="F246" s="390"/>
      <c r="G246" s="403"/>
      <c r="H246" s="388" t="s">
        <v>727</v>
      </c>
      <c r="I246" s="365" t="s">
        <v>728</v>
      </c>
    </row>
    <row r="247" spans="1:10" ht="3" hidden="1" customHeight="1" thickBot="1">
      <c r="A247" s="362" t="b">
        <v>0</v>
      </c>
      <c r="C247" s="397"/>
      <c r="D247" s="390"/>
      <c r="E247" s="397"/>
      <c r="F247" s="390"/>
      <c r="G247" s="397"/>
    </row>
    <row r="248" spans="1:10" ht="13.2" hidden="1" thickBot="1">
      <c r="A248" s="362" t="b">
        <v>0</v>
      </c>
      <c r="B248" s="405" t="s">
        <v>729</v>
      </c>
      <c r="C248" s="406" t="b">
        <v>0</v>
      </c>
      <c r="D248" s="390"/>
      <c r="E248" s="406" t="b">
        <v>0</v>
      </c>
      <c r="F248" s="390"/>
      <c r="G248" s="406" t="b">
        <v>0</v>
      </c>
      <c r="H248" s="388" t="s">
        <v>730</v>
      </c>
      <c r="I248" s="407" t="b">
        <f>OR($C248,$E248,$G248)</f>
        <v>0</v>
      </c>
    </row>
    <row r="249" spans="1:10" ht="18.75" customHeight="1" thickBot="1"/>
    <row r="250" spans="1:10">
      <c r="A250" s="394">
        <v>6</v>
      </c>
      <c r="B250" s="362" t="s">
        <v>713</v>
      </c>
      <c r="C250" s="395" t="s">
        <v>837</v>
      </c>
      <c r="E250" s="362" t="s">
        <v>838</v>
      </c>
    </row>
    <row r="251" spans="1:10" ht="3" customHeight="1" thickBot="1">
      <c r="C251" s="397"/>
    </row>
    <row r="252" spans="1:10" ht="13.2" thickBot="1">
      <c r="B252" s="362" t="s">
        <v>716</v>
      </c>
      <c r="C252" s="398" t="b">
        <f>$A250&lt;=tabCount</f>
        <v>0</v>
      </c>
      <c r="E252" s="362" t="s">
        <v>839</v>
      </c>
      <c r="I252" s="399">
        <f>I264+I276+I288</f>
        <v>0</v>
      </c>
      <c r="J252" s="365" t="s">
        <v>840</v>
      </c>
    </row>
    <row r="253" spans="1:10" ht="3" customHeight="1">
      <c r="C253" s="389"/>
      <c r="D253" s="390"/>
    </row>
    <row r="254" spans="1:10" hidden="1">
      <c r="A254" s="362" t="b">
        <v>0</v>
      </c>
      <c r="B254" s="400" t="s">
        <v>719</v>
      </c>
      <c r="C254" s="395" t="s">
        <v>841</v>
      </c>
      <c r="D254" s="390"/>
      <c r="E254" s="395" t="s">
        <v>842</v>
      </c>
      <c r="F254" s="390"/>
      <c r="G254" s="395" t="s">
        <v>843</v>
      </c>
      <c r="H254" s="388" t="s">
        <v>720</v>
      </c>
    </row>
    <row r="255" spans="1:10" ht="3" hidden="1" customHeight="1">
      <c r="A255" s="362" t="b">
        <v>0</v>
      </c>
      <c r="C255" s="397"/>
      <c r="D255" s="390"/>
      <c r="E255" s="397"/>
      <c r="F255" s="390"/>
      <c r="G255" s="397"/>
    </row>
    <row r="256" spans="1:10" hidden="1">
      <c r="A256" s="362" t="b">
        <v>0</v>
      </c>
      <c r="B256" s="362" t="s">
        <v>721</v>
      </c>
      <c r="C256" s="401" t="s">
        <v>844</v>
      </c>
      <c r="D256" s="390"/>
      <c r="E256" s="401" t="s">
        <v>845</v>
      </c>
      <c r="F256" s="390"/>
      <c r="G256" s="401" t="s">
        <v>846</v>
      </c>
    </row>
    <row r="257" spans="1:9" ht="3" hidden="1" customHeight="1">
      <c r="A257" s="362" t="b">
        <v>0</v>
      </c>
      <c r="C257" s="397"/>
      <c r="D257" s="390"/>
      <c r="E257" s="397"/>
      <c r="F257" s="390"/>
      <c r="G257" s="397"/>
    </row>
    <row r="258" spans="1:9" hidden="1">
      <c r="A258" s="362" t="b">
        <v>0</v>
      </c>
      <c r="B258" s="362" t="s">
        <v>722</v>
      </c>
      <c r="C258" s="402" t="str">
        <f>C256&amp;"_light"</f>
        <v>Quote_Feedback_1_light</v>
      </c>
      <c r="D258" s="390"/>
      <c r="E258" s="402" t="str">
        <f>E256&amp;"_light"</f>
        <v>Relationship_light</v>
      </c>
      <c r="F258" s="390"/>
      <c r="G258" s="402" t="str">
        <f>G256&amp;"_light"</f>
        <v>Report_light</v>
      </c>
    </row>
    <row r="259" spans="1:9" ht="3" hidden="1" customHeight="1">
      <c r="A259" s="362" t="b">
        <v>0</v>
      </c>
      <c r="C259" s="397"/>
      <c r="D259" s="390"/>
      <c r="E259" s="397"/>
      <c r="F259" s="390"/>
      <c r="G259" s="397"/>
    </row>
    <row r="260" spans="1:9" hidden="1">
      <c r="A260" s="362" t="b">
        <v>0</v>
      </c>
      <c r="B260" s="362" t="s">
        <v>723</v>
      </c>
      <c r="C260" s="403" t="s">
        <v>252</v>
      </c>
      <c r="D260" s="390"/>
      <c r="E260" s="403" t="s">
        <v>724</v>
      </c>
      <c r="F260" s="390"/>
      <c r="G260" s="403" t="s">
        <v>725</v>
      </c>
      <c r="H260" s="388" t="s">
        <v>715</v>
      </c>
    </row>
    <row r="261" spans="1:9" ht="3" hidden="1" customHeight="1">
      <c r="A261" s="362" t="b">
        <v>0</v>
      </c>
      <c r="C261" s="397"/>
      <c r="D261" s="390"/>
      <c r="E261" s="397"/>
      <c r="F261" s="390"/>
      <c r="G261" s="397"/>
    </row>
    <row r="262" spans="1:9" hidden="1">
      <c r="A262" s="362" t="b">
        <v>0</v>
      </c>
      <c r="B262" s="362" t="s">
        <v>726</v>
      </c>
      <c r="C262" s="403"/>
      <c r="D262" s="390"/>
      <c r="E262" s="403"/>
      <c r="F262" s="390"/>
      <c r="G262" s="403"/>
      <c r="H262" s="388" t="s">
        <v>727</v>
      </c>
      <c r="I262" s="365" t="s">
        <v>728</v>
      </c>
    </row>
    <row r="263" spans="1:9" ht="3" hidden="1" customHeight="1" thickBot="1">
      <c r="A263" s="362" t="b">
        <v>0</v>
      </c>
      <c r="C263" s="397"/>
      <c r="D263" s="390"/>
      <c r="E263" s="397"/>
      <c r="F263" s="390"/>
      <c r="G263" s="397"/>
    </row>
    <row r="264" spans="1:9" ht="13.2" hidden="1" thickBot="1">
      <c r="A264" s="362" t="b">
        <v>0</v>
      </c>
      <c r="B264" s="405" t="s">
        <v>729</v>
      </c>
      <c r="C264" s="406" t="b">
        <v>0</v>
      </c>
      <c r="D264" s="390"/>
      <c r="E264" s="406" t="b">
        <v>0</v>
      </c>
      <c r="F264" s="390"/>
      <c r="G264" s="406" t="b">
        <v>0</v>
      </c>
      <c r="H264" s="388" t="s">
        <v>730</v>
      </c>
      <c r="I264" s="407" t="b">
        <f>IF($C252=TRUE,TRUE)</f>
        <v>0</v>
      </c>
    </row>
    <row r="265" spans="1:9" ht="3" hidden="1" customHeight="1" thickBot="1">
      <c r="A265" s="362" t="b">
        <v>0</v>
      </c>
      <c r="C265" s="389"/>
      <c r="D265" s="390"/>
      <c r="E265" s="389"/>
      <c r="F265" s="390"/>
      <c r="G265" s="389"/>
    </row>
    <row r="266" spans="1:9" hidden="1">
      <c r="A266" s="362" t="b">
        <v>0</v>
      </c>
      <c r="B266" s="400" t="s">
        <v>731</v>
      </c>
      <c r="C266" s="395" t="s">
        <v>847</v>
      </c>
      <c r="D266" s="390"/>
      <c r="E266" s="395" t="s">
        <v>848</v>
      </c>
      <c r="F266" s="390"/>
      <c r="G266" s="395" t="s">
        <v>849</v>
      </c>
      <c r="H266" s="388" t="s">
        <v>720</v>
      </c>
    </row>
    <row r="267" spans="1:9" ht="3" hidden="1" customHeight="1">
      <c r="A267" s="362" t="b">
        <v>0</v>
      </c>
      <c r="C267" s="397"/>
      <c r="D267" s="390"/>
      <c r="E267" s="397"/>
      <c r="F267" s="390"/>
      <c r="G267" s="397"/>
    </row>
    <row r="268" spans="1:9" hidden="1">
      <c r="A268" s="362" t="b">
        <v>0</v>
      </c>
      <c r="B268" s="362" t="s">
        <v>721</v>
      </c>
      <c r="C268" s="401" t="s">
        <v>850</v>
      </c>
      <c r="D268" s="390"/>
      <c r="E268" s="401" t="s">
        <v>851</v>
      </c>
      <c r="F268" s="390"/>
      <c r="G268" s="401" t="s">
        <v>852</v>
      </c>
    </row>
    <row r="269" spans="1:9" ht="3" hidden="1" customHeight="1">
      <c r="A269" s="362" t="b">
        <v>0</v>
      </c>
      <c r="C269" s="397"/>
      <c r="D269" s="390"/>
      <c r="E269" s="397"/>
      <c r="F269" s="390"/>
      <c r="G269" s="397"/>
    </row>
    <row r="270" spans="1:9" hidden="1">
      <c r="A270" s="362" t="b">
        <v>0</v>
      </c>
      <c r="B270" s="362" t="s">
        <v>722</v>
      </c>
      <c r="C270" s="402" t="str">
        <f>C268&amp;"_light"</f>
        <v>Research_1_light</v>
      </c>
      <c r="D270" s="390"/>
      <c r="E270" s="402" t="str">
        <f>E268&amp;"_light"</f>
        <v>Research_2_light</v>
      </c>
      <c r="F270" s="390"/>
      <c r="G270" s="402" t="str">
        <f>G268&amp;"_light"</f>
        <v>Security_1_light</v>
      </c>
    </row>
    <row r="271" spans="1:9" ht="3" hidden="1" customHeight="1">
      <c r="A271" s="362" t="b">
        <v>0</v>
      </c>
      <c r="C271" s="397"/>
      <c r="D271" s="390"/>
      <c r="E271" s="397"/>
      <c r="F271" s="390"/>
      <c r="G271" s="397"/>
    </row>
    <row r="272" spans="1:9" hidden="1">
      <c r="A272" s="362" t="b">
        <v>0</v>
      </c>
      <c r="B272" s="362" t="s">
        <v>723</v>
      </c>
      <c r="C272" s="403" t="s">
        <v>738</v>
      </c>
      <c r="D272" s="390"/>
      <c r="E272" s="403" t="s">
        <v>739</v>
      </c>
      <c r="F272" s="390"/>
      <c r="G272" s="403" t="s">
        <v>740</v>
      </c>
      <c r="H272" s="388" t="s">
        <v>715</v>
      </c>
    </row>
    <row r="273" spans="1:9" ht="3" hidden="1" customHeight="1">
      <c r="A273" s="362" t="b">
        <v>0</v>
      </c>
      <c r="C273" s="397"/>
      <c r="D273" s="390"/>
      <c r="E273" s="397"/>
      <c r="F273" s="390"/>
      <c r="G273" s="397"/>
    </row>
    <row r="274" spans="1:9" hidden="1">
      <c r="A274" s="362" t="b">
        <v>0</v>
      </c>
      <c r="B274" s="362" t="s">
        <v>726</v>
      </c>
      <c r="C274" s="403"/>
      <c r="D274" s="390"/>
      <c r="E274" s="403"/>
      <c r="F274" s="390"/>
      <c r="G274" s="403"/>
      <c r="H274" s="388" t="s">
        <v>727</v>
      </c>
      <c r="I274" s="365" t="s">
        <v>728</v>
      </c>
    </row>
    <row r="275" spans="1:9" ht="3" hidden="1" customHeight="1" thickBot="1">
      <c r="A275" s="362" t="b">
        <v>0</v>
      </c>
      <c r="C275" s="397"/>
      <c r="D275" s="390"/>
      <c r="E275" s="397"/>
      <c r="F275" s="390"/>
      <c r="G275" s="397"/>
    </row>
    <row r="276" spans="1:9" ht="13.2" hidden="1" thickBot="1">
      <c r="A276" s="362" t="b">
        <v>0</v>
      </c>
      <c r="B276" s="405" t="s">
        <v>729</v>
      </c>
      <c r="C276" s="406" t="b">
        <v>0</v>
      </c>
      <c r="D276" s="390"/>
      <c r="E276" s="406" t="b">
        <v>0</v>
      </c>
      <c r="F276" s="390"/>
      <c r="G276" s="406" t="b">
        <v>0</v>
      </c>
      <c r="H276" s="388" t="s">
        <v>730</v>
      </c>
      <c r="I276" s="407" t="b">
        <f>IF($I288=TRUE,TRUE,OR($C276,$E276,$G276))</f>
        <v>0</v>
      </c>
    </row>
    <row r="277" spans="1:9" ht="3" hidden="1" customHeight="1" thickBot="1">
      <c r="A277" s="362" t="b">
        <v>0</v>
      </c>
      <c r="C277" s="389"/>
      <c r="D277" s="390"/>
      <c r="E277" s="389"/>
      <c r="F277" s="390"/>
      <c r="G277" s="389"/>
    </row>
    <row r="278" spans="1:9" hidden="1">
      <c r="A278" s="362" t="b">
        <v>0</v>
      </c>
      <c r="B278" s="400" t="s">
        <v>741</v>
      </c>
      <c r="C278" s="395" t="s">
        <v>853</v>
      </c>
      <c r="D278" s="390"/>
      <c r="E278" s="395" t="s">
        <v>854</v>
      </c>
      <c r="F278" s="390"/>
      <c r="G278" s="395" t="s">
        <v>855</v>
      </c>
      <c r="H278" s="388" t="s">
        <v>720</v>
      </c>
    </row>
    <row r="279" spans="1:9" ht="3" hidden="1" customHeight="1">
      <c r="A279" s="362" t="b">
        <v>0</v>
      </c>
      <c r="C279" s="397"/>
      <c r="D279" s="390"/>
      <c r="E279" s="397"/>
      <c r="F279" s="390"/>
      <c r="G279" s="397"/>
    </row>
    <row r="280" spans="1:9" hidden="1">
      <c r="A280" s="362" t="b">
        <v>0</v>
      </c>
      <c r="B280" s="362" t="s">
        <v>721</v>
      </c>
      <c r="C280" s="401" t="s">
        <v>856</v>
      </c>
      <c r="D280" s="390"/>
      <c r="E280" s="401" t="s">
        <v>857</v>
      </c>
      <c r="F280" s="390"/>
      <c r="G280" s="401" t="s">
        <v>858</v>
      </c>
    </row>
    <row r="281" spans="1:9" ht="3" hidden="1" customHeight="1">
      <c r="A281" s="362" t="b">
        <v>0</v>
      </c>
      <c r="C281" s="397"/>
      <c r="D281" s="390"/>
      <c r="E281" s="397"/>
      <c r="F281" s="390"/>
      <c r="G281" s="397"/>
    </row>
    <row r="282" spans="1:9" hidden="1">
      <c r="A282" s="362" t="b">
        <v>0</v>
      </c>
      <c r="B282" s="362" t="s">
        <v>722</v>
      </c>
      <c r="C282" s="402" t="str">
        <f>C280&amp;"_light"</f>
        <v>Service_light</v>
      </c>
      <c r="D282" s="390"/>
      <c r="E282" s="402" t="str">
        <f>E280&amp;"_light"</f>
        <v>Strength_1_light</v>
      </c>
      <c r="F282" s="390"/>
      <c r="G282" s="402" t="str">
        <f>G280&amp;"_light"</f>
        <v>Take_Action_1_light</v>
      </c>
    </row>
    <row r="283" spans="1:9" ht="3" hidden="1" customHeight="1">
      <c r="A283" s="362" t="b">
        <v>0</v>
      </c>
      <c r="C283" s="397"/>
      <c r="D283" s="390"/>
      <c r="E283" s="397"/>
      <c r="F283" s="390"/>
      <c r="G283" s="397"/>
    </row>
    <row r="284" spans="1:9" hidden="1">
      <c r="A284" s="362" t="b">
        <v>0</v>
      </c>
      <c r="B284" s="362" t="s">
        <v>723</v>
      </c>
      <c r="C284" s="403" t="s">
        <v>748</v>
      </c>
      <c r="D284" s="390"/>
      <c r="E284" s="403" t="s">
        <v>749</v>
      </c>
      <c r="F284" s="390"/>
      <c r="G284" s="403" t="s">
        <v>750</v>
      </c>
      <c r="H284" s="388" t="s">
        <v>715</v>
      </c>
    </row>
    <row r="285" spans="1:9" ht="3" hidden="1" customHeight="1">
      <c r="A285" s="362" t="b">
        <v>0</v>
      </c>
      <c r="C285" s="397"/>
      <c r="D285" s="390"/>
      <c r="E285" s="397"/>
      <c r="F285" s="390"/>
      <c r="G285" s="397"/>
    </row>
    <row r="286" spans="1:9" hidden="1">
      <c r="A286" s="362" t="b">
        <v>0</v>
      </c>
      <c r="B286" s="362" t="s">
        <v>726</v>
      </c>
      <c r="C286" s="403"/>
      <c r="D286" s="390"/>
      <c r="E286" s="403"/>
      <c r="F286" s="390"/>
      <c r="G286" s="403"/>
      <c r="H286" s="388" t="s">
        <v>727</v>
      </c>
      <c r="I286" s="365" t="s">
        <v>728</v>
      </c>
    </row>
    <row r="287" spans="1:9" ht="3" hidden="1" customHeight="1" thickBot="1">
      <c r="A287" s="362" t="b">
        <v>0</v>
      </c>
      <c r="C287" s="397"/>
      <c r="D287" s="390"/>
      <c r="E287" s="397"/>
      <c r="F287" s="390"/>
      <c r="G287" s="397"/>
    </row>
    <row r="288" spans="1:9" ht="13.2" hidden="1" thickBot="1">
      <c r="A288" s="362" t="b">
        <v>0</v>
      </c>
      <c r="B288" s="405" t="s">
        <v>729</v>
      </c>
      <c r="C288" s="406" t="b">
        <v>0</v>
      </c>
      <c r="D288" s="390"/>
      <c r="E288" s="406" t="b">
        <v>0</v>
      </c>
      <c r="F288" s="390"/>
      <c r="G288" s="406" t="b">
        <v>0</v>
      </c>
      <c r="H288" s="388" t="s">
        <v>730</v>
      </c>
      <c r="I288" s="407" t="b">
        <f>OR($C288,$E288,$G288)</f>
        <v>0</v>
      </c>
    </row>
    <row r="289" spans="1:10" ht="18.75" customHeight="1" thickBot="1"/>
    <row r="290" spans="1:10">
      <c r="A290" s="394">
        <v>7</v>
      </c>
      <c r="B290" s="362" t="s">
        <v>713</v>
      </c>
      <c r="C290" s="395" t="s">
        <v>859</v>
      </c>
      <c r="E290" s="362" t="s">
        <v>860</v>
      </c>
    </row>
    <row r="291" spans="1:10" ht="3" customHeight="1" thickBot="1">
      <c r="A291" s="362" t="b">
        <v>0</v>
      </c>
      <c r="C291" s="397"/>
    </row>
    <row r="292" spans="1:10" ht="13.2" thickBot="1">
      <c r="B292" s="362" t="s">
        <v>716</v>
      </c>
      <c r="C292" s="398" t="b">
        <v>0</v>
      </c>
      <c r="E292" s="362" t="s">
        <v>861</v>
      </c>
      <c r="I292" s="399">
        <f>I304+I316+I328</f>
        <v>0</v>
      </c>
      <c r="J292" s="365" t="s">
        <v>862</v>
      </c>
    </row>
    <row r="293" spans="1:10" ht="3" customHeight="1">
      <c r="A293" s="362" t="b">
        <v>0</v>
      </c>
      <c r="C293" s="389"/>
      <c r="D293" s="390"/>
    </row>
    <row r="294" spans="1:10" hidden="1">
      <c r="A294" s="362" t="b">
        <v>0</v>
      </c>
      <c r="B294" s="400" t="s">
        <v>719</v>
      </c>
      <c r="C294" s="395" t="s">
        <v>863</v>
      </c>
      <c r="D294" s="390"/>
      <c r="E294" s="395" t="s">
        <v>864</v>
      </c>
      <c r="F294" s="390"/>
      <c r="G294" s="395" t="s">
        <v>865</v>
      </c>
      <c r="H294" s="388" t="s">
        <v>720</v>
      </c>
    </row>
    <row r="295" spans="1:10" ht="3" hidden="1" customHeight="1">
      <c r="A295" s="362" t="b">
        <v>0</v>
      </c>
      <c r="C295" s="397"/>
      <c r="D295" s="390"/>
      <c r="E295" s="397"/>
      <c r="F295" s="390"/>
      <c r="G295" s="397"/>
    </row>
    <row r="296" spans="1:10" hidden="1">
      <c r="A296" s="362" t="b">
        <v>0</v>
      </c>
      <c r="B296" s="362" t="s">
        <v>721</v>
      </c>
      <c r="C296" s="401" t="s">
        <v>866</v>
      </c>
      <c r="D296" s="390"/>
      <c r="E296" s="401" t="s">
        <v>867</v>
      </c>
      <c r="F296" s="390"/>
      <c r="G296" s="401" t="s">
        <v>868</v>
      </c>
    </row>
    <row r="297" spans="1:10" ht="3" hidden="1" customHeight="1">
      <c r="A297" s="362" t="b">
        <v>0</v>
      </c>
      <c r="C297" s="397"/>
      <c r="D297" s="390"/>
      <c r="E297" s="397"/>
      <c r="F297" s="390"/>
      <c r="G297" s="397"/>
    </row>
    <row r="298" spans="1:10" hidden="1">
      <c r="A298" s="362" t="b">
        <v>0</v>
      </c>
      <c r="B298" s="362" t="s">
        <v>722</v>
      </c>
      <c r="C298" s="402" t="str">
        <f>C296&amp;"_light"</f>
        <v>Tasks_1_light</v>
      </c>
      <c r="D298" s="390"/>
      <c r="E298" s="402" t="str">
        <f>E296&amp;"_light"</f>
        <v>Team_1_light</v>
      </c>
      <c r="F298" s="390"/>
      <c r="G298" s="402" t="str">
        <f>G296&amp;"_light"</f>
        <v>Team_2_light</v>
      </c>
    </row>
    <row r="299" spans="1:10" ht="3" hidden="1" customHeight="1">
      <c r="A299" s="362" t="b">
        <v>0</v>
      </c>
      <c r="C299" s="397"/>
      <c r="D299" s="390"/>
      <c r="E299" s="397"/>
      <c r="F299" s="390"/>
      <c r="G299" s="397"/>
    </row>
    <row r="300" spans="1:10" hidden="1">
      <c r="A300" s="362" t="b">
        <v>0</v>
      </c>
      <c r="B300" s="362" t="s">
        <v>723</v>
      </c>
      <c r="C300" s="403" t="s">
        <v>252</v>
      </c>
      <c r="D300" s="390"/>
      <c r="E300" s="403" t="s">
        <v>724</v>
      </c>
      <c r="F300" s="390"/>
      <c r="G300" s="403" t="s">
        <v>725</v>
      </c>
      <c r="H300" s="388" t="s">
        <v>715</v>
      </c>
    </row>
    <row r="301" spans="1:10" ht="3" hidden="1" customHeight="1">
      <c r="A301" s="362" t="b">
        <v>0</v>
      </c>
      <c r="C301" s="397"/>
      <c r="D301" s="390"/>
      <c r="E301" s="397"/>
      <c r="F301" s="390"/>
      <c r="G301" s="397"/>
    </row>
    <row r="302" spans="1:10" hidden="1">
      <c r="A302" s="362" t="b">
        <v>0</v>
      </c>
      <c r="B302" s="362" t="s">
        <v>726</v>
      </c>
      <c r="C302" s="403"/>
      <c r="D302" s="390"/>
      <c r="E302" s="403"/>
      <c r="F302" s="390"/>
      <c r="G302" s="403"/>
      <c r="H302" s="388" t="s">
        <v>727</v>
      </c>
      <c r="I302" s="365" t="s">
        <v>728</v>
      </c>
    </row>
    <row r="303" spans="1:10" ht="3" hidden="1" customHeight="1" thickBot="1">
      <c r="A303" s="362" t="b">
        <v>0</v>
      </c>
      <c r="C303" s="397"/>
      <c r="D303" s="390"/>
      <c r="E303" s="397"/>
      <c r="F303" s="390"/>
      <c r="G303" s="397"/>
    </row>
    <row r="304" spans="1:10" ht="13.2" hidden="1" thickBot="1">
      <c r="A304" s="362" t="b">
        <v>0</v>
      </c>
      <c r="B304" s="405" t="s">
        <v>729</v>
      </c>
      <c r="C304" s="406" t="b">
        <v>0</v>
      </c>
      <c r="D304" s="390"/>
      <c r="E304" s="406" t="b">
        <v>0</v>
      </c>
      <c r="F304" s="390"/>
      <c r="G304" s="406" t="b">
        <v>0</v>
      </c>
      <c r="H304" s="388" t="s">
        <v>730</v>
      </c>
      <c r="I304" s="407" t="b">
        <f>IF($C292=TRUE,TRUE)</f>
        <v>0</v>
      </c>
    </row>
    <row r="305" spans="1:9" ht="3" hidden="1" customHeight="1" thickBot="1">
      <c r="A305" s="362" t="b">
        <v>0</v>
      </c>
      <c r="C305" s="389"/>
      <c r="D305" s="390"/>
      <c r="E305" s="389"/>
      <c r="F305" s="390"/>
      <c r="G305" s="389"/>
    </row>
    <row r="306" spans="1:9" hidden="1">
      <c r="A306" s="362" t="b">
        <v>0</v>
      </c>
      <c r="B306" s="400" t="s">
        <v>731</v>
      </c>
      <c r="C306" s="395" t="s">
        <v>869</v>
      </c>
      <c r="D306" s="390"/>
      <c r="E306" s="395" t="s">
        <v>870</v>
      </c>
      <c r="F306" s="390"/>
      <c r="G306" s="395" t="s">
        <v>871</v>
      </c>
      <c r="H306" s="388" t="s">
        <v>720</v>
      </c>
    </row>
    <row r="307" spans="1:9" ht="3" hidden="1" customHeight="1">
      <c r="A307" s="362" t="b">
        <v>0</v>
      </c>
      <c r="C307" s="397"/>
      <c r="D307" s="390"/>
      <c r="E307" s="397"/>
      <c r="F307" s="390"/>
      <c r="G307" s="397"/>
    </row>
    <row r="308" spans="1:9" hidden="1">
      <c r="A308" s="362" t="b">
        <v>0</v>
      </c>
      <c r="B308" s="362" t="s">
        <v>721</v>
      </c>
      <c r="C308" s="401" t="s">
        <v>872</v>
      </c>
      <c r="D308" s="390"/>
      <c r="E308" s="401" t="s">
        <v>873</v>
      </c>
      <c r="F308" s="390"/>
      <c r="G308" s="401" t="s">
        <v>874</v>
      </c>
    </row>
    <row r="309" spans="1:9" ht="3" hidden="1" customHeight="1">
      <c r="A309" s="362" t="b">
        <v>0</v>
      </c>
      <c r="C309" s="397"/>
      <c r="D309" s="390"/>
      <c r="E309" s="397"/>
      <c r="F309" s="390"/>
      <c r="G309" s="397"/>
    </row>
    <row r="310" spans="1:9" hidden="1">
      <c r="A310" s="362" t="b">
        <v>0</v>
      </c>
      <c r="B310" s="362" t="s">
        <v>722</v>
      </c>
      <c r="C310" s="402" t="str">
        <f>C308&amp;"_light"</f>
        <v>Team_3_light</v>
      </c>
      <c r="D310" s="390"/>
      <c r="E310" s="402" t="str">
        <f>E308&amp;"_light"</f>
        <v>Team_Growth_1_light</v>
      </c>
      <c r="F310" s="390"/>
      <c r="G310" s="402" t="str">
        <f>G308&amp;"_light"</f>
        <v>Time_Speed_1_light</v>
      </c>
    </row>
    <row r="311" spans="1:9" ht="3" hidden="1" customHeight="1">
      <c r="A311" s="362" t="b">
        <v>0</v>
      </c>
      <c r="C311" s="397"/>
      <c r="D311" s="390"/>
      <c r="E311" s="397"/>
      <c r="F311" s="390"/>
      <c r="G311" s="397"/>
    </row>
    <row r="312" spans="1:9" hidden="1">
      <c r="A312" s="362" t="b">
        <v>0</v>
      </c>
      <c r="B312" s="362" t="s">
        <v>723</v>
      </c>
      <c r="C312" s="403" t="s">
        <v>738</v>
      </c>
      <c r="D312" s="390"/>
      <c r="E312" s="403" t="s">
        <v>739</v>
      </c>
      <c r="F312" s="390"/>
      <c r="G312" s="403" t="s">
        <v>740</v>
      </c>
      <c r="H312" s="388" t="s">
        <v>715</v>
      </c>
    </row>
    <row r="313" spans="1:9" ht="3" hidden="1" customHeight="1">
      <c r="A313" s="362" t="b">
        <v>0</v>
      </c>
      <c r="C313" s="397"/>
      <c r="D313" s="390"/>
      <c r="E313" s="397"/>
      <c r="F313" s="390"/>
      <c r="G313" s="397"/>
    </row>
    <row r="314" spans="1:9" hidden="1">
      <c r="A314" s="362" t="b">
        <v>0</v>
      </c>
      <c r="B314" s="362" t="s">
        <v>726</v>
      </c>
      <c r="C314" s="403"/>
      <c r="D314" s="390"/>
      <c r="E314" s="403"/>
      <c r="F314" s="390"/>
      <c r="G314" s="403"/>
      <c r="H314" s="388" t="s">
        <v>727</v>
      </c>
      <c r="I314" s="365" t="s">
        <v>728</v>
      </c>
    </row>
    <row r="315" spans="1:9" ht="3" hidden="1" customHeight="1" thickBot="1">
      <c r="A315" s="362" t="b">
        <v>0</v>
      </c>
      <c r="C315" s="397"/>
      <c r="D315" s="390"/>
      <c r="E315" s="397"/>
      <c r="F315" s="390"/>
      <c r="G315" s="397"/>
    </row>
    <row r="316" spans="1:9" ht="13.2" hidden="1" thickBot="1">
      <c r="A316" s="362" t="b">
        <v>0</v>
      </c>
      <c r="B316" s="405" t="s">
        <v>729</v>
      </c>
      <c r="C316" s="406" t="b">
        <v>0</v>
      </c>
      <c r="D316" s="390"/>
      <c r="E316" s="406" t="b">
        <v>0</v>
      </c>
      <c r="F316" s="390"/>
      <c r="G316" s="406" t="b">
        <v>0</v>
      </c>
      <c r="H316" s="388" t="s">
        <v>730</v>
      </c>
      <c r="I316" s="407" t="b">
        <f>IF($I328=TRUE,TRUE,OR($C316,$E316,$G316))</f>
        <v>0</v>
      </c>
    </row>
    <row r="317" spans="1:9" ht="3" hidden="1" customHeight="1" thickBot="1">
      <c r="A317" s="362" t="b">
        <v>0</v>
      </c>
      <c r="C317" s="389"/>
      <c r="D317" s="390"/>
      <c r="E317" s="389"/>
      <c r="F317" s="390"/>
      <c r="G317" s="389"/>
    </row>
    <row r="318" spans="1:9" hidden="1">
      <c r="A318" s="362" t="b">
        <v>0</v>
      </c>
      <c r="B318" s="400" t="s">
        <v>741</v>
      </c>
      <c r="C318" s="395" t="s">
        <v>875</v>
      </c>
      <c r="D318" s="390"/>
      <c r="E318" s="395" t="s">
        <v>876</v>
      </c>
      <c r="F318" s="390"/>
      <c r="G318" s="395" t="s">
        <v>877</v>
      </c>
      <c r="H318" s="388" t="s">
        <v>720</v>
      </c>
    </row>
    <row r="319" spans="1:9" ht="3" hidden="1" customHeight="1">
      <c r="A319" s="362" t="b">
        <v>0</v>
      </c>
      <c r="C319" s="397"/>
      <c r="D319" s="390"/>
      <c r="E319" s="397"/>
      <c r="F319" s="390"/>
      <c r="G319" s="397"/>
    </row>
    <row r="320" spans="1:9" hidden="1">
      <c r="A320" s="362" t="b">
        <v>0</v>
      </c>
      <c r="B320" s="362" t="s">
        <v>721</v>
      </c>
      <c r="C320" s="401" t="s">
        <v>878</v>
      </c>
      <c r="D320" s="390"/>
      <c r="E320" s="401" t="s">
        <v>879</v>
      </c>
      <c r="F320" s="390"/>
      <c r="G320" s="401" t="s">
        <v>880</v>
      </c>
    </row>
    <row r="321" spans="1:10" ht="3" hidden="1" customHeight="1">
      <c r="A321" s="362" t="b">
        <v>0</v>
      </c>
      <c r="C321" s="397"/>
      <c r="D321" s="390"/>
      <c r="E321" s="397"/>
      <c r="F321" s="390"/>
      <c r="G321" s="397"/>
    </row>
    <row r="322" spans="1:10" hidden="1">
      <c r="A322" s="362" t="b">
        <v>0</v>
      </c>
      <c r="B322" s="362" t="s">
        <v>722</v>
      </c>
      <c r="C322" s="402" t="str">
        <f>C320&amp;"_light"</f>
        <v>Tools_1_light</v>
      </c>
      <c r="D322" s="390"/>
      <c r="E322" s="402" t="str">
        <f>E320&amp;"_light"</f>
        <v>Tools_2_light</v>
      </c>
      <c r="F322" s="390"/>
      <c r="G322" s="402" t="str">
        <f>G320&amp;"_light"</f>
        <v>Vision_1_light</v>
      </c>
    </row>
    <row r="323" spans="1:10" ht="3" hidden="1" customHeight="1">
      <c r="A323" s="362" t="b">
        <v>0</v>
      </c>
      <c r="C323" s="397"/>
      <c r="D323" s="390"/>
      <c r="E323" s="397"/>
      <c r="F323" s="390"/>
      <c r="G323" s="397"/>
    </row>
    <row r="324" spans="1:10" hidden="1">
      <c r="A324" s="362" t="b">
        <v>0</v>
      </c>
      <c r="B324" s="362" t="s">
        <v>723</v>
      </c>
      <c r="C324" s="403" t="s">
        <v>748</v>
      </c>
      <c r="D324" s="390"/>
      <c r="E324" s="403" t="s">
        <v>749</v>
      </c>
      <c r="F324" s="390"/>
      <c r="G324" s="403" t="s">
        <v>750</v>
      </c>
      <c r="H324" s="388" t="s">
        <v>715</v>
      </c>
    </row>
    <row r="325" spans="1:10" ht="3" hidden="1" customHeight="1">
      <c r="A325" s="362" t="b">
        <v>0</v>
      </c>
      <c r="C325" s="397"/>
      <c r="D325" s="390"/>
      <c r="E325" s="397"/>
      <c r="F325" s="390"/>
      <c r="G325" s="397"/>
    </row>
    <row r="326" spans="1:10" hidden="1">
      <c r="A326" s="362" t="b">
        <v>0</v>
      </c>
      <c r="B326" s="362" t="s">
        <v>726</v>
      </c>
      <c r="C326" s="403"/>
      <c r="D326" s="390"/>
      <c r="E326" s="403"/>
      <c r="F326" s="390"/>
      <c r="G326" s="403"/>
      <c r="H326" s="388" t="s">
        <v>727</v>
      </c>
      <c r="I326" s="365" t="s">
        <v>728</v>
      </c>
    </row>
    <row r="327" spans="1:10" ht="3" hidden="1" customHeight="1" thickBot="1">
      <c r="A327" s="362" t="b">
        <v>0</v>
      </c>
      <c r="C327" s="397"/>
      <c r="D327" s="390"/>
      <c r="E327" s="397"/>
      <c r="F327" s="390"/>
      <c r="G327" s="397"/>
    </row>
    <row r="328" spans="1:10" ht="13.2" hidden="1" thickBot="1">
      <c r="A328" s="362" t="b">
        <v>0</v>
      </c>
      <c r="B328" s="405" t="s">
        <v>729</v>
      </c>
      <c r="C328" s="406" t="b">
        <v>0</v>
      </c>
      <c r="D328" s="390"/>
      <c r="E328" s="406" t="b">
        <v>0</v>
      </c>
      <c r="F328" s="390"/>
      <c r="G328" s="406" t="b">
        <v>0</v>
      </c>
      <c r="H328" s="388" t="s">
        <v>730</v>
      </c>
      <c r="I328" s="407" t="b">
        <f>OR($C328,$E328,$G328)</f>
        <v>0</v>
      </c>
    </row>
    <row r="329" spans="1:10" ht="18.75" customHeight="1" thickBot="1"/>
    <row r="330" spans="1:10">
      <c r="A330" s="394">
        <v>8</v>
      </c>
      <c r="B330" s="362" t="s">
        <v>713</v>
      </c>
      <c r="C330" s="395" t="s">
        <v>881</v>
      </c>
      <c r="E330" s="362" t="s">
        <v>882</v>
      </c>
    </row>
    <row r="331" spans="1:10" ht="3" customHeight="1" thickBot="1">
      <c r="A331" s="362" t="b">
        <v>0</v>
      </c>
      <c r="C331" s="397"/>
    </row>
    <row r="332" spans="1:10" ht="13.2" thickBot="1">
      <c r="B332" s="362" t="s">
        <v>716</v>
      </c>
      <c r="C332" s="398" t="b">
        <f>$A330&lt;=tabCount</f>
        <v>0</v>
      </c>
      <c r="E332" s="362" t="s">
        <v>883</v>
      </c>
      <c r="I332" s="399">
        <f>I344+I356+I368</f>
        <v>0</v>
      </c>
      <c r="J332" s="365" t="s">
        <v>884</v>
      </c>
    </row>
    <row r="333" spans="1:10" ht="3" customHeight="1">
      <c r="A333" s="362" t="b">
        <v>0</v>
      </c>
      <c r="C333" s="389"/>
      <c r="D333" s="390"/>
    </row>
    <row r="334" spans="1:10" hidden="1">
      <c r="A334" s="362" t="b">
        <v>0</v>
      </c>
      <c r="B334" s="400" t="s">
        <v>719</v>
      </c>
      <c r="C334" s="395" t="s">
        <v>885</v>
      </c>
      <c r="D334" s="390"/>
      <c r="E334" s="395" t="s">
        <v>886</v>
      </c>
      <c r="F334" s="390"/>
      <c r="G334" s="395" t="s">
        <v>887</v>
      </c>
      <c r="H334" s="388" t="s">
        <v>720</v>
      </c>
    </row>
    <row r="335" spans="1:10" ht="3" hidden="1" customHeight="1">
      <c r="A335" s="362" t="b">
        <v>0</v>
      </c>
      <c r="C335" s="397"/>
      <c r="D335" s="390"/>
      <c r="E335" s="397"/>
      <c r="F335" s="390"/>
      <c r="G335" s="397"/>
    </row>
    <row r="336" spans="1:10" hidden="1">
      <c r="A336" s="362" t="b">
        <v>0</v>
      </c>
      <c r="B336" s="362" t="s">
        <v>721</v>
      </c>
      <c r="C336" s="401" t="s">
        <v>888</v>
      </c>
      <c r="D336" s="390"/>
      <c r="E336" s="401" t="s">
        <v>888</v>
      </c>
      <c r="F336" s="390"/>
      <c r="G336" s="401" t="s">
        <v>888</v>
      </c>
    </row>
    <row r="337" spans="1:9" ht="3" hidden="1" customHeight="1">
      <c r="A337" s="362" t="b">
        <v>0</v>
      </c>
      <c r="C337" s="397"/>
      <c r="D337" s="390"/>
      <c r="E337" s="397"/>
      <c r="F337" s="390"/>
      <c r="G337" s="397"/>
    </row>
    <row r="338" spans="1:9" hidden="1">
      <c r="A338" s="362" t="b">
        <v>0</v>
      </c>
      <c r="B338" s="362" t="s">
        <v>722</v>
      </c>
      <c r="C338" s="402" t="str">
        <f>C336&amp;"_light"</f>
        <v>Work_Time_1_light</v>
      </c>
      <c r="D338" s="390"/>
      <c r="E338" s="402" t="str">
        <f>E336&amp;"_light"</f>
        <v>Work_Time_1_light</v>
      </c>
      <c r="F338" s="390"/>
      <c r="G338" s="402" t="str">
        <f>G336&amp;"_light"</f>
        <v>Work_Time_1_light</v>
      </c>
    </row>
    <row r="339" spans="1:9" ht="3" hidden="1" customHeight="1">
      <c r="A339" s="362" t="b">
        <v>0</v>
      </c>
      <c r="C339" s="397"/>
      <c r="D339" s="390"/>
      <c r="E339" s="397"/>
      <c r="F339" s="390"/>
      <c r="G339" s="397"/>
    </row>
    <row r="340" spans="1:9" hidden="1">
      <c r="A340" s="362" t="b">
        <v>0</v>
      </c>
      <c r="B340" s="362" t="s">
        <v>723</v>
      </c>
      <c r="C340" s="403" t="s">
        <v>252</v>
      </c>
      <c r="D340" s="390"/>
      <c r="E340" s="403" t="s">
        <v>724</v>
      </c>
      <c r="F340" s="390"/>
      <c r="G340" s="403" t="s">
        <v>889</v>
      </c>
      <c r="H340" s="388" t="s">
        <v>715</v>
      </c>
    </row>
    <row r="341" spans="1:9" ht="3" hidden="1" customHeight="1">
      <c r="A341" s="362" t="b">
        <v>0</v>
      </c>
      <c r="C341" s="397"/>
      <c r="D341" s="390"/>
      <c r="E341" s="397"/>
      <c r="F341" s="390"/>
      <c r="G341" s="397"/>
    </row>
    <row r="342" spans="1:9" hidden="1">
      <c r="A342" s="362" t="b">
        <v>0</v>
      </c>
      <c r="B342" s="362" t="s">
        <v>726</v>
      </c>
      <c r="C342" s="403"/>
      <c r="D342" s="390"/>
      <c r="E342" s="403"/>
      <c r="F342" s="390"/>
      <c r="G342" s="403"/>
      <c r="H342" s="388" t="s">
        <v>727</v>
      </c>
      <c r="I342" s="365" t="s">
        <v>728</v>
      </c>
    </row>
    <row r="343" spans="1:9" ht="3" hidden="1" customHeight="1" thickBot="1">
      <c r="A343" s="362" t="b">
        <v>0</v>
      </c>
      <c r="C343" s="397"/>
      <c r="D343" s="390"/>
      <c r="E343" s="397"/>
      <c r="F343" s="390"/>
      <c r="G343" s="397"/>
    </row>
    <row r="344" spans="1:9" ht="13.2" hidden="1" thickBot="1">
      <c r="A344" s="362" t="b">
        <v>0</v>
      </c>
      <c r="B344" s="405" t="s">
        <v>729</v>
      </c>
      <c r="C344" s="406" t="b">
        <v>0</v>
      </c>
      <c r="D344" s="390"/>
      <c r="E344" s="406" t="b">
        <v>0</v>
      </c>
      <c r="F344" s="390"/>
      <c r="G344" s="406" t="b">
        <v>0</v>
      </c>
      <c r="H344" s="388" t="s">
        <v>730</v>
      </c>
      <c r="I344" s="407" t="b">
        <f>IF($C332=TRUE,TRUE)</f>
        <v>0</v>
      </c>
    </row>
    <row r="345" spans="1:9" ht="3" hidden="1" customHeight="1" thickBot="1">
      <c r="A345" s="362" t="b">
        <v>0</v>
      </c>
      <c r="C345" s="389"/>
      <c r="D345" s="390"/>
      <c r="E345" s="389" t="b">
        <v>0</v>
      </c>
      <c r="F345" s="390"/>
      <c r="G345" s="389"/>
    </row>
    <row r="346" spans="1:9" hidden="1">
      <c r="A346" s="362" t="b">
        <v>0</v>
      </c>
      <c r="B346" s="400" t="s">
        <v>731</v>
      </c>
      <c r="C346" s="395" t="s">
        <v>890</v>
      </c>
      <c r="D346" s="390"/>
      <c r="E346" s="395" t="s">
        <v>891</v>
      </c>
      <c r="F346" s="390"/>
      <c r="G346" s="395" t="s">
        <v>892</v>
      </c>
      <c r="H346" s="388" t="s">
        <v>720</v>
      </c>
    </row>
    <row r="347" spans="1:9" ht="3" hidden="1" customHeight="1">
      <c r="A347" s="362" t="b">
        <v>0</v>
      </c>
      <c r="C347" s="397"/>
      <c r="D347" s="390"/>
      <c r="E347" s="397"/>
      <c r="F347" s="390"/>
      <c r="G347" s="397"/>
    </row>
    <row r="348" spans="1:9" hidden="1">
      <c r="A348" s="362" t="b">
        <v>0</v>
      </c>
      <c r="B348" s="362" t="s">
        <v>721</v>
      </c>
      <c r="C348" s="401" t="s">
        <v>888</v>
      </c>
      <c r="D348" s="390"/>
      <c r="E348" s="401" t="s">
        <v>888</v>
      </c>
      <c r="F348" s="390"/>
      <c r="G348" s="401" t="s">
        <v>888</v>
      </c>
    </row>
    <row r="349" spans="1:9" ht="3" hidden="1" customHeight="1">
      <c r="A349" s="362" t="b">
        <v>0</v>
      </c>
      <c r="C349" s="397"/>
      <c r="D349" s="390"/>
      <c r="E349" s="397"/>
      <c r="F349" s="390"/>
      <c r="G349" s="397"/>
    </row>
    <row r="350" spans="1:9" hidden="1">
      <c r="A350" s="362" t="b">
        <v>0</v>
      </c>
      <c r="B350" s="362" t="s">
        <v>722</v>
      </c>
      <c r="C350" s="402" t="str">
        <f>C348&amp;"_light"</f>
        <v>Work_Time_1_light</v>
      </c>
      <c r="D350" s="390"/>
      <c r="E350" s="402" t="str">
        <f>E348&amp;"_light"</f>
        <v>Work_Time_1_light</v>
      </c>
      <c r="F350" s="390"/>
      <c r="G350" s="402" t="str">
        <f>G348&amp;"_light"</f>
        <v>Work_Time_1_light</v>
      </c>
    </row>
    <row r="351" spans="1:9" ht="3" hidden="1" customHeight="1">
      <c r="A351" s="362" t="b">
        <v>0</v>
      </c>
      <c r="C351" s="397"/>
      <c r="D351" s="390"/>
      <c r="E351" s="397"/>
      <c r="F351" s="390"/>
      <c r="G351" s="397"/>
    </row>
    <row r="352" spans="1:9" hidden="1">
      <c r="A352" s="362" t="b">
        <v>0</v>
      </c>
      <c r="B352" s="362" t="s">
        <v>723</v>
      </c>
      <c r="C352" s="403" t="s">
        <v>738</v>
      </c>
      <c r="D352" s="390"/>
      <c r="E352" s="403" t="s">
        <v>739</v>
      </c>
      <c r="F352" s="390"/>
      <c r="G352" s="403" t="s">
        <v>740</v>
      </c>
      <c r="H352" s="388" t="s">
        <v>715</v>
      </c>
    </row>
    <row r="353" spans="1:9" ht="3" hidden="1" customHeight="1">
      <c r="A353" s="362" t="b">
        <v>0</v>
      </c>
      <c r="C353" s="397"/>
      <c r="D353" s="390"/>
      <c r="E353" s="397"/>
      <c r="F353" s="390"/>
      <c r="G353" s="397"/>
    </row>
    <row r="354" spans="1:9" hidden="1">
      <c r="A354" s="362" t="b">
        <v>0</v>
      </c>
      <c r="B354" s="362" t="s">
        <v>726</v>
      </c>
      <c r="C354" s="403"/>
      <c r="D354" s="390"/>
      <c r="E354" s="403"/>
      <c r="F354" s="390"/>
      <c r="G354" s="403"/>
      <c r="H354" s="388" t="s">
        <v>727</v>
      </c>
      <c r="I354" s="365" t="s">
        <v>728</v>
      </c>
    </row>
    <row r="355" spans="1:9" ht="3" hidden="1" customHeight="1" thickBot="1">
      <c r="A355" s="362" t="b">
        <v>0</v>
      </c>
      <c r="C355" s="397"/>
      <c r="D355" s="390"/>
      <c r="E355" s="397"/>
      <c r="F355" s="390"/>
      <c r="G355" s="397"/>
    </row>
    <row r="356" spans="1:9" ht="13.2" hidden="1" thickBot="1">
      <c r="A356" s="362" t="b">
        <v>0</v>
      </c>
      <c r="B356" s="405" t="s">
        <v>729</v>
      </c>
      <c r="C356" s="406" t="b">
        <v>0</v>
      </c>
      <c r="D356" s="390"/>
      <c r="E356" s="406" t="b">
        <v>0</v>
      </c>
      <c r="F356" s="390"/>
      <c r="G356" s="406" t="b">
        <v>0</v>
      </c>
      <c r="H356" s="388" t="s">
        <v>730</v>
      </c>
      <c r="I356" s="407" t="b">
        <f>IF($I368=TRUE,TRUE,OR($C356,$E356,$G356))</f>
        <v>0</v>
      </c>
    </row>
    <row r="357" spans="1:9" ht="3" customHeight="1">
      <c r="C357" s="389"/>
      <c r="D357" s="390"/>
      <c r="E357" s="389"/>
      <c r="F357" s="390"/>
      <c r="G357" s="389"/>
    </row>
    <row r="358" spans="1:9" hidden="1">
      <c r="A358" s="362" t="b">
        <v>0</v>
      </c>
      <c r="B358" s="400" t="s">
        <v>741</v>
      </c>
      <c r="C358" s="395" t="s">
        <v>893</v>
      </c>
      <c r="D358" s="390"/>
      <c r="E358" s="395" t="s">
        <v>894</v>
      </c>
      <c r="F358" s="390"/>
      <c r="G358" s="395" t="s">
        <v>895</v>
      </c>
      <c r="H358" s="388" t="s">
        <v>720</v>
      </c>
    </row>
    <row r="359" spans="1:9" ht="3" hidden="1" customHeight="1">
      <c r="A359" s="362" t="b">
        <v>0</v>
      </c>
      <c r="C359" s="397"/>
      <c r="D359" s="390"/>
      <c r="E359" s="397"/>
      <c r="F359" s="390"/>
      <c r="G359" s="397"/>
    </row>
    <row r="360" spans="1:9" hidden="1">
      <c r="A360" s="362" t="b">
        <v>0</v>
      </c>
      <c r="B360" s="362" t="s">
        <v>721</v>
      </c>
      <c r="C360" s="401" t="s">
        <v>888</v>
      </c>
      <c r="D360" s="390"/>
      <c r="E360" s="401" t="s">
        <v>888</v>
      </c>
      <c r="F360" s="390"/>
      <c r="G360" s="401" t="s">
        <v>888</v>
      </c>
    </row>
    <row r="361" spans="1:9" ht="3" hidden="1" customHeight="1">
      <c r="A361" s="362" t="b">
        <v>0</v>
      </c>
      <c r="C361" s="397"/>
      <c r="D361" s="390"/>
      <c r="E361" s="397"/>
      <c r="F361" s="390"/>
      <c r="G361" s="397"/>
    </row>
    <row r="362" spans="1:9" hidden="1">
      <c r="A362" s="362" t="b">
        <v>0</v>
      </c>
      <c r="B362" s="362" t="s">
        <v>722</v>
      </c>
      <c r="C362" s="402" t="str">
        <f>C360&amp;"_light"</f>
        <v>Work_Time_1_light</v>
      </c>
      <c r="D362" s="390"/>
      <c r="E362" s="402" t="str">
        <f>E360&amp;"_light"</f>
        <v>Work_Time_1_light</v>
      </c>
      <c r="F362" s="390"/>
      <c r="G362" s="402" t="str">
        <f>G360&amp;"_light"</f>
        <v>Work_Time_1_light</v>
      </c>
    </row>
    <row r="363" spans="1:9" ht="3" hidden="1" customHeight="1">
      <c r="A363" s="362" t="b">
        <v>0</v>
      </c>
      <c r="C363" s="397"/>
      <c r="D363" s="390"/>
      <c r="E363" s="397"/>
      <c r="F363" s="390"/>
      <c r="G363" s="397"/>
    </row>
    <row r="364" spans="1:9" hidden="1">
      <c r="A364" s="362" t="b">
        <v>0</v>
      </c>
      <c r="B364" s="362" t="s">
        <v>723</v>
      </c>
      <c r="C364" s="403" t="s">
        <v>896</v>
      </c>
      <c r="D364" s="390"/>
      <c r="E364" s="403" t="s">
        <v>897</v>
      </c>
      <c r="F364" s="390"/>
      <c r="G364" s="403" t="s">
        <v>898</v>
      </c>
      <c r="H364" s="388" t="s">
        <v>715</v>
      </c>
    </row>
    <row r="365" spans="1:9" ht="3" hidden="1" customHeight="1">
      <c r="A365" s="362" t="b">
        <v>0</v>
      </c>
      <c r="C365" s="397"/>
      <c r="D365" s="390"/>
      <c r="E365" s="397"/>
      <c r="F365" s="390"/>
      <c r="G365" s="397"/>
    </row>
    <row r="366" spans="1:9" hidden="1">
      <c r="A366" s="362" t="b">
        <v>0</v>
      </c>
      <c r="B366" s="362" t="s">
        <v>726</v>
      </c>
      <c r="C366" s="403"/>
      <c r="D366" s="390"/>
      <c r="E366" s="403"/>
      <c r="F366" s="390"/>
      <c r="G366" s="403"/>
      <c r="H366" s="388" t="s">
        <v>727</v>
      </c>
      <c r="I366" s="365" t="s">
        <v>728</v>
      </c>
    </row>
    <row r="367" spans="1:9" ht="3" hidden="1" customHeight="1" thickBot="1">
      <c r="A367" s="362" t="b">
        <v>0</v>
      </c>
      <c r="C367" s="397"/>
      <c r="D367" s="390"/>
      <c r="E367" s="397"/>
      <c r="F367" s="390"/>
      <c r="G367" s="397"/>
    </row>
    <row r="368" spans="1:9" ht="13.2" hidden="1" thickBot="1">
      <c r="A368" s="362" t="b">
        <v>0</v>
      </c>
      <c r="B368" s="405" t="s">
        <v>729</v>
      </c>
      <c r="C368" s="406" t="b">
        <v>0</v>
      </c>
      <c r="D368" s="390"/>
      <c r="E368" s="406" t="b">
        <v>0</v>
      </c>
      <c r="F368" s="390"/>
      <c r="G368" s="406" t="b">
        <v>0</v>
      </c>
      <c r="H368" s="388" t="s">
        <v>730</v>
      </c>
      <c r="I368" s="407" t="b">
        <f>OR($C368,$E368,$G368)</f>
        <v>0</v>
      </c>
    </row>
  </sheetData>
  <conditionalFormatting sqref="H9">
    <cfRule type="colorScale" priority="2">
      <colorScale>
        <cfvo type="min"/>
        <cfvo type="percentile" val="50"/>
        <cfvo type="max"/>
        <color rgb="FFF8696B"/>
        <color rgb="FFFFEB84"/>
        <color rgb="FF63BE7B"/>
      </colorScale>
    </cfRule>
  </conditionalFormatting>
  <conditionalFormatting sqref="H8">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errorTitle="1 to 3 Rows" error="Please select 1 to 3 rows" sqref="C43">
      <formula1>"1,2,3"</formula1>
    </dataValidation>
    <dataValidation type="list" allowBlank="1" showInputMessage="1" showErrorMessage="1" errorTitle="1 to 8 Tabs" error="Please select between 1 to 8 tabs" sqref="C41">
      <formula1>"1,2,3,4,5,6,7,8"</formula1>
    </dataValidation>
    <dataValidation type="list" allowBlank="1" showInputMessage="1" showErrorMessage="1" sqref="C64 E64 G64 E76 C76 C168 E88 G88 G76 C104 E104 G104 G116 E116 C116 C128 E128 G128 C144 E144 G144 G156 E156 C156 G368 E168 G168 C184 E184 G184 G196 E196 C196 C208 E208 G208 C224 E224 G224 G236 E236 C236 C248 E248 G248 C264 E264 G264 G276 E276 C276 C288 E288 G288 C304 E304 G304 G316 E316 C316 C328 E328 G328 C344 E344 G344 G356 E356 C356 C368 E368 C88">
      <formula1>"TRUE, FALSE"</formula1>
    </dataValidation>
  </dataValidations>
  <hyperlinks>
    <hyperlink ref="C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6561" r:id="rId5" name="Button 1">
              <controlPr defaultSize="0" print="0" autoFill="0" autoPict="0" macro="[0]!NavFormat">
                <anchor moveWithCells="1" sizeWithCells="1">
                  <from>
                    <xdr:col>4</xdr:col>
                    <xdr:colOff>342900</xdr:colOff>
                    <xdr:row>44</xdr:row>
                    <xdr:rowOff>22860</xdr:rowOff>
                  </from>
                  <to>
                    <xdr:col>6</xdr:col>
                    <xdr:colOff>327660</xdr:colOff>
                    <xdr:row>46</xdr:row>
                    <xdr:rowOff>152400</xdr:rowOff>
                  </to>
                </anchor>
              </controlPr>
            </control>
          </mc:Choice>
        </mc:AlternateContent>
        <mc:AlternateContent xmlns:mc="http://schemas.openxmlformats.org/markup-compatibility/2006">
          <mc:Choice Requires="x14">
            <control shapeId="66562" r:id="rId6" name="Button 2">
              <controlPr defaultSize="0" print="0" autoFill="0" autoPict="0">
                <anchor moveWithCells="1" sizeWithCells="1">
                  <from>
                    <xdr:col>2</xdr:col>
                    <xdr:colOff>0</xdr:colOff>
                    <xdr:row>44</xdr:row>
                    <xdr:rowOff>22860</xdr:rowOff>
                  </from>
                  <to>
                    <xdr:col>3</xdr:col>
                    <xdr:colOff>38100</xdr:colOff>
                    <xdr:row>46</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69"/>
  <sheetViews>
    <sheetView workbookViewId="0"/>
  </sheetViews>
  <sheetFormatPr defaultColWidth="8.81640625" defaultRowHeight="12.6"/>
  <cols>
    <col min="1" max="1" width="3.1796875" style="153" customWidth="1"/>
    <col min="2" max="2" width="18.6328125" style="153" customWidth="1"/>
    <col min="3" max="3" width="41.453125" style="153" customWidth="1"/>
    <col min="4" max="4" width="8.26953125" style="153" customWidth="1"/>
    <col min="5" max="10" width="10.36328125" style="153" customWidth="1"/>
    <col min="11" max="11" width="8.81640625" style="153" customWidth="1"/>
    <col min="12" max="12" width="7.6328125" style="153" customWidth="1"/>
    <col min="13" max="13" width="8.7265625" style="153" customWidth="1"/>
    <col min="14" max="16384" width="8.81640625" style="153"/>
  </cols>
  <sheetData>
    <row r="1" spans="1:26" s="178" customFormat="1" ht="18.75" customHeight="1">
      <c r="A1" s="179"/>
      <c r="B1" s="179" t="s">
        <v>391</v>
      </c>
      <c r="C1" s="180"/>
      <c r="D1" s="179"/>
      <c r="E1" s="179"/>
      <c r="F1" s="179"/>
      <c r="G1" s="179"/>
      <c r="H1" s="179"/>
      <c r="I1" s="179"/>
      <c r="J1" s="179"/>
      <c r="K1" s="179"/>
      <c r="L1" s="179"/>
      <c r="M1" s="179"/>
      <c r="N1" s="179"/>
      <c r="O1" s="179"/>
      <c r="P1" s="179"/>
      <c r="Q1" s="179"/>
      <c r="R1" s="179"/>
      <c r="S1" s="179"/>
      <c r="T1" s="179"/>
      <c r="U1" s="179"/>
      <c r="V1" s="179"/>
      <c r="W1" s="179"/>
      <c r="X1" s="179"/>
      <c r="Y1" s="179"/>
      <c r="Z1" s="179"/>
    </row>
    <row r="2" spans="1:26" s="166" customFormat="1">
      <c r="D2" s="167"/>
      <c r="F2" s="167"/>
      <c r="H2" s="167"/>
      <c r="J2" s="167"/>
    </row>
    <row r="3" spans="1:26" s="166" customFormat="1" ht="14.4">
      <c r="B3" s="166" t="s">
        <v>390</v>
      </c>
      <c r="C3" s="177" t="s">
        <v>389</v>
      </c>
      <c r="F3" s="176"/>
      <c r="H3" s="176"/>
      <c r="J3" s="176"/>
    </row>
    <row r="4" spans="1:26" s="166" customFormat="1">
      <c r="C4" s="167"/>
      <c r="E4" s="167"/>
    </row>
    <row r="5" spans="1:26" s="163" customFormat="1" ht="13.8">
      <c r="B5" s="175" t="s">
        <v>388</v>
      </c>
      <c r="E5" s="164"/>
      <c r="F5" s="164"/>
      <c r="G5" s="164"/>
      <c r="H5" s="164"/>
      <c r="I5" s="164"/>
    </row>
    <row r="6" spans="1:26" s="166" customFormat="1">
      <c r="C6" s="167"/>
      <c r="E6" s="167"/>
    </row>
    <row r="7" spans="1:26" s="166" customFormat="1">
      <c r="B7" s="174"/>
      <c r="C7" s="156" t="s">
        <v>387</v>
      </c>
      <c r="E7" s="156"/>
    </row>
    <row r="8" spans="1:26" s="166" customFormat="1" ht="14.4">
      <c r="B8" s="173"/>
      <c r="C8" s="172" t="s">
        <v>386</v>
      </c>
      <c r="G8" s="157"/>
    </row>
    <row r="9" spans="1:26" s="157" customFormat="1" ht="14.4">
      <c r="B9" s="169"/>
      <c r="C9" s="172" t="s">
        <v>385</v>
      </c>
    </row>
    <row r="10" spans="1:26">
      <c r="D10" s="159"/>
      <c r="F10" s="159"/>
    </row>
    <row r="11" spans="1:26" s="163" customFormat="1" ht="21" customHeight="1">
      <c r="B11" s="165" t="s">
        <v>392</v>
      </c>
      <c r="E11" s="164"/>
      <c r="F11" s="164"/>
      <c r="G11" s="164"/>
      <c r="H11" s="164"/>
      <c r="I11" s="164"/>
    </row>
    <row r="12" spans="1:26">
      <c r="D12" s="159"/>
      <c r="F12" s="159"/>
    </row>
    <row r="13" spans="1:26" s="166" customFormat="1">
      <c r="B13" s="171" t="s">
        <v>88</v>
      </c>
      <c r="C13" s="170" t="s">
        <v>384</v>
      </c>
      <c r="E13" s="167"/>
    </row>
    <row r="14" spans="1:26" s="157" customFormat="1" ht="3" customHeight="1">
      <c r="C14" s="158"/>
      <c r="D14" s="158"/>
      <c r="E14" s="158"/>
      <c r="F14" s="158"/>
      <c r="H14" s="158"/>
      <c r="I14" s="158"/>
      <c r="J14" s="158"/>
    </row>
    <row r="15" spans="1:26" s="166" customFormat="1">
      <c r="B15" s="169" t="s">
        <v>383</v>
      </c>
      <c r="C15" s="168" t="s">
        <v>382</v>
      </c>
      <c r="E15" s="167"/>
    </row>
    <row r="16" spans="1:26">
      <c r="D16" s="159"/>
      <c r="F16" s="159"/>
    </row>
    <row r="17" spans="2:10" s="163" customFormat="1" ht="21" customHeight="1">
      <c r="B17" s="165" t="s">
        <v>381</v>
      </c>
      <c r="E17" s="164"/>
      <c r="F17" s="164"/>
      <c r="G17" s="164"/>
      <c r="H17" s="164"/>
      <c r="I17" s="164"/>
    </row>
    <row r="18" spans="2:10">
      <c r="B18" s="162"/>
      <c r="D18" s="159"/>
      <c r="F18" s="159"/>
    </row>
    <row r="19" spans="2:10">
      <c r="B19" s="162"/>
      <c r="C19" s="161" t="s">
        <v>393</v>
      </c>
      <c r="D19" s="160" t="s">
        <v>380</v>
      </c>
      <c r="F19" s="159"/>
    </row>
    <row r="20" spans="2:10" s="157" customFormat="1" ht="3" customHeight="1"/>
    <row r="21" spans="2:10" s="157" customFormat="1" ht="14.4">
      <c r="B21" s="156" t="s">
        <v>379</v>
      </c>
      <c r="C21" s="155"/>
      <c r="D21" s="154" t="s">
        <v>378</v>
      </c>
      <c r="E21" s="153"/>
      <c r="F21" s="158"/>
      <c r="G21" s="153"/>
      <c r="H21" s="158"/>
      <c r="I21" s="153"/>
      <c r="J21" s="158"/>
    </row>
    <row r="22" spans="2:10" s="157" customFormat="1" ht="3" customHeight="1"/>
    <row r="23" spans="2:10" s="157" customFormat="1" ht="14.4">
      <c r="B23" s="156" t="s">
        <v>377</v>
      </c>
      <c r="C23" s="155"/>
      <c r="D23" s="154" t="s">
        <v>376</v>
      </c>
      <c r="E23" s="153"/>
      <c r="F23" s="158"/>
      <c r="G23" s="153"/>
      <c r="H23" s="158"/>
      <c r="I23" s="153"/>
      <c r="J23" s="158"/>
    </row>
    <row r="24" spans="2:10" s="157" customFormat="1" ht="3" customHeight="1">
      <c r="B24" s="156"/>
    </row>
    <row r="25" spans="2:10" s="157" customFormat="1" ht="14.4">
      <c r="B25" s="157" t="s">
        <v>375</v>
      </c>
      <c r="C25" s="155"/>
      <c r="D25" s="154" t="s">
        <v>374</v>
      </c>
      <c r="E25" s="153"/>
      <c r="F25" s="158"/>
      <c r="G25" s="153"/>
      <c r="H25" s="158"/>
      <c r="I25" s="153"/>
      <c r="J25" s="158"/>
    </row>
    <row r="26" spans="2:10" s="157" customFormat="1" ht="3" customHeight="1">
      <c r="B26" s="156"/>
    </row>
    <row r="27" spans="2:10" s="157" customFormat="1" ht="14.4">
      <c r="B27" s="156" t="s">
        <v>373</v>
      </c>
      <c r="C27" s="155"/>
      <c r="D27" s="154" t="s">
        <v>372</v>
      </c>
      <c r="E27" s="153"/>
      <c r="F27" s="158"/>
      <c r="G27" s="153"/>
      <c r="H27" s="158"/>
      <c r="I27" s="153"/>
      <c r="J27" s="158"/>
    </row>
    <row r="28" spans="2:10" s="157" customFormat="1" ht="3" customHeight="1"/>
    <row r="29" spans="2:10" s="157" customFormat="1" ht="14.4">
      <c r="B29" s="156" t="s">
        <v>371</v>
      </c>
      <c r="C29" s="155"/>
      <c r="D29" s="154" t="s">
        <v>370</v>
      </c>
      <c r="E29" s="153"/>
      <c r="F29" s="158"/>
      <c r="G29" s="153"/>
      <c r="H29" s="158"/>
      <c r="I29" s="153"/>
      <c r="J29" s="158"/>
    </row>
    <row r="30" spans="2:10" s="157" customFormat="1" ht="3" customHeight="1">
      <c r="B30" s="156"/>
    </row>
    <row r="31" spans="2:10" s="157" customFormat="1" ht="14.4">
      <c r="B31" s="156" t="s">
        <v>369</v>
      </c>
      <c r="C31" s="155"/>
      <c r="D31" s="154" t="s">
        <v>368</v>
      </c>
      <c r="E31" s="153"/>
      <c r="F31" s="158"/>
      <c r="G31" s="153"/>
      <c r="H31" s="158"/>
      <c r="I31" s="153"/>
      <c r="J31" s="158"/>
    </row>
    <row r="32" spans="2:10" s="157" customFormat="1" ht="3" customHeight="1"/>
    <row r="33" spans="2:4" ht="14.4">
      <c r="B33" s="156" t="s">
        <v>367</v>
      </c>
      <c r="C33" s="155"/>
      <c r="D33" s="154" t="s">
        <v>366</v>
      </c>
    </row>
    <row r="34" spans="2:4" s="157" customFormat="1" ht="3" customHeight="1"/>
    <row r="35" spans="2:4" ht="14.4">
      <c r="B35" s="156" t="s">
        <v>365</v>
      </c>
      <c r="C35" s="155"/>
      <c r="D35" s="154" t="s">
        <v>364</v>
      </c>
    </row>
    <row r="36" spans="2:4" s="157" customFormat="1" ht="3" customHeight="1"/>
    <row r="37" spans="2:4" ht="14.4">
      <c r="B37" s="156" t="s">
        <v>363</v>
      </c>
      <c r="C37" s="155"/>
      <c r="D37" s="154" t="s">
        <v>362</v>
      </c>
    </row>
    <row r="38" spans="2:4" s="157" customFormat="1" ht="3" customHeight="1"/>
    <row r="39" spans="2:4" ht="14.4">
      <c r="B39" s="156" t="s">
        <v>361</v>
      </c>
      <c r="C39" s="155"/>
      <c r="D39" s="154" t="s">
        <v>360</v>
      </c>
    </row>
    <row r="40" spans="2:4" s="157" customFormat="1" ht="3" customHeight="1"/>
    <row r="41" spans="2:4" ht="14.4">
      <c r="B41" s="156" t="s">
        <v>359</v>
      </c>
      <c r="C41" s="155"/>
      <c r="D41" s="154" t="s">
        <v>358</v>
      </c>
    </row>
    <row r="42" spans="2:4" s="157" customFormat="1" ht="3" customHeight="1"/>
    <row r="43" spans="2:4" ht="14.4">
      <c r="B43" s="156" t="s">
        <v>357</v>
      </c>
      <c r="C43" s="155"/>
      <c r="D43" s="154" t="s">
        <v>356</v>
      </c>
    </row>
    <row r="44" spans="2:4" s="157" customFormat="1" ht="3" customHeight="1"/>
    <row r="45" spans="2:4" ht="14.4">
      <c r="B45" s="156" t="s">
        <v>355</v>
      </c>
      <c r="C45" s="155"/>
      <c r="D45" s="154" t="s">
        <v>354</v>
      </c>
    </row>
    <row r="46" spans="2:4" s="157" customFormat="1" ht="3" customHeight="1"/>
    <row r="47" spans="2:4" ht="14.4">
      <c r="B47" s="156" t="s">
        <v>353</v>
      </c>
      <c r="C47" s="155"/>
      <c r="D47" s="154" t="s">
        <v>352</v>
      </c>
    </row>
    <row r="48" spans="2:4" s="157" customFormat="1" ht="3" customHeight="1"/>
    <row r="49" spans="2:4" ht="14.4">
      <c r="B49" s="156" t="s">
        <v>351</v>
      </c>
      <c r="C49" s="155"/>
      <c r="D49" s="154" t="s">
        <v>350</v>
      </c>
    </row>
    <row r="50" spans="2:4" s="157" customFormat="1" ht="3" customHeight="1"/>
    <row r="51" spans="2:4" ht="14.4">
      <c r="B51" s="156" t="s">
        <v>349</v>
      </c>
      <c r="C51" s="155"/>
      <c r="D51" s="154" t="s">
        <v>348</v>
      </c>
    </row>
    <row r="52" spans="2:4" s="157" customFormat="1" ht="3" customHeight="1"/>
    <row r="53" spans="2:4" ht="14.4">
      <c r="B53" s="156" t="s">
        <v>347</v>
      </c>
      <c r="C53" s="155"/>
      <c r="D53" s="154" t="s">
        <v>346</v>
      </c>
    </row>
    <row r="54" spans="2:4" s="157" customFormat="1" ht="3" customHeight="1"/>
    <row r="55" spans="2:4" ht="14.4">
      <c r="B55" s="156" t="s">
        <v>345</v>
      </c>
      <c r="C55" s="155"/>
      <c r="D55" s="154" t="s">
        <v>344</v>
      </c>
    </row>
    <row r="56" spans="2:4" s="157" customFormat="1" ht="3" customHeight="1"/>
    <row r="57" spans="2:4" ht="14.4">
      <c r="B57" s="156" t="s">
        <v>343</v>
      </c>
      <c r="C57" s="155"/>
      <c r="D57" s="154" t="s">
        <v>342</v>
      </c>
    </row>
    <row r="58" spans="2:4" s="157" customFormat="1" ht="3" customHeight="1"/>
    <row r="59" spans="2:4" ht="14.4">
      <c r="B59" s="156" t="s">
        <v>341</v>
      </c>
      <c r="C59" s="155"/>
      <c r="D59" s="154" t="s">
        <v>340</v>
      </c>
    </row>
    <row r="60" spans="2:4" s="157" customFormat="1" ht="3" customHeight="1"/>
    <row r="61" spans="2:4" ht="14.4">
      <c r="B61" s="156" t="s">
        <v>339</v>
      </c>
      <c r="C61" s="155"/>
      <c r="D61" s="154" t="s">
        <v>338</v>
      </c>
    </row>
    <row r="62" spans="2:4" s="157" customFormat="1" ht="3" customHeight="1"/>
    <row r="63" spans="2:4" ht="14.4">
      <c r="B63" s="156" t="s">
        <v>337</v>
      </c>
      <c r="C63" s="155"/>
      <c r="D63" s="154" t="s">
        <v>336</v>
      </c>
    </row>
    <row r="64" spans="2:4" s="157" customFormat="1" ht="3" customHeight="1"/>
    <row r="65" spans="2:4" ht="14.4">
      <c r="B65" s="156" t="s">
        <v>335</v>
      </c>
      <c r="C65" s="155"/>
      <c r="D65" s="154" t="s">
        <v>334</v>
      </c>
    </row>
    <row r="66" spans="2:4" s="157" customFormat="1" ht="3" customHeight="1"/>
    <row r="67" spans="2:4" ht="14.4">
      <c r="B67" s="156" t="s">
        <v>333</v>
      </c>
      <c r="C67" s="155"/>
      <c r="D67" s="154" t="s">
        <v>332</v>
      </c>
    </row>
    <row r="68" spans="2:4" s="157" customFormat="1" ht="3" customHeight="1"/>
    <row r="69" spans="2:4" ht="14.4">
      <c r="B69" s="156" t="s">
        <v>331</v>
      </c>
      <c r="C69" s="155"/>
      <c r="D69" s="154" t="s">
        <v>330</v>
      </c>
    </row>
  </sheetData>
  <hyperlinks>
    <hyperlink ref="C3"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5"/>
  <sheetViews>
    <sheetView workbookViewId="0">
      <selection activeCell="E18" sqref="E18"/>
    </sheetView>
  </sheetViews>
  <sheetFormatPr defaultRowHeight="13.8"/>
  <cols>
    <col min="1" max="3" width="4.7265625" customWidth="1"/>
    <col min="5" max="6" width="24.7265625" customWidth="1"/>
  </cols>
  <sheetData>
    <row r="1" spans="1:6" s="18" customFormat="1">
      <c r="A1" s="18" t="s">
        <v>103</v>
      </c>
    </row>
    <row r="3" spans="1:6">
      <c r="A3" t="s">
        <v>212</v>
      </c>
    </row>
    <row r="4" spans="1:6">
      <c r="B4" t="s">
        <v>256</v>
      </c>
    </row>
    <row r="5" spans="1:6">
      <c r="B5" t="s">
        <v>257</v>
      </c>
    </row>
    <row r="6" spans="1:6">
      <c r="B6" t="s">
        <v>258</v>
      </c>
    </row>
    <row r="7" spans="1:6">
      <c r="B7" t="s">
        <v>259</v>
      </c>
    </row>
    <row r="10" spans="1:6" s="83" customFormat="1">
      <c r="A10" s="83" t="s">
        <v>120</v>
      </c>
    </row>
    <row r="12" spans="1:6">
      <c r="D12" s="21" t="str">
        <f>F17&amp;F18&amp;F19&amp;F20&amp;F21&amp;F22&amp;F23&amp;F24&amp;F25&amp;F26</f>
        <v/>
      </c>
      <c r="E12" t="s">
        <v>6</v>
      </c>
    </row>
    <row r="14" spans="1:6" s="83" customFormat="1">
      <c r="A14" s="83" t="s">
        <v>125</v>
      </c>
    </row>
    <row r="16" spans="1:6">
      <c r="D16" t="s">
        <v>104</v>
      </c>
      <c r="E16" t="s">
        <v>255</v>
      </c>
      <c r="F16" t="s">
        <v>105</v>
      </c>
    </row>
    <row r="17" spans="1:6">
      <c r="C17">
        <v>1</v>
      </c>
      <c r="D17" s="2" t="b">
        <f>tlOutputBudgetValidationY1</f>
        <v>0</v>
      </c>
      <c r="E17" s="1" t="s">
        <v>2245</v>
      </c>
      <c r="F17" s="20" t="str">
        <f>IF(D17,E17 &amp; dec_LineBreak,"")</f>
        <v/>
      </c>
    </row>
    <row r="18" spans="1:6">
      <c r="C18">
        <v>2</v>
      </c>
      <c r="D18" s="2" t="b">
        <f>tlOutputBudgetValidationY2</f>
        <v>0</v>
      </c>
      <c r="E18" s="1" t="s">
        <v>2246</v>
      </c>
      <c r="F18" s="20" t="str">
        <f>IF(D18,E18 &amp; dec_LineBreak,"")</f>
        <v/>
      </c>
    </row>
    <row r="19" spans="1:6">
      <c r="C19">
        <v>3</v>
      </c>
      <c r="D19" s="2" t="b">
        <v>0</v>
      </c>
      <c r="E19" s="1"/>
      <c r="F19" s="20" t="str">
        <f>IF(D19,E19 &amp; dec_LineBreak,"")</f>
        <v/>
      </c>
    </row>
    <row r="20" spans="1:6">
      <c r="C20">
        <v>4</v>
      </c>
      <c r="D20" s="2" t="b">
        <v>0</v>
      </c>
      <c r="E20" s="1"/>
      <c r="F20" s="20" t="str">
        <f>IF(D20,E20 &amp; dec_LineBreak,"")</f>
        <v/>
      </c>
    </row>
    <row r="21" spans="1:6">
      <c r="C21">
        <v>5</v>
      </c>
      <c r="D21" s="2" t="b">
        <v>0</v>
      </c>
      <c r="E21" s="1"/>
      <c r="F21" s="20"/>
    </row>
    <row r="22" spans="1:6">
      <c r="C22">
        <v>6</v>
      </c>
      <c r="D22" s="2" t="b">
        <v>0</v>
      </c>
      <c r="E22" s="1"/>
      <c r="F22" s="20"/>
    </row>
    <row r="23" spans="1:6">
      <c r="C23">
        <v>7</v>
      </c>
      <c r="D23" s="2" t="b">
        <v>0</v>
      </c>
      <c r="E23" s="1"/>
      <c r="F23" s="20"/>
    </row>
    <row r="24" spans="1:6">
      <c r="C24">
        <v>8</v>
      </c>
      <c r="D24" s="2" t="b">
        <v>0</v>
      </c>
      <c r="E24" s="1"/>
      <c r="F24" s="20"/>
    </row>
    <row r="25" spans="1:6">
      <c r="C25">
        <v>9</v>
      </c>
      <c r="D25" s="2" t="b">
        <v>0</v>
      </c>
      <c r="E25" s="1"/>
      <c r="F25" s="20"/>
    </row>
    <row r="26" spans="1:6">
      <c r="C26">
        <v>10</v>
      </c>
      <c r="D26" s="2" t="b">
        <v>0</v>
      </c>
      <c r="E26" s="1"/>
      <c r="F26" s="20" t="str">
        <f>IF(D26,E26 &amp; dec_LineBreak,"")</f>
        <v/>
      </c>
    </row>
    <row r="30" spans="1:6" s="83" customFormat="1">
      <c r="A30" s="83" t="s">
        <v>260</v>
      </c>
    </row>
    <row r="32" spans="1:6">
      <c r="D32" s="21" t="b">
        <f>OR(D17:D26)</f>
        <v>0</v>
      </c>
      <c r="E32" t="s">
        <v>5</v>
      </c>
    </row>
    <row r="35" spans="4:6">
      <c r="D35" s="17"/>
      <c r="E35" t="s">
        <v>106</v>
      </c>
      <c r="F35" t="s">
        <v>248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89"/>
  <sheetViews>
    <sheetView topLeftCell="C2" workbookViewId="0">
      <selection activeCell="C19" sqref="C19"/>
    </sheetView>
  </sheetViews>
  <sheetFormatPr defaultColWidth="8.81640625" defaultRowHeight="16.2"/>
  <cols>
    <col min="1" max="1" width="2.453125" style="27" customWidth="1"/>
    <col min="2" max="2" width="9.7265625" style="27" customWidth="1"/>
    <col min="3" max="3" width="22.26953125" style="27" customWidth="1"/>
    <col min="4" max="4" width="7.90625" style="27" customWidth="1"/>
    <col min="5" max="15" width="15.08984375" style="27" customWidth="1"/>
    <col min="16" max="16" width="15.08984375" style="29" customWidth="1"/>
    <col min="17" max="18" width="9.7265625" style="29" customWidth="1"/>
    <col min="19" max="16384" width="8.81640625" style="27"/>
  </cols>
  <sheetData>
    <row r="1" spans="1:18" s="85" customFormat="1">
      <c r="A1" s="84" t="s">
        <v>118</v>
      </c>
      <c r="P1" s="92"/>
      <c r="Q1" s="92"/>
      <c r="R1" s="92"/>
    </row>
    <row r="3" spans="1:18">
      <c r="A3" s="27" t="s">
        <v>119</v>
      </c>
    </row>
    <row r="6" spans="1:18" s="81" customFormat="1">
      <c r="A6" s="80" t="s">
        <v>120</v>
      </c>
      <c r="P6" s="82"/>
      <c r="Q6" s="82"/>
      <c r="R6" s="82"/>
    </row>
    <row r="7" spans="1:18">
      <c r="A7" s="28"/>
      <c r="C7" s="714">
        <v>0.2</v>
      </c>
      <c r="E7" s="27">
        <v>1.0000000000000001E-5</v>
      </c>
      <c r="F7" s="27">
        <v>9.9999999999999995E-7</v>
      </c>
      <c r="G7" s="27">
        <v>9.9999999999999995E-8</v>
      </c>
      <c r="H7" s="27">
        <v>1E-8</v>
      </c>
      <c r="I7" s="27">
        <v>1.0000000000000001E-9</v>
      </c>
      <c r="J7" s="27">
        <f>I7-0.00000000000001</f>
        <v>9.9998999999999998E-10</v>
      </c>
      <c r="K7" s="27">
        <f t="shared" ref="K7:N7" si="0">J7-0.00000000000001</f>
        <v>9.9997999999999989E-10</v>
      </c>
      <c r="L7" s="27">
        <f t="shared" si="0"/>
        <v>9.999699999999998E-10</v>
      </c>
      <c r="M7" s="27">
        <f t="shared" si="0"/>
        <v>9.9995999999999972E-10</v>
      </c>
      <c r="N7" s="27">
        <f t="shared" si="0"/>
        <v>9.9994999999999963E-10</v>
      </c>
      <c r="O7" s="27" t="s">
        <v>2208</v>
      </c>
    </row>
    <row r="8" spans="1:18">
      <c r="C8" s="27" t="s">
        <v>397</v>
      </c>
      <c r="E8" s="32">
        <f>E71</f>
        <v>100</v>
      </c>
      <c r="F8" s="32">
        <f t="shared" ref="F8:I8" si="1">F71</f>
        <v>100</v>
      </c>
      <c r="G8" s="32">
        <f t="shared" si="1"/>
        <v>100</v>
      </c>
      <c r="H8" s="32">
        <f t="shared" si="1"/>
        <v>100</v>
      </c>
      <c r="I8" s="32">
        <f t="shared" si="1"/>
        <v>100</v>
      </c>
      <c r="J8" s="32">
        <f t="shared" ref="J8:N8" si="2">J71</f>
        <v>100</v>
      </c>
      <c r="K8" s="32">
        <f t="shared" si="2"/>
        <v>0</v>
      </c>
      <c r="L8" s="32">
        <f t="shared" si="2"/>
        <v>0</v>
      </c>
      <c r="M8" s="32">
        <f t="shared" si="2"/>
        <v>0</v>
      </c>
      <c r="N8" s="32">
        <f t="shared" si="2"/>
        <v>0</v>
      </c>
      <c r="O8" s="634" t="s">
        <v>2065</v>
      </c>
    </row>
    <row r="9" spans="1:18">
      <c r="C9" s="27" t="s">
        <v>505</v>
      </c>
      <c r="E9" s="632">
        <f t="shared" ref="E9:N9" si="3">cbalV2MOMValue1Rank</f>
        <v>0.2</v>
      </c>
      <c r="F9" s="632">
        <f t="shared" si="3"/>
        <v>0.2</v>
      </c>
      <c r="G9" s="632">
        <f t="shared" si="3"/>
        <v>0.2</v>
      </c>
      <c r="H9" s="632">
        <f t="shared" si="3"/>
        <v>0.2</v>
      </c>
      <c r="I9" s="632">
        <f t="shared" si="3"/>
        <v>0.2</v>
      </c>
      <c r="J9" s="632">
        <f t="shared" si="3"/>
        <v>0.2</v>
      </c>
      <c r="K9" s="632">
        <f t="shared" si="3"/>
        <v>0.2</v>
      </c>
      <c r="L9" s="632">
        <f t="shared" si="3"/>
        <v>0.2</v>
      </c>
      <c r="M9" s="632">
        <f t="shared" si="3"/>
        <v>0.2</v>
      </c>
      <c r="N9" s="632">
        <f t="shared" si="3"/>
        <v>0.2</v>
      </c>
      <c r="O9" s="33"/>
    </row>
    <row r="10" spans="1:18" s="28" customFormat="1">
      <c r="C10" s="28" t="s">
        <v>2058</v>
      </c>
      <c r="E10" s="633">
        <f t="shared" ref="E10:N10" si="4">E8*(E9)+LeagueTieBreakers</f>
        <v>20.00001</v>
      </c>
      <c r="F10" s="633">
        <f t="shared" si="4"/>
        <v>20.000001000000001</v>
      </c>
      <c r="G10" s="633">
        <f t="shared" si="4"/>
        <v>20.000000100000001</v>
      </c>
      <c r="H10" s="633">
        <f t="shared" si="4"/>
        <v>20.000000010000001</v>
      </c>
      <c r="I10" s="633">
        <f t="shared" si="4"/>
        <v>20.000000001</v>
      </c>
      <c r="J10" s="633">
        <f t="shared" si="4"/>
        <v>20.000000000999989</v>
      </c>
      <c r="K10" s="633">
        <f t="shared" si="4"/>
        <v>9.9997999999999989E-10</v>
      </c>
      <c r="L10" s="633">
        <f t="shared" si="4"/>
        <v>9.999699999999998E-10</v>
      </c>
      <c r="M10" s="633">
        <f t="shared" si="4"/>
        <v>9.9995999999999972E-10</v>
      </c>
      <c r="N10" s="633">
        <f t="shared" si="4"/>
        <v>9.9994999999999963E-10</v>
      </c>
      <c r="O10" s="634" t="s">
        <v>2066</v>
      </c>
      <c r="P10" s="635"/>
      <c r="Q10" s="635"/>
      <c r="R10" s="635"/>
    </row>
    <row r="11" spans="1:18">
      <c r="E11" s="32"/>
      <c r="F11" s="32"/>
      <c r="G11" s="32"/>
      <c r="H11" s="32"/>
      <c r="I11" s="32"/>
      <c r="J11" s="32"/>
      <c r="K11" s="32"/>
      <c r="L11" s="32"/>
      <c r="M11" s="32"/>
      <c r="N11" s="32"/>
      <c r="O11" s="33"/>
    </row>
    <row r="12" spans="1:18">
      <c r="C12" s="27" t="str">
        <f>C72</f>
        <v>Employee Engagement</v>
      </c>
      <c r="E12" s="32">
        <f>E72</f>
        <v>100</v>
      </c>
      <c r="F12" s="32">
        <f t="shared" ref="F12:I12" si="5">F72</f>
        <v>100</v>
      </c>
      <c r="G12" s="32">
        <f t="shared" si="5"/>
        <v>100</v>
      </c>
      <c r="H12" s="32">
        <f t="shared" si="5"/>
        <v>100</v>
      </c>
      <c r="I12" s="32">
        <f t="shared" si="5"/>
        <v>100</v>
      </c>
      <c r="J12" s="32">
        <f t="shared" ref="J12:N12" si="6">J72</f>
        <v>100</v>
      </c>
      <c r="K12" s="32">
        <f t="shared" si="6"/>
        <v>0</v>
      </c>
      <c r="L12" s="32">
        <f t="shared" si="6"/>
        <v>0</v>
      </c>
      <c r="M12" s="32">
        <f t="shared" si="6"/>
        <v>0</v>
      </c>
      <c r="N12" s="32">
        <f t="shared" si="6"/>
        <v>0</v>
      </c>
      <c r="O12" s="634" t="s">
        <v>2063</v>
      </c>
    </row>
    <row r="13" spans="1:18">
      <c r="C13" s="27" t="s">
        <v>505</v>
      </c>
      <c r="E13" s="632">
        <f t="shared" ref="E13:N13" si="7">cbalV2MOMValue3Rank</f>
        <v>0.2</v>
      </c>
      <c r="F13" s="632">
        <f t="shared" si="7"/>
        <v>0.2</v>
      </c>
      <c r="G13" s="632">
        <f t="shared" si="7"/>
        <v>0.2</v>
      </c>
      <c r="H13" s="632">
        <f t="shared" si="7"/>
        <v>0.2</v>
      </c>
      <c r="I13" s="632">
        <f t="shared" si="7"/>
        <v>0.2</v>
      </c>
      <c r="J13" s="632">
        <f t="shared" si="7"/>
        <v>0.2</v>
      </c>
      <c r="K13" s="632">
        <f t="shared" si="7"/>
        <v>0.2</v>
      </c>
      <c r="L13" s="632">
        <f t="shared" si="7"/>
        <v>0.2</v>
      </c>
      <c r="M13" s="632">
        <f t="shared" si="7"/>
        <v>0.2</v>
      </c>
      <c r="N13" s="632">
        <f t="shared" si="7"/>
        <v>0.2</v>
      </c>
      <c r="O13" s="33"/>
    </row>
    <row r="14" spans="1:18" s="28" customFormat="1">
      <c r="C14" s="28" t="s">
        <v>2058</v>
      </c>
      <c r="E14" s="633">
        <f t="shared" ref="E14:N14" si="8">E12*(E13)+LeagueTieBreakers</f>
        <v>20.00001</v>
      </c>
      <c r="F14" s="633">
        <f t="shared" si="8"/>
        <v>20.000001000000001</v>
      </c>
      <c r="G14" s="633">
        <f t="shared" si="8"/>
        <v>20.000000100000001</v>
      </c>
      <c r="H14" s="633">
        <f t="shared" si="8"/>
        <v>20.000000010000001</v>
      </c>
      <c r="I14" s="633">
        <f t="shared" si="8"/>
        <v>20.000000001</v>
      </c>
      <c r="J14" s="633">
        <f t="shared" si="8"/>
        <v>20.000000000999989</v>
      </c>
      <c r="K14" s="633">
        <f t="shared" si="8"/>
        <v>9.9997999999999989E-10</v>
      </c>
      <c r="L14" s="633">
        <f t="shared" si="8"/>
        <v>9.999699999999998E-10</v>
      </c>
      <c r="M14" s="633">
        <f t="shared" si="8"/>
        <v>9.9995999999999972E-10</v>
      </c>
      <c r="N14" s="633">
        <f t="shared" si="8"/>
        <v>9.9994999999999963E-10</v>
      </c>
      <c r="O14" s="634" t="s">
        <v>2064</v>
      </c>
      <c r="P14" s="635"/>
      <c r="Q14" s="635"/>
      <c r="R14" s="635"/>
    </row>
    <row r="15" spans="1:18">
      <c r="E15" s="32"/>
      <c r="F15" s="32"/>
      <c r="G15" s="32"/>
      <c r="H15" s="32"/>
      <c r="I15" s="32"/>
      <c r="J15" s="32"/>
      <c r="K15" s="32"/>
      <c r="L15" s="32"/>
      <c r="M15" s="32"/>
      <c r="N15" s="32"/>
      <c r="O15" s="33"/>
    </row>
    <row r="16" spans="1:18">
      <c r="C16" s="27" t="s">
        <v>2153</v>
      </c>
      <c r="E16" s="32">
        <f>E73</f>
        <v>100</v>
      </c>
      <c r="F16" s="32">
        <f t="shared" ref="F16:I16" si="9">F73</f>
        <v>100</v>
      </c>
      <c r="G16" s="32">
        <f t="shared" si="9"/>
        <v>100</v>
      </c>
      <c r="H16" s="32">
        <f t="shared" si="9"/>
        <v>100</v>
      </c>
      <c r="I16" s="32">
        <f t="shared" si="9"/>
        <v>100</v>
      </c>
      <c r="J16" s="32">
        <f t="shared" ref="J16:N16" si="10">J73</f>
        <v>100</v>
      </c>
      <c r="K16" s="32">
        <f t="shared" si="10"/>
        <v>0</v>
      </c>
      <c r="L16" s="32">
        <f t="shared" si="10"/>
        <v>0</v>
      </c>
      <c r="M16" s="32">
        <f t="shared" si="10"/>
        <v>0</v>
      </c>
      <c r="N16" s="32">
        <f t="shared" si="10"/>
        <v>0</v>
      </c>
      <c r="O16" s="634" t="s">
        <v>2061</v>
      </c>
    </row>
    <row r="17" spans="1:18">
      <c r="C17" s="27" t="s">
        <v>505</v>
      </c>
      <c r="E17" s="632">
        <f t="shared" ref="E17:N17" si="11">cbalV2MOMValue2Rank</f>
        <v>0.2</v>
      </c>
      <c r="F17" s="632">
        <f t="shared" si="11"/>
        <v>0.2</v>
      </c>
      <c r="G17" s="632">
        <f t="shared" si="11"/>
        <v>0.2</v>
      </c>
      <c r="H17" s="632">
        <f t="shared" si="11"/>
        <v>0.2</v>
      </c>
      <c r="I17" s="632">
        <f t="shared" si="11"/>
        <v>0.2</v>
      </c>
      <c r="J17" s="632">
        <f t="shared" si="11"/>
        <v>0.2</v>
      </c>
      <c r="K17" s="632">
        <f t="shared" si="11"/>
        <v>0.2</v>
      </c>
      <c r="L17" s="632">
        <f t="shared" si="11"/>
        <v>0.2</v>
      </c>
      <c r="M17" s="632">
        <f t="shared" si="11"/>
        <v>0.2</v>
      </c>
      <c r="N17" s="632">
        <f t="shared" si="11"/>
        <v>0.2</v>
      </c>
      <c r="O17" s="33"/>
    </row>
    <row r="18" spans="1:18" s="28" customFormat="1">
      <c r="C18" s="28" t="s">
        <v>2058</v>
      </c>
      <c r="E18" s="633">
        <f t="shared" ref="E18:N18" si="12">E16*(E17)+LeagueTieBreakers</f>
        <v>20.00001</v>
      </c>
      <c r="F18" s="633">
        <f t="shared" si="12"/>
        <v>20.000001000000001</v>
      </c>
      <c r="G18" s="633">
        <f t="shared" si="12"/>
        <v>20.000000100000001</v>
      </c>
      <c r="H18" s="633">
        <f t="shared" si="12"/>
        <v>20.000000010000001</v>
      </c>
      <c r="I18" s="633">
        <f t="shared" si="12"/>
        <v>20.000000001</v>
      </c>
      <c r="J18" s="633">
        <f t="shared" si="12"/>
        <v>20.000000000999989</v>
      </c>
      <c r="K18" s="633">
        <f t="shared" si="12"/>
        <v>9.9997999999999989E-10</v>
      </c>
      <c r="L18" s="633">
        <f t="shared" si="12"/>
        <v>9.999699999999998E-10</v>
      </c>
      <c r="M18" s="633">
        <f t="shared" si="12"/>
        <v>9.9995999999999972E-10</v>
      </c>
      <c r="N18" s="633">
        <f t="shared" si="12"/>
        <v>9.9994999999999963E-10</v>
      </c>
      <c r="O18" s="634" t="s">
        <v>2062</v>
      </c>
      <c r="P18" s="635"/>
      <c r="Q18" s="635"/>
      <c r="R18" s="635"/>
    </row>
    <row r="19" spans="1:18">
      <c r="E19" s="32"/>
      <c r="F19" s="32"/>
      <c r="G19" s="32"/>
      <c r="H19" s="32"/>
      <c r="I19" s="32"/>
      <c r="J19" s="32"/>
      <c r="K19" s="32"/>
      <c r="L19" s="32"/>
      <c r="M19" s="32"/>
      <c r="N19" s="32"/>
      <c r="O19" s="33"/>
    </row>
    <row r="20" spans="1:18">
      <c r="C20" s="27" t="s">
        <v>1153</v>
      </c>
      <c r="E20" s="32">
        <f>E74</f>
        <v>100</v>
      </c>
      <c r="F20" s="32">
        <f t="shared" ref="F20:I20" si="13">F74</f>
        <v>100</v>
      </c>
      <c r="G20" s="32">
        <f t="shared" si="13"/>
        <v>100</v>
      </c>
      <c r="H20" s="32">
        <f t="shared" si="13"/>
        <v>100</v>
      </c>
      <c r="I20" s="32">
        <f t="shared" si="13"/>
        <v>100</v>
      </c>
      <c r="J20" s="32">
        <f t="shared" ref="J20:N20" si="14">J74</f>
        <v>100</v>
      </c>
      <c r="K20" s="32">
        <f t="shared" si="14"/>
        <v>0</v>
      </c>
      <c r="L20" s="32">
        <f t="shared" si="14"/>
        <v>0</v>
      </c>
      <c r="M20" s="32">
        <f t="shared" si="14"/>
        <v>0</v>
      </c>
      <c r="N20" s="32">
        <f t="shared" si="14"/>
        <v>0</v>
      </c>
      <c r="O20" s="634" t="s">
        <v>2060</v>
      </c>
    </row>
    <row r="21" spans="1:18">
      <c r="C21" s="27" t="s">
        <v>505</v>
      </c>
      <c r="E21" s="632">
        <f t="shared" ref="E21:N21" si="15">cbalV2MOMValue4Rank</f>
        <v>0.2</v>
      </c>
      <c r="F21" s="632">
        <f t="shared" si="15"/>
        <v>0.2</v>
      </c>
      <c r="G21" s="632">
        <f t="shared" si="15"/>
        <v>0.2</v>
      </c>
      <c r="H21" s="632">
        <f t="shared" si="15"/>
        <v>0.2</v>
      </c>
      <c r="I21" s="632">
        <f t="shared" si="15"/>
        <v>0.2</v>
      </c>
      <c r="J21" s="632">
        <f t="shared" si="15"/>
        <v>0.2</v>
      </c>
      <c r="K21" s="632">
        <f t="shared" si="15"/>
        <v>0.2</v>
      </c>
      <c r="L21" s="632">
        <f t="shared" si="15"/>
        <v>0.2</v>
      </c>
      <c r="M21" s="632">
        <f t="shared" si="15"/>
        <v>0.2</v>
      </c>
      <c r="N21" s="632">
        <f t="shared" si="15"/>
        <v>0.2</v>
      </c>
      <c r="O21" s="33"/>
    </row>
    <row r="22" spans="1:18" s="28" customFormat="1">
      <c r="C22" s="28" t="s">
        <v>2058</v>
      </c>
      <c r="E22" s="633">
        <f t="shared" ref="E22:N22" si="16">E20*(E21)+LeagueTieBreakers</f>
        <v>20.00001</v>
      </c>
      <c r="F22" s="633">
        <f t="shared" si="16"/>
        <v>20.000001000000001</v>
      </c>
      <c r="G22" s="633">
        <f t="shared" si="16"/>
        <v>20.000000100000001</v>
      </c>
      <c r="H22" s="633">
        <f t="shared" si="16"/>
        <v>20.000000010000001</v>
      </c>
      <c r="I22" s="633">
        <f t="shared" si="16"/>
        <v>20.000000001</v>
      </c>
      <c r="J22" s="633">
        <f t="shared" si="16"/>
        <v>20.000000000999989</v>
      </c>
      <c r="K22" s="633">
        <f t="shared" si="16"/>
        <v>9.9997999999999989E-10</v>
      </c>
      <c r="L22" s="633">
        <f t="shared" si="16"/>
        <v>9.999699999999998E-10</v>
      </c>
      <c r="M22" s="633">
        <f t="shared" si="16"/>
        <v>9.9995999999999972E-10</v>
      </c>
      <c r="N22" s="633">
        <f t="shared" si="16"/>
        <v>9.9994999999999963E-10</v>
      </c>
      <c r="O22" s="634" t="s">
        <v>2059</v>
      </c>
      <c r="P22" s="635"/>
      <c r="Q22" s="635"/>
      <c r="R22" s="635"/>
    </row>
    <row r="23" spans="1:18">
      <c r="E23" s="632"/>
      <c r="F23" s="632"/>
      <c r="G23" s="632"/>
      <c r="H23" s="632"/>
      <c r="I23" s="632"/>
      <c r="J23" s="632"/>
      <c r="K23" s="632"/>
      <c r="L23" s="632"/>
      <c r="M23" s="632"/>
      <c r="N23" s="632"/>
      <c r="O23" s="33"/>
    </row>
    <row r="24" spans="1:18">
      <c r="C24" s="27" t="s">
        <v>965</v>
      </c>
      <c r="E24" s="32">
        <f>E75</f>
        <v>100</v>
      </c>
      <c r="F24" s="32">
        <f t="shared" ref="F24:I24" si="17">F75</f>
        <v>100</v>
      </c>
      <c r="G24" s="32">
        <f t="shared" si="17"/>
        <v>100</v>
      </c>
      <c r="H24" s="32">
        <f t="shared" si="17"/>
        <v>100</v>
      </c>
      <c r="I24" s="32">
        <f t="shared" si="17"/>
        <v>100</v>
      </c>
      <c r="J24" s="32">
        <f t="shared" ref="J24:N24" si="18">J75</f>
        <v>100</v>
      </c>
      <c r="K24" s="32">
        <f t="shared" si="18"/>
        <v>0</v>
      </c>
      <c r="L24" s="32">
        <f t="shared" si="18"/>
        <v>0</v>
      </c>
      <c r="M24" s="32">
        <f t="shared" si="18"/>
        <v>0</v>
      </c>
      <c r="N24" s="32">
        <f t="shared" si="18"/>
        <v>0</v>
      </c>
      <c r="O24" s="634" t="s">
        <v>3038</v>
      </c>
    </row>
    <row r="25" spans="1:18">
      <c r="C25" s="27" t="s">
        <v>505</v>
      </c>
      <c r="E25" s="632">
        <f t="shared" ref="E25:N25" si="19">cbalV2MOMValue5Rank</f>
        <v>0.2</v>
      </c>
      <c r="F25" s="632">
        <f t="shared" si="19"/>
        <v>0.2</v>
      </c>
      <c r="G25" s="632">
        <f t="shared" si="19"/>
        <v>0.2</v>
      </c>
      <c r="H25" s="632">
        <f t="shared" si="19"/>
        <v>0.2</v>
      </c>
      <c r="I25" s="632">
        <f t="shared" si="19"/>
        <v>0.2</v>
      </c>
      <c r="J25" s="632">
        <f t="shared" si="19"/>
        <v>0.2</v>
      </c>
      <c r="K25" s="632">
        <f t="shared" si="19"/>
        <v>0.2</v>
      </c>
      <c r="L25" s="632">
        <f t="shared" si="19"/>
        <v>0.2</v>
      </c>
      <c r="M25" s="632">
        <f t="shared" si="19"/>
        <v>0.2</v>
      </c>
      <c r="N25" s="632">
        <f t="shared" si="19"/>
        <v>0.2</v>
      </c>
      <c r="O25" s="33"/>
    </row>
    <row r="26" spans="1:18" s="28" customFormat="1">
      <c r="C26" s="28" t="s">
        <v>2058</v>
      </c>
      <c r="E26" s="633">
        <f t="shared" ref="E26:N26" si="20">E24*(E25)+LeagueTieBreakers</f>
        <v>20.00001</v>
      </c>
      <c r="F26" s="633">
        <f t="shared" si="20"/>
        <v>20.000001000000001</v>
      </c>
      <c r="G26" s="633">
        <f t="shared" si="20"/>
        <v>20.000000100000001</v>
      </c>
      <c r="H26" s="633">
        <f t="shared" si="20"/>
        <v>20.000000010000001</v>
      </c>
      <c r="I26" s="633">
        <f t="shared" si="20"/>
        <v>20.000000001</v>
      </c>
      <c r="J26" s="633">
        <f t="shared" si="20"/>
        <v>20.000000000999989</v>
      </c>
      <c r="K26" s="633">
        <f t="shared" si="20"/>
        <v>9.9997999999999989E-10</v>
      </c>
      <c r="L26" s="633">
        <f t="shared" si="20"/>
        <v>9.999699999999998E-10</v>
      </c>
      <c r="M26" s="633">
        <f t="shared" si="20"/>
        <v>9.9995999999999972E-10</v>
      </c>
      <c r="N26" s="633">
        <f t="shared" si="20"/>
        <v>9.9994999999999963E-10</v>
      </c>
      <c r="O26" s="634" t="s">
        <v>3039</v>
      </c>
      <c r="P26" s="635"/>
      <c r="Q26" s="635"/>
      <c r="R26" s="635"/>
    </row>
    <row r="27" spans="1:18">
      <c r="E27" s="632"/>
      <c r="F27" s="632"/>
      <c r="G27" s="632"/>
      <c r="H27" s="632"/>
      <c r="I27" s="632"/>
      <c r="J27" s="632"/>
      <c r="K27" s="632"/>
      <c r="L27" s="632"/>
      <c r="M27" s="632"/>
      <c r="N27" s="632"/>
      <c r="O27" s="33"/>
    </row>
    <row r="28" spans="1:18" s="28" customFormat="1">
      <c r="C28" s="28" t="s">
        <v>3040</v>
      </c>
      <c r="E28" s="633">
        <v>1E-4</v>
      </c>
      <c r="F28" s="633">
        <v>1.0000000000000001E-5</v>
      </c>
      <c r="G28" s="633">
        <f>F28-0.00001</f>
        <v>0</v>
      </c>
      <c r="H28" s="633">
        <f t="shared" ref="H28:I28" si="21">G28-0.00001</f>
        <v>-1.0000000000000001E-5</v>
      </c>
      <c r="I28" s="633">
        <f t="shared" si="21"/>
        <v>-2.0000000000000002E-5</v>
      </c>
      <c r="J28" s="633">
        <f t="shared" ref="J28" si="22">I28-0.00001</f>
        <v>-3.0000000000000004E-5</v>
      </c>
      <c r="K28" s="633">
        <f t="shared" ref="K28" si="23">J28-0.00001</f>
        <v>-4.0000000000000003E-5</v>
      </c>
      <c r="L28" s="633">
        <f t="shared" ref="L28" si="24">K28-0.00001</f>
        <v>-5.0000000000000002E-5</v>
      </c>
      <c r="M28" s="633">
        <f t="shared" ref="M28" si="25">L28-0.00001</f>
        <v>-6.0000000000000002E-5</v>
      </c>
      <c r="N28" s="633">
        <f t="shared" ref="N28" si="26">M28-0.00001</f>
        <v>-7.0000000000000007E-5</v>
      </c>
      <c r="O28" s="634" t="s">
        <v>3041</v>
      </c>
      <c r="P28" s="635"/>
      <c r="Q28" s="635"/>
      <c r="R28" s="635"/>
    </row>
    <row r="29" spans="1:18">
      <c r="C29" s="27" t="s">
        <v>2067</v>
      </c>
      <c r="E29" s="32">
        <f t="shared" ref="E29:N29" si="27">LeagueDriver1Weighted+LeagueDriver2Weighted+LeagueDriver3Weighted+LeagueDriver4Weighted+LeagueDriver5Weighted+League_TieBreaker</f>
        <v>100.00015</v>
      </c>
      <c r="F29" s="32">
        <f t="shared" si="27"/>
        <v>100.000015</v>
      </c>
      <c r="G29" s="32">
        <f t="shared" si="27"/>
        <v>100.0000005</v>
      </c>
      <c r="H29" s="32">
        <f t="shared" si="27"/>
        <v>99.999990050000008</v>
      </c>
      <c r="I29" s="32">
        <f t="shared" si="27"/>
        <v>99.999980004999998</v>
      </c>
      <c r="J29" s="32">
        <f t="shared" si="27"/>
        <v>99.999970004999952</v>
      </c>
      <c r="K29" s="32">
        <f t="shared" si="27"/>
        <v>-3.9995000100000004E-5</v>
      </c>
      <c r="L29" s="32">
        <f t="shared" si="27"/>
        <v>-4.9995000150000006E-5</v>
      </c>
      <c r="M29" s="32">
        <f t="shared" si="27"/>
        <v>-5.9995000200000001E-5</v>
      </c>
      <c r="N29" s="32">
        <f t="shared" si="27"/>
        <v>-6.9995000250000009E-5</v>
      </c>
      <c r="O29" s="33" t="s">
        <v>2068</v>
      </c>
    </row>
    <row r="30" spans="1:18">
      <c r="C30" s="27" t="s">
        <v>121</v>
      </c>
      <c r="E30" s="34">
        <f t="shared" ref="E30:N30" si="28">RANK(E29,League_TotalScore,0)</f>
        <v>1</v>
      </c>
      <c r="F30" s="34">
        <f t="shared" si="28"/>
        <v>2</v>
      </c>
      <c r="G30" s="34">
        <f t="shared" si="28"/>
        <v>3</v>
      </c>
      <c r="H30" s="34">
        <f t="shared" si="28"/>
        <v>4</v>
      </c>
      <c r="I30" s="34">
        <f t="shared" si="28"/>
        <v>5</v>
      </c>
      <c r="J30" s="34">
        <f t="shared" si="28"/>
        <v>6</v>
      </c>
      <c r="K30" s="34">
        <f t="shared" si="28"/>
        <v>7</v>
      </c>
      <c r="L30" s="34">
        <f t="shared" si="28"/>
        <v>8</v>
      </c>
      <c r="M30" s="34">
        <f t="shared" si="28"/>
        <v>9</v>
      </c>
      <c r="N30" s="34">
        <f t="shared" si="28"/>
        <v>10</v>
      </c>
      <c r="O30" s="33" t="s">
        <v>122</v>
      </c>
    </row>
    <row r="31" spans="1:18">
      <c r="E31" s="27" t="str">
        <f>Feedback!E174</f>
        <v>Snowflake (1)</v>
      </c>
      <c r="F31" s="27" t="str">
        <f>Feedback!F174</f>
        <v>Snowflake (2)</v>
      </c>
      <c r="G31" s="27" t="str">
        <f>Feedback!G174</f>
        <v>Snowflake (3)</v>
      </c>
      <c r="H31" s="27" t="str">
        <f>Feedback!H174</f>
        <v>Snowflake (4)</v>
      </c>
      <c r="I31" s="27" t="str">
        <f>Feedback!I174</f>
        <v>Snowflake (5)</v>
      </c>
      <c r="J31" s="27" t="str">
        <f>Feedback!J174</f>
        <v>Snowflake (6)</v>
      </c>
      <c r="K31" s="27" t="str">
        <f>Feedback!K174</f>
        <v>Snowflake (7)</v>
      </c>
      <c r="L31" s="27" t="str">
        <f>Feedback!L174</f>
        <v>Snowflake (8)</v>
      </c>
      <c r="M31" s="27" t="str">
        <f>Feedback!M174</f>
        <v>Snowflake (9)</v>
      </c>
      <c r="N31" s="27" t="str">
        <f>Feedback!N174</f>
        <v>Snowflake (10)</v>
      </c>
    </row>
    <row r="32" spans="1:18" s="81" customFormat="1">
      <c r="A32" s="80" t="s">
        <v>125</v>
      </c>
      <c r="P32" s="82"/>
      <c r="Q32" s="82"/>
      <c r="R32" s="82"/>
    </row>
    <row r="33" spans="1:18">
      <c r="A33" s="28"/>
    </row>
    <row r="34" spans="1:18">
      <c r="A34" s="28"/>
      <c r="B34" s="29" t="s">
        <v>126</v>
      </c>
      <c r="C34" s="36">
        <f>xxRound</f>
        <v>0</v>
      </c>
      <c r="D34" s="33" t="s">
        <v>148</v>
      </c>
    </row>
    <row r="35" spans="1:18">
      <c r="A35" s="28"/>
    </row>
    <row r="36" spans="1:18">
      <c r="A36" s="28"/>
      <c r="B36" s="29" t="s">
        <v>126</v>
      </c>
      <c r="C36" s="29" t="s">
        <v>127</v>
      </c>
      <c r="D36" s="27" t="s">
        <v>128</v>
      </c>
    </row>
    <row r="37" spans="1:18">
      <c r="A37" s="28"/>
      <c r="B37" s="29">
        <v>0</v>
      </c>
      <c r="C37" s="37">
        <v>16</v>
      </c>
      <c r="D37" s="37">
        <v>1</v>
      </c>
    </row>
    <row r="38" spans="1:18">
      <c r="A38" s="28"/>
      <c r="B38" s="29">
        <v>1</v>
      </c>
      <c r="C38" s="37">
        <v>18</v>
      </c>
      <c r="D38" s="37">
        <v>1</v>
      </c>
    </row>
    <row r="39" spans="1:18">
      <c r="A39" s="28"/>
      <c r="B39" s="29">
        <v>2</v>
      </c>
      <c r="C39" s="37">
        <v>22</v>
      </c>
      <c r="D39" s="37">
        <v>1</v>
      </c>
    </row>
    <row r="40" spans="1:18">
      <c r="A40" s="28"/>
      <c r="B40" s="29">
        <v>3</v>
      </c>
      <c r="C40" s="37">
        <v>25</v>
      </c>
      <c r="D40" s="37">
        <v>1</v>
      </c>
    </row>
    <row r="41" spans="1:18">
      <c r="A41" s="28"/>
    </row>
    <row r="42" spans="1:18">
      <c r="E42" s="29" t="s">
        <v>8</v>
      </c>
      <c r="F42" s="29" t="s">
        <v>9</v>
      </c>
      <c r="G42" s="29" t="s">
        <v>10</v>
      </c>
      <c r="H42" s="29" t="s">
        <v>11</v>
      </c>
      <c r="I42" s="29" t="s">
        <v>12</v>
      </c>
      <c r="J42" s="29" t="s">
        <v>595</v>
      </c>
      <c r="K42" s="29" t="s">
        <v>596</v>
      </c>
      <c r="L42" s="29" t="s">
        <v>597</v>
      </c>
      <c r="M42" s="29" t="s">
        <v>598</v>
      </c>
      <c r="N42" s="29" t="s">
        <v>599</v>
      </c>
      <c r="O42" s="29" t="s">
        <v>129</v>
      </c>
    </row>
    <row r="43" spans="1:18">
      <c r="C43" s="27" t="s">
        <v>130</v>
      </c>
      <c r="E43" s="31" t="b">
        <f t="shared" ref="E43:N43" si="29">xxNumOfTeams&gt;E44</f>
        <v>1</v>
      </c>
      <c r="F43" s="31" t="b">
        <f t="shared" si="29"/>
        <v>1</v>
      </c>
      <c r="G43" s="31" t="b">
        <f t="shared" si="29"/>
        <v>1</v>
      </c>
      <c r="H43" s="31" t="b">
        <f t="shared" si="29"/>
        <v>1</v>
      </c>
      <c r="I43" s="31" t="b">
        <f t="shared" si="29"/>
        <v>1</v>
      </c>
      <c r="J43" s="31" t="b">
        <f t="shared" si="29"/>
        <v>1</v>
      </c>
      <c r="K43" s="31" t="b">
        <f t="shared" si="29"/>
        <v>0</v>
      </c>
      <c r="L43" s="31" t="b">
        <f t="shared" si="29"/>
        <v>0</v>
      </c>
      <c r="M43" s="31" t="b">
        <f t="shared" si="29"/>
        <v>0</v>
      </c>
      <c r="N43" s="31" t="b">
        <f t="shared" si="29"/>
        <v>0</v>
      </c>
      <c r="O43" s="76">
        <f>COUNTIF(E43:N43,TRUE)</f>
        <v>6</v>
      </c>
      <c r="P43" s="33" t="s">
        <v>131</v>
      </c>
    </row>
    <row r="44" spans="1:18">
      <c r="E44" s="27">
        <v>0</v>
      </c>
      <c r="F44" s="27">
        <f>E44+1</f>
        <v>1</v>
      </c>
      <c r="G44" s="27">
        <f t="shared" ref="G44:N44" si="30">F44+1</f>
        <v>2</v>
      </c>
      <c r="H44" s="27">
        <f t="shared" si="30"/>
        <v>3</v>
      </c>
      <c r="I44" s="27">
        <f t="shared" si="30"/>
        <v>4</v>
      </c>
      <c r="J44" s="27">
        <f t="shared" si="30"/>
        <v>5</v>
      </c>
      <c r="K44" s="27">
        <f t="shared" si="30"/>
        <v>6</v>
      </c>
      <c r="L44" s="27">
        <f t="shared" si="30"/>
        <v>7</v>
      </c>
      <c r="M44" s="27">
        <f t="shared" si="30"/>
        <v>8</v>
      </c>
      <c r="N44" s="27">
        <f t="shared" si="30"/>
        <v>9</v>
      </c>
    </row>
    <row r="45" spans="1:18">
      <c r="Q45" s="948" t="s">
        <v>132</v>
      </c>
      <c r="R45" s="948"/>
    </row>
    <row r="46" spans="1:18">
      <c r="B46" s="29" t="s">
        <v>133</v>
      </c>
      <c r="C46" s="27" t="s">
        <v>134</v>
      </c>
      <c r="D46" s="29" t="s">
        <v>135</v>
      </c>
      <c r="O46" s="29" t="s">
        <v>136</v>
      </c>
      <c r="P46" s="29" t="s">
        <v>137</v>
      </c>
      <c r="Q46" s="29" t="s">
        <v>138</v>
      </c>
      <c r="R46" s="29" t="s">
        <v>139</v>
      </c>
    </row>
    <row r="47" spans="1:18">
      <c r="B47" s="38" t="b">
        <v>1</v>
      </c>
      <c r="C47" s="38" t="s">
        <v>3023</v>
      </c>
      <c r="D47" s="39">
        <v>500</v>
      </c>
      <c r="E47" s="40">
        <f t="shared" ref="E47:N47" si="31">FinY5AnnualRev*E43</f>
        <v>498050988.59179169</v>
      </c>
      <c r="F47" s="40">
        <f t="shared" si="31"/>
        <v>498050988.59179169</v>
      </c>
      <c r="G47" s="40">
        <f t="shared" si="31"/>
        <v>498050988.59179169</v>
      </c>
      <c r="H47" s="40">
        <f t="shared" si="31"/>
        <v>498050988.59179169</v>
      </c>
      <c r="I47" s="40">
        <f t="shared" si="31"/>
        <v>498050988.59179169</v>
      </c>
      <c r="J47" s="40">
        <f t="shared" si="31"/>
        <v>498050988.59179169</v>
      </c>
      <c r="K47" s="40">
        <f t="shared" si="31"/>
        <v>0</v>
      </c>
      <c r="L47" s="40">
        <f t="shared" si="31"/>
        <v>0</v>
      </c>
      <c r="M47" s="40">
        <f t="shared" si="31"/>
        <v>0</v>
      </c>
      <c r="N47" s="40">
        <f t="shared" si="31"/>
        <v>0</v>
      </c>
      <c r="O47" s="77">
        <f t="shared" ref="O47:O52" si="32">SUMIF(E$43:I$43,TRUE,E47:I47)/MAX(1,League_Teams)</f>
        <v>415042490.49315977</v>
      </c>
      <c r="P47" s="77"/>
      <c r="Q47" s="41">
        <v>2</v>
      </c>
      <c r="R47" s="39">
        <v>3</v>
      </c>
    </row>
    <row r="48" spans="1:18">
      <c r="B48" s="42" t="b">
        <v>1</v>
      </c>
      <c r="C48" s="42" t="s">
        <v>470</v>
      </c>
      <c r="D48" s="43">
        <v>500</v>
      </c>
      <c r="E48" s="524">
        <f t="shared" ref="E48:N48" si="33">calcESAT*E43</f>
        <v>50</v>
      </c>
      <c r="F48" s="524">
        <f t="shared" si="33"/>
        <v>50</v>
      </c>
      <c r="G48" s="524">
        <f t="shared" si="33"/>
        <v>50</v>
      </c>
      <c r="H48" s="524">
        <f t="shared" si="33"/>
        <v>50</v>
      </c>
      <c r="I48" s="524">
        <f t="shared" si="33"/>
        <v>50</v>
      </c>
      <c r="J48" s="524">
        <f t="shared" si="33"/>
        <v>50</v>
      </c>
      <c r="K48" s="524">
        <f t="shared" si="33"/>
        <v>0</v>
      </c>
      <c r="L48" s="524">
        <f t="shared" si="33"/>
        <v>0</v>
      </c>
      <c r="M48" s="524">
        <f t="shared" si="33"/>
        <v>0</v>
      </c>
      <c r="N48" s="524">
        <f t="shared" si="33"/>
        <v>0</v>
      </c>
      <c r="O48" s="630">
        <f t="shared" si="32"/>
        <v>41.666666666666664</v>
      </c>
      <c r="P48" s="78"/>
      <c r="Q48" s="44">
        <v>3</v>
      </c>
      <c r="R48" s="43">
        <v>3</v>
      </c>
    </row>
    <row r="49" spans="1:18">
      <c r="B49" s="42" t="b">
        <v>1</v>
      </c>
      <c r="C49" s="42" t="s">
        <v>406</v>
      </c>
      <c r="D49" s="43">
        <v>500</v>
      </c>
      <c r="E49" s="524">
        <f t="shared" ref="E49:N49" si="34">calcNPS*E43</f>
        <v>50</v>
      </c>
      <c r="F49" s="524">
        <f t="shared" si="34"/>
        <v>50</v>
      </c>
      <c r="G49" s="524">
        <f t="shared" si="34"/>
        <v>50</v>
      </c>
      <c r="H49" s="524">
        <f t="shared" si="34"/>
        <v>50</v>
      </c>
      <c r="I49" s="524">
        <f t="shared" si="34"/>
        <v>50</v>
      </c>
      <c r="J49" s="524">
        <f t="shared" si="34"/>
        <v>50</v>
      </c>
      <c r="K49" s="524">
        <f t="shared" si="34"/>
        <v>0</v>
      </c>
      <c r="L49" s="524">
        <f t="shared" si="34"/>
        <v>0</v>
      </c>
      <c r="M49" s="524">
        <f t="shared" si="34"/>
        <v>0</v>
      </c>
      <c r="N49" s="524">
        <f t="shared" si="34"/>
        <v>0</v>
      </c>
      <c r="O49" s="631">
        <f t="shared" si="32"/>
        <v>41.666666666666664</v>
      </c>
      <c r="P49" s="78"/>
      <c r="Q49" s="44">
        <v>1</v>
      </c>
      <c r="R49" s="43">
        <v>3</v>
      </c>
    </row>
    <row r="50" spans="1:18">
      <c r="B50" s="42" t="b">
        <v>1</v>
      </c>
      <c r="C50" s="42" t="s">
        <v>1153</v>
      </c>
      <c r="D50" s="43">
        <v>500</v>
      </c>
      <c r="E50" s="524">
        <f t="shared" ref="E50:N50" si="35">cbalRiskIndex*E43</f>
        <v>50</v>
      </c>
      <c r="F50" s="524">
        <f t="shared" si="35"/>
        <v>50</v>
      </c>
      <c r="G50" s="524">
        <f t="shared" si="35"/>
        <v>50</v>
      </c>
      <c r="H50" s="524">
        <f t="shared" si="35"/>
        <v>50</v>
      </c>
      <c r="I50" s="524">
        <f t="shared" si="35"/>
        <v>50</v>
      </c>
      <c r="J50" s="524">
        <f t="shared" si="35"/>
        <v>50</v>
      </c>
      <c r="K50" s="524">
        <f t="shared" si="35"/>
        <v>0</v>
      </c>
      <c r="L50" s="524">
        <f t="shared" si="35"/>
        <v>0</v>
      </c>
      <c r="M50" s="524">
        <f t="shared" si="35"/>
        <v>0</v>
      </c>
      <c r="N50" s="524">
        <f t="shared" si="35"/>
        <v>0</v>
      </c>
      <c r="O50" s="631">
        <f t="shared" si="32"/>
        <v>41.666666666666664</v>
      </c>
      <c r="P50" s="78"/>
      <c r="Q50" s="44">
        <v>3</v>
      </c>
      <c r="R50" s="43">
        <v>3</v>
      </c>
    </row>
    <row r="51" spans="1:18">
      <c r="B51" s="42" t="b">
        <v>1</v>
      </c>
      <c r="C51" s="42" t="s">
        <v>3037</v>
      </c>
      <c r="D51" s="43">
        <v>500</v>
      </c>
      <c r="E51" s="775">
        <f t="shared" ref="E51:N51" si="36">IF(E43=TRUE,finAnnualIntegratedOpMargin,-1000000)</f>
        <v>-0.18999999999999992</v>
      </c>
      <c r="F51" s="775">
        <f t="shared" si="36"/>
        <v>-0.18999999999999992</v>
      </c>
      <c r="G51" s="775">
        <f t="shared" si="36"/>
        <v>-0.18999999999999992</v>
      </c>
      <c r="H51" s="775">
        <f t="shared" si="36"/>
        <v>-0.18999999999999992</v>
      </c>
      <c r="I51" s="775">
        <f t="shared" si="36"/>
        <v>-0.18999999999999992</v>
      </c>
      <c r="J51" s="775">
        <f t="shared" si="36"/>
        <v>-0.18999999999999992</v>
      </c>
      <c r="K51" s="775">
        <f t="shared" si="36"/>
        <v>-1000000</v>
      </c>
      <c r="L51" s="775">
        <f t="shared" si="36"/>
        <v>-1000000</v>
      </c>
      <c r="M51" s="775">
        <f t="shared" si="36"/>
        <v>-1000000</v>
      </c>
      <c r="N51" s="775">
        <f t="shared" si="36"/>
        <v>-1000000</v>
      </c>
      <c r="O51" s="631">
        <f t="shared" si="32"/>
        <v>-0.15833333333333327</v>
      </c>
      <c r="P51" s="78"/>
      <c r="Q51" s="44">
        <v>3</v>
      </c>
      <c r="R51" s="43">
        <v>3</v>
      </c>
    </row>
    <row r="52" spans="1:18">
      <c r="B52" s="45" t="b">
        <v>0</v>
      </c>
      <c r="C52" s="45"/>
      <c r="D52" s="46"/>
      <c r="E52" s="47"/>
      <c r="F52" s="48"/>
      <c r="G52" s="48"/>
      <c r="H52" s="48"/>
      <c r="I52" s="49"/>
      <c r="J52" s="49"/>
      <c r="K52" s="49"/>
      <c r="L52" s="49"/>
      <c r="M52" s="49"/>
      <c r="N52" s="49"/>
      <c r="O52" s="79">
        <f t="shared" si="32"/>
        <v>0</v>
      </c>
      <c r="P52" s="79"/>
      <c r="Q52" s="50">
        <v>3</v>
      </c>
      <c r="R52" s="46">
        <v>3</v>
      </c>
    </row>
    <row r="53" spans="1:18">
      <c r="Q53" s="33" t="s">
        <v>141</v>
      </c>
    </row>
    <row r="54" spans="1:18">
      <c r="Q54" s="33"/>
    </row>
    <row r="55" spans="1:18" s="81" customFormat="1">
      <c r="A55" s="80" t="s">
        <v>142</v>
      </c>
      <c r="P55" s="82"/>
      <c r="R55" s="82"/>
    </row>
    <row r="56" spans="1:18">
      <c r="Q56" s="33"/>
    </row>
    <row r="57" spans="1:18">
      <c r="B57" s="27" t="s">
        <v>143</v>
      </c>
      <c r="R57" s="33"/>
    </row>
    <row r="58" spans="1:18">
      <c r="C58" s="30" t="str">
        <f t="shared" ref="C58:C62" si="37">C47</f>
        <v>Y5 Revenue</v>
      </c>
      <c r="E58" s="51"/>
      <c r="F58" s="51"/>
      <c r="G58" s="51"/>
      <c r="H58" s="51"/>
      <c r="I58" s="51"/>
      <c r="J58" s="51"/>
      <c r="K58" s="51"/>
      <c r="L58" s="51"/>
      <c r="M58" s="51"/>
      <c r="N58" s="51"/>
    </row>
    <row r="59" spans="1:18">
      <c r="C59" s="30" t="str">
        <f t="shared" si="37"/>
        <v>Employee Engagement</v>
      </c>
      <c r="E59" s="51"/>
      <c r="F59" s="51"/>
      <c r="G59" s="51"/>
      <c r="H59" s="51"/>
      <c r="I59" s="51"/>
      <c r="J59" s="51"/>
      <c r="K59" s="51"/>
      <c r="L59" s="51"/>
      <c r="M59" s="51"/>
      <c r="N59" s="51"/>
    </row>
    <row r="60" spans="1:18">
      <c r="C60" s="30" t="str">
        <f t="shared" si="37"/>
        <v>NPS</v>
      </c>
      <c r="E60" s="51"/>
      <c r="F60" s="51"/>
      <c r="G60" s="51"/>
      <c r="H60" s="51"/>
      <c r="I60" s="51"/>
      <c r="J60" s="51"/>
      <c r="K60" s="51"/>
      <c r="L60" s="51"/>
      <c r="M60" s="51"/>
      <c r="N60" s="51"/>
    </row>
    <row r="61" spans="1:18">
      <c r="C61" s="30" t="str">
        <f t="shared" si="37"/>
        <v>Trust</v>
      </c>
      <c r="E61" s="51"/>
      <c r="F61" s="51"/>
      <c r="G61" s="51"/>
      <c r="H61" s="51"/>
      <c r="I61" s="51"/>
      <c r="J61" s="51"/>
      <c r="K61" s="51"/>
      <c r="L61" s="51"/>
      <c r="M61" s="51"/>
      <c r="N61" s="51"/>
    </row>
    <row r="62" spans="1:18">
      <c r="C62" s="30" t="str">
        <f t="shared" si="37"/>
        <v>Y1 Op Margin</v>
      </c>
      <c r="E62" s="51"/>
      <c r="F62" s="51"/>
      <c r="G62" s="51"/>
      <c r="H62" s="51"/>
      <c r="I62" s="51"/>
      <c r="J62" s="51"/>
      <c r="K62" s="51"/>
      <c r="L62" s="51"/>
      <c r="M62" s="51"/>
      <c r="N62" s="51"/>
    </row>
    <row r="63" spans="1:18">
      <c r="C63" s="30"/>
      <c r="E63" s="51"/>
      <c r="F63" s="51"/>
      <c r="G63" s="51"/>
      <c r="H63" s="51"/>
      <c r="I63" s="51"/>
      <c r="J63" s="51"/>
      <c r="K63" s="51"/>
      <c r="L63" s="51"/>
      <c r="M63" s="51"/>
      <c r="N63" s="51"/>
    </row>
    <row r="65" spans="1:17">
      <c r="B65" s="27" t="s">
        <v>3663</v>
      </c>
      <c r="C65" s="27" t="s">
        <v>3023</v>
      </c>
      <c r="E65" s="27">
        <f>RANK(E47,$E47:$N47,0)</f>
        <v>1</v>
      </c>
      <c r="F65" s="27">
        <f t="shared" ref="F65:N65" si="38">RANK(F47,$E47:$N47,0)</f>
        <v>1</v>
      </c>
      <c r="G65" s="27">
        <f t="shared" si="38"/>
        <v>1</v>
      </c>
      <c r="H65" s="27">
        <f t="shared" si="38"/>
        <v>1</v>
      </c>
      <c r="I65" s="27">
        <f t="shared" si="38"/>
        <v>1</v>
      </c>
      <c r="J65" s="27">
        <f t="shared" si="38"/>
        <v>1</v>
      </c>
      <c r="K65" s="27">
        <f t="shared" si="38"/>
        <v>7</v>
      </c>
      <c r="L65" s="27">
        <f t="shared" si="38"/>
        <v>7</v>
      </c>
      <c r="M65" s="27">
        <f t="shared" si="38"/>
        <v>7</v>
      </c>
      <c r="N65" s="27">
        <f t="shared" si="38"/>
        <v>7</v>
      </c>
    </row>
    <row r="66" spans="1:17">
      <c r="C66" s="27" t="s">
        <v>470</v>
      </c>
      <c r="E66" s="27">
        <f t="shared" ref="E66:N66" si="39">RANK(E48,$E48:$N48,0)</f>
        <v>1</v>
      </c>
      <c r="F66" s="27">
        <f t="shared" si="39"/>
        <v>1</v>
      </c>
      <c r="G66" s="27">
        <f t="shared" si="39"/>
        <v>1</v>
      </c>
      <c r="H66" s="27">
        <f t="shared" si="39"/>
        <v>1</v>
      </c>
      <c r="I66" s="27">
        <f t="shared" si="39"/>
        <v>1</v>
      </c>
      <c r="J66" s="27">
        <f t="shared" si="39"/>
        <v>1</v>
      </c>
      <c r="K66" s="27">
        <f t="shared" si="39"/>
        <v>7</v>
      </c>
      <c r="L66" s="27">
        <f t="shared" si="39"/>
        <v>7</v>
      </c>
      <c r="M66" s="27">
        <f t="shared" si="39"/>
        <v>7</v>
      </c>
      <c r="N66" s="27">
        <f t="shared" si="39"/>
        <v>7</v>
      </c>
      <c r="P66" s="29">
        <v>100</v>
      </c>
      <c r="Q66" s="29">
        <v>1</v>
      </c>
    </row>
    <row r="67" spans="1:17">
      <c r="C67" s="27" t="s">
        <v>406</v>
      </c>
      <c r="E67" s="27">
        <f t="shared" ref="E67:N67" si="40">RANK(E49,$E49:$N49,0)</f>
        <v>1</v>
      </c>
      <c r="F67" s="27">
        <f t="shared" si="40"/>
        <v>1</v>
      </c>
      <c r="G67" s="27">
        <f t="shared" si="40"/>
        <v>1</v>
      </c>
      <c r="H67" s="27">
        <f t="shared" si="40"/>
        <v>1</v>
      </c>
      <c r="I67" s="27">
        <f t="shared" si="40"/>
        <v>1</v>
      </c>
      <c r="J67" s="27">
        <f t="shared" si="40"/>
        <v>1</v>
      </c>
      <c r="K67" s="27">
        <f t="shared" si="40"/>
        <v>7</v>
      </c>
      <c r="L67" s="27">
        <f t="shared" si="40"/>
        <v>7</v>
      </c>
      <c r="M67" s="27">
        <f t="shared" si="40"/>
        <v>7</v>
      </c>
      <c r="N67" s="27">
        <f t="shared" si="40"/>
        <v>7</v>
      </c>
      <c r="P67" s="29">
        <v>80</v>
      </c>
      <c r="Q67" s="29">
        <v>2</v>
      </c>
    </row>
    <row r="68" spans="1:17">
      <c r="C68" s="27" t="s">
        <v>1153</v>
      </c>
      <c r="E68" s="27">
        <f t="shared" ref="E68:N68" si="41">RANK(E50,$E50:$N50,0)</f>
        <v>1</v>
      </c>
      <c r="F68" s="27">
        <f t="shared" si="41"/>
        <v>1</v>
      </c>
      <c r="G68" s="27">
        <f t="shared" si="41"/>
        <v>1</v>
      </c>
      <c r="H68" s="27">
        <f t="shared" si="41"/>
        <v>1</v>
      </c>
      <c r="I68" s="27">
        <f t="shared" si="41"/>
        <v>1</v>
      </c>
      <c r="J68" s="27">
        <f t="shared" si="41"/>
        <v>1</v>
      </c>
      <c r="K68" s="27">
        <f t="shared" si="41"/>
        <v>7</v>
      </c>
      <c r="L68" s="27">
        <f t="shared" si="41"/>
        <v>7</v>
      </c>
      <c r="M68" s="27">
        <f t="shared" si="41"/>
        <v>7</v>
      </c>
      <c r="N68" s="27">
        <f t="shared" si="41"/>
        <v>7</v>
      </c>
      <c r="P68" s="29">
        <v>70</v>
      </c>
      <c r="Q68" s="29">
        <v>3</v>
      </c>
    </row>
    <row r="69" spans="1:17">
      <c r="C69" s="27" t="s">
        <v>3037</v>
      </c>
      <c r="E69" s="27">
        <f t="shared" ref="E69:N69" si="42">RANK(E51,$E51:$N51,0)</f>
        <v>1</v>
      </c>
      <c r="F69" s="27">
        <f t="shared" si="42"/>
        <v>1</v>
      </c>
      <c r="G69" s="27">
        <f t="shared" si="42"/>
        <v>1</v>
      </c>
      <c r="H69" s="27">
        <f t="shared" si="42"/>
        <v>1</v>
      </c>
      <c r="I69" s="27">
        <f t="shared" si="42"/>
        <v>1</v>
      </c>
      <c r="J69" s="27">
        <f t="shared" si="42"/>
        <v>1</v>
      </c>
      <c r="K69" s="27">
        <f t="shared" si="42"/>
        <v>7</v>
      </c>
      <c r="L69" s="27">
        <f t="shared" si="42"/>
        <v>7</v>
      </c>
      <c r="M69" s="27">
        <f t="shared" si="42"/>
        <v>7</v>
      </c>
      <c r="N69" s="27">
        <f t="shared" si="42"/>
        <v>7</v>
      </c>
      <c r="P69" s="29">
        <v>60</v>
      </c>
      <c r="Q69" s="29">
        <v>4</v>
      </c>
    </row>
    <row r="70" spans="1:17">
      <c r="B70" s="27" t="s">
        <v>2249</v>
      </c>
      <c r="P70" s="29">
        <v>50</v>
      </c>
      <c r="Q70" s="29">
        <v>5</v>
      </c>
    </row>
    <row r="71" spans="1:17">
      <c r="C71" s="30" t="str">
        <f>C47</f>
        <v>Y5 Revenue</v>
      </c>
      <c r="E71" s="51">
        <f t="shared" ref="E71:N71" si="43">INDEX(LeagueRankScores,MATCH(RANK(E47,$E47:$N47),LeagueRanks,0),)*E$43</f>
        <v>100</v>
      </c>
      <c r="F71" s="51">
        <f t="shared" si="43"/>
        <v>100</v>
      </c>
      <c r="G71" s="51">
        <f t="shared" si="43"/>
        <v>100</v>
      </c>
      <c r="H71" s="51">
        <f t="shared" si="43"/>
        <v>100</v>
      </c>
      <c r="I71" s="51">
        <f t="shared" si="43"/>
        <v>100</v>
      </c>
      <c r="J71" s="51">
        <f t="shared" si="43"/>
        <v>100</v>
      </c>
      <c r="K71" s="51">
        <f t="shared" si="43"/>
        <v>0</v>
      </c>
      <c r="L71" s="51">
        <f t="shared" si="43"/>
        <v>0</v>
      </c>
      <c r="M71" s="51">
        <f t="shared" si="43"/>
        <v>0</v>
      </c>
      <c r="N71" s="51">
        <f t="shared" si="43"/>
        <v>0</v>
      </c>
      <c r="P71" s="29">
        <v>40</v>
      </c>
      <c r="Q71" s="29">
        <v>6</v>
      </c>
    </row>
    <row r="72" spans="1:17">
      <c r="C72" s="30" t="str">
        <f>C48</f>
        <v>Employee Engagement</v>
      </c>
      <c r="E72" s="51">
        <f t="shared" ref="E72:N72" si="44">INDEX(LeagueRankScores,MATCH(RANK(E48,$E48:$N48),LeagueRanks,0),)*E$43</f>
        <v>100</v>
      </c>
      <c r="F72" s="51">
        <f t="shared" si="44"/>
        <v>100</v>
      </c>
      <c r="G72" s="51">
        <f t="shared" si="44"/>
        <v>100</v>
      </c>
      <c r="H72" s="51">
        <f t="shared" si="44"/>
        <v>100</v>
      </c>
      <c r="I72" s="51">
        <f t="shared" si="44"/>
        <v>100</v>
      </c>
      <c r="J72" s="51">
        <f t="shared" si="44"/>
        <v>100</v>
      </c>
      <c r="K72" s="51">
        <f t="shared" si="44"/>
        <v>0</v>
      </c>
      <c r="L72" s="51">
        <f t="shared" si="44"/>
        <v>0</v>
      </c>
      <c r="M72" s="51">
        <f t="shared" si="44"/>
        <v>0</v>
      </c>
      <c r="N72" s="51">
        <f t="shared" si="44"/>
        <v>0</v>
      </c>
      <c r="P72" s="29">
        <v>35</v>
      </c>
      <c r="Q72" s="29">
        <v>7</v>
      </c>
    </row>
    <row r="73" spans="1:17">
      <c r="C73" s="30" t="str">
        <f>C49</f>
        <v>NPS</v>
      </c>
      <c r="E73" s="51">
        <f t="shared" ref="E73:N73" si="45">INDEX(LeagueRankScores,MATCH(RANK(E49,$E49:$N49),LeagueRanks,0),)*E$43</f>
        <v>100</v>
      </c>
      <c r="F73" s="51">
        <f t="shared" si="45"/>
        <v>100</v>
      </c>
      <c r="G73" s="51">
        <f t="shared" si="45"/>
        <v>100</v>
      </c>
      <c r="H73" s="51">
        <f t="shared" si="45"/>
        <v>100</v>
      </c>
      <c r="I73" s="51">
        <f t="shared" si="45"/>
        <v>100</v>
      </c>
      <c r="J73" s="51">
        <f t="shared" si="45"/>
        <v>100</v>
      </c>
      <c r="K73" s="51">
        <f t="shared" si="45"/>
        <v>0</v>
      </c>
      <c r="L73" s="51">
        <f t="shared" si="45"/>
        <v>0</v>
      </c>
      <c r="M73" s="51">
        <f t="shared" si="45"/>
        <v>0</v>
      </c>
      <c r="N73" s="51">
        <f t="shared" si="45"/>
        <v>0</v>
      </c>
      <c r="P73" s="29">
        <v>30</v>
      </c>
      <c r="Q73" s="29">
        <v>8</v>
      </c>
    </row>
    <row r="74" spans="1:17">
      <c r="C74" s="30" t="str">
        <f>C50</f>
        <v>Trust</v>
      </c>
      <c r="E74" s="51">
        <f t="shared" ref="E74:N74" si="46">INDEX(LeagueRankScores,MATCH(RANK(E50,$E50:$N50),LeagueRanks,0),)*E$43</f>
        <v>100</v>
      </c>
      <c r="F74" s="51">
        <f t="shared" si="46"/>
        <v>100</v>
      </c>
      <c r="G74" s="51">
        <f t="shared" si="46"/>
        <v>100</v>
      </c>
      <c r="H74" s="51">
        <f t="shared" si="46"/>
        <v>100</v>
      </c>
      <c r="I74" s="51">
        <f t="shared" si="46"/>
        <v>100</v>
      </c>
      <c r="J74" s="51">
        <f t="shared" si="46"/>
        <v>100</v>
      </c>
      <c r="K74" s="51">
        <f t="shared" si="46"/>
        <v>0</v>
      </c>
      <c r="L74" s="51">
        <f t="shared" si="46"/>
        <v>0</v>
      </c>
      <c r="M74" s="51">
        <f t="shared" si="46"/>
        <v>0</v>
      </c>
      <c r="N74" s="51">
        <f t="shared" si="46"/>
        <v>0</v>
      </c>
      <c r="P74" s="29">
        <v>25</v>
      </c>
      <c r="Q74" s="29">
        <v>9</v>
      </c>
    </row>
    <row r="75" spans="1:17">
      <c r="C75" s="30" t="str">
        <f>C51</f>
        <v>Y1 Op Margin</v>
      </c>
      <c r="E75" s="51">
        <f t="shared" ref="E75:N75" si="47">INDEX(LeagueRankScores,MATCH(RANK(E51,$E51:$N51),LeagueRanks,0),)*E$43</f>
        <v>100</v>
      </c>
      <c r="F75" s="51">
        <f t="shared" si="47"/>
        <v>100</v>
      </c>
      <c r="G75" s="51">
        <f t="shared" si="47"/>
        <v>100</v>
      </c>
      <c r="H75" s="51">
        <f t="shared" si="47"/>
        <v>100</v>
      </c>
      <c r="I75" s="51">
        <f t="shared" si="47"/>
        <v>100</v>
      </c>
      <c r="J75" s="51">
        <f t="shared" si="47"/>
        <v>100</v>
      </c>
      <c r="K75" s="51">
        <f t="shared" si="47"/>
        <v>0</v>
      </c>
      <c r="L75" s="51">
        <f t="shared" si="47"/>
        <v>0</v>
      </c>
      <c r="M75" s="51">
        <f t="shared" si="47"/>
        <v>0</v>
      </c>
      <c r="N75" s="51">
        <f t="shared" si="47"/>
        <v>0</v>
      </c>
      <c r="P75" s="29">
        <v>20</v>
      </c>
      <c r="Q75" s="29">
        <v>10</v>
      </c>
    </row>
    <row r="76" spans="1:17">
      <c r="C76" s="52"/>
      <c r="D76" s="53"/>
      <c r="E76" s="54"/>
      <c r="F76" s="54"/>
      <c r="G76" s="54"/>
      <c r="H76" s="54"/>
      <c r="I76" s="54"/>
      <c r="J76" s="54"/>
      <c r="K76" s="54"/>
      <c r="L76" s="54"/>
      <c r="M76" s="54"/>
      <c r="N76" s="54"/>
      <c r="P76" s="635" t="s">
        <v>2248</v>
      </c>
      <c r="Q76" s="29" t="s">
        <v>3136</v>
      </c>
    </row>
    <row r="77" spans="1:17">
      <c r="C77" s="27" t="s">
        <v>54</v>
      </c>
      <c r="E77" s="51">
        <f>SUM(E71:E76)</f>
        <v>500</v>
      </c>
      <c r="F77" s="51">
        <f>SUM(F71:F76)</f>
        <v>500</v>
      </c>
      <c r="G77" s="51">
        <f>SUM(G71:G76)</f>
        <v>500</v>
      </c>
      <c r="H77" s="51">
        <f>SUM(H71:H76)</f>
        <v>500</v>
      </c>
      <c r="I77" s="51">
        <f>SUM(I71:I76)</f>
        <v>500</v>
      </c>
      <c r="J77" s="51">
        <f t="shared" ref="J77:N77" si="48">SUM(J71:J76)</f>
        <v>500</v>
      </c>
      <c r="K77" s="51">
        <f t="shared" si="48"/>
        <v>0</v>
      </c>
      <c r="L77" s="51">
        <f t="shared" si="48"/>
        <v>0</v>
      </c>
      <c r="M77" s="51">
        <f t="shared" si="48"/>
        <v>0</v>
      </c>
      <c r="N77" s="51">
        <f t="shared" si="48"/>
        <v>0</v>
      </c>
    </row>
    <row r="79" spans="1:17">
      <c r="B79" s="27" t="s">
        <v>144</v>
      </c>
    </row>
    <row r="80" spans="1:17">
      <c r="A80" s="28"/>
      <c r="C80" s="34">
        <f>INDEX(C37:C40,League_Round+1)</f>
        <v>16</v>
      </c>
      <c r="D80" s="33" t="s">
        <v>145</v>
      </c>
    </row>
    <row r="82" spans="1:15">
      <c r="B82" s="27" t="s">
        <v>146</v>
      </c>
    </row>
    <row r="83" spans="1:15">
      <c r="C83" s="34">
        <f>INDEX(D37:D40,League_Round+1)</f>
        <v>1</v>
      </c>
      <c r="D83" s="33" t="s">
        <v>147</v>
      </c>
    </row>
    <row r="84" spans="1:15">
      <c r="D84" s="33"/>
    </row>
    <row r="87" spans="1:15">
      <c r="A87" s="28" t="s">
        <v>109</v>
      </c>
      <c r="E87" s="35"/>
      <c r="F87" s="35"/>
      <c r="G87" s="35"/>
      <c r="H87" s="35"/>
      <c r="I87" s="35"/>
      <c r="J87" s="35"/>
      <c r="K87" s="35"/>
      <c r="L87" s="35"/>
      <c r="M87" s="35"/>
      <c r="N87" s="35"/>
    </row>
    <row r="88" spans="1:15">
      <c r="C88" s="27" t="s">
        <v>123</v>
      </c>
      <c r="E88" s="55">
        <v>4.9999999999999998E-8</v>
      </c>
      <c r="F88" s="55">
        <v>4.0000000000000001E-8</v>
      </c>
      <c r="G88" s="55">
        <v>2.9999999999999997E-8</v>
      </c>
      <c r="H88" s="55">
        <v>2E-8</v>
      </c>
      <c r="I88" s="55">
        <v>1E-8</v>
      </c>
      <c r="J88" s="55">
        <f>I88*0.99</f>
        <v>9.8999999999999993E-9</v>
      </c>
      <c r="K88" s="55">
        <f t="shared" ref="K88:N88" si="49">J88*0.99</f>
        <v>9.8009999999999996E-9</v>
      </c>
      <c r="L88" s="55">
        <f t="shared" si="49"/>
        <v>9.7029899999999994E-9</v>
      </c>
      <c r="M88" s="55">
        <f t="shared" si="49"/>
        <v>9.605960099999999E-9</v>
      </c>
      <c r="N88" s="55">
        <f t="shared" si="49"/>
        <v>9.5099004989999984E-9</v>
      </c>
      <c r="O88" s="33" t="s">
        <v>124</v>
      </c>
    </row>
    <row r="89" spans="1:15">
      <c r="O89" s="33"/>
    </row>
  </sheetData>
  <mergeCells count="1">
    <mergeCell ref="Q45:R4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7"/>
  <sheetViews>
    <sheetView topLeftCell="A75" workbookViewId="0">
      <selection activeCell="E88" sqref="E88"/>
    </sheetView>
  </sheetViews>
  <sheetFormatPr defaultColWidth="8.81640625" defaultRowHeight="16.2"/>
  <cols>
    <col min="1" max="2" width="2.453125" style="27" customWidth="1"/>
    <col min="3" max="3" width="22.26953125" style="27" customWidth="1"/>
    <col min="4" max="4" width="2.453125" style="27" customWidth="1"/>
    <col min="5" max="5" width="15.08984375" style="27" customWidth="1"/>
    <col min="6" max="9" width="16.90625" style="27" customWidth="1"/>
    <col min="10" max="12" width="22.26953125" style="27" customWidth="1"/>
    <col min="13" max="13" width="16.7265625" style="27" bestFit="1" customWidth="1"/>
    <col min="14" max="16384" width="8.81640625" style="27"/>
  </cols>
  <sheetData>
    <row r="1" spans="1:11" s="85" customFormat="1">
      <c r="A1" s="84" t="s">
        <v>254</v>
      </c>
    </row>
    <row r="4" spans="1:11" s="81" customFormat="1">
      <c r="A4" s="80" t="s">
        <v>120</v>
      </c>
    </row>
    <row r="6" spans="1:11">
      <c r="C6" s="27" t="s">
        <v>156</v>
      </c>
      <c r="E6" s="56" t="str">
        <f>tlOutputFormatDash1Part1&amp;tlOutputFormatDash1Part2&amp;tlOutputFormatDash1Part3</f>
        <v>Financial Scorecard: Y5 Revenue0498050988.5917920CAGR00.3855958201441540Y1 Operating Margin0-0.19</v>
      </c>
      <c r="F6" s="57"/>
      <c r="G6" s="57"/>
      <c r="H6" s="57"/>
      <c r="J6" s="57"/>
      <c r="K6" s="57"/>
    </row>
    <row r="7" spans="1:11">
      <c r="E7" s="33" t="s">
        <v>157</v>
      </c>
      <c r="F7" s="58"/>
      <c r="G7" s="58"/>
      <c r="H7" s="58"/>
      <c r="J7" s="58"/>
      <c r="K7" s="58"/>
    </row>
    <row r="8" spans="1:11">
      <c r="E8" s="33"/>
      <c r="F8" s="58"/>
      <c r="G8" s="58"/>
      <c r="H8" s="58"/>
      <c r="J8" s="58"/>
      <c r="K8" s="58"/>
    </row>
    <row r="9" spans="1:11">
      <c r="C9" s="27" t="s">
        <v>2128</v>
      </c>
      <c r="E9" s="56" t="str">
        <f>tlOutputFormatDash2Part1&amp;tlOutputFormatDash2Part2&amp;tlOutputFormatDash2Part3</f>
        <v>Disruption &amp; Budget: Disruption00.50Y1 Budget Left0250000000Y2 Budget Left010000000</v>
      </c>
      <c r="F9" s="57"/>
      <c r="G9" s="57"/>
      <c r="H9" s="57"/>
      <c r="J9" s="57"/>
      <c r="K9" s="57"/>
    </row>
    <row r="10" spans="1:11">
      <c r="E10" s="33" t="s">
        <v>2129</v>
      </c>
      <c r="F10" s="58"/>
      <c r="G10" s="58"/>
      <c r="H10" s="58"/>
      <c r="J10" s="58"/>
      <c r="K10" s="58"/>
    </row>
    <row r="11" spans="1:11">
      <c r="E11" s="33"/>
      <c r="F11" s="58"/>
      <c r="G11" s="58"/>
      <c r="H11" s="58"/>
      <c r="J11" s="58"/>
      <c r="K11" s="58"/>
    </row>
    <row r="12" spans="1:11">
      <c r="C12" s="27" t="s">
        <v>158</v>
      </c>
      <c r="E12" s="56" t="str">
        <f>tlOutputFormatDash3Part1&amp;tlOutputFormatDash3Part2&amp;tlOutputFormatDash3Part3</f>
        <v>Non-Financial Scorecard: CSat0500Employee Engagement0500Trust050</v>
      </c>
      <c r="F12" s="57"/>
      <c r="G12" s="57"/>
      <c r="H12" s="57"/>
      <c r="J12" s="57"/>
      <c r="K12" s="57"/>
    </row>
    <row r="13" spans="1:11">
      <c r="E13" s="33" t="s">
        <v>159</v>
      </c>
      <c r="F13" s="58"/>
      <c r="G13" s="58"/>
      <c r="H13" s="58"/>
      <c r="J13" s="58"/>
      <c r="K13" s="58"/>
    </row>
    <row r="14" spans="1:11">
      <c r="E14" s="33"/>
      <c r="F14" s="58"/>
      <c r="G14" s="58"/>
      <c r="H14" s="58"/>
      <c r="J14" s="58"/>
      <c r="K14" s="58"/>
    </row>
    <row r="15" spans="1:11">
      <c r="C15" s="27" t="s">
        <v>160</v>
      </c>
      <c r="E15" s="56" t="str">
        <f>K68&amp;K69&amp;K70&amp;K71&amp;K72&amp;K73&amp;K74&amp;K75&amp;K76&amp;K77</f>
        <v>0000000000000000000</v>
      </c>
      <c r="F15" s="57"/>
      <c r="G15" s="57"/>
      <c r="H15" s="57"/>
      <c r="J15" s="57"/>
      <c r="K15" s="57"/>
    </row>
    <row r="16" spans="1:11">
      <c r="E16" s="33" t="s">
        <v>161</v>
      </c>
    </row>
    <row r="18" spans="1:12" s="81" customFormat="1">
      <c r="A18" s="80" t="s">
        <v>125</v>
      </c>
    </row>
    <row r="20" spans="1:12">
      <c r="C20" s="59" t="s">
        <v>162</v>
      </c>
      <c r="E20" s="60">
        <v>2</v>
      </c>
      <c r="F20" s="33" t="s">
        <v>163</v>
      </c>
    </row>
    <row r="21" spans="1:12">
      <c r="C21" s="59" t="s">
        <v>164</v>
      </c>
      <c r="E21" s="60">
        <v>4</v>
      </c>
      <c r="F21" s="33" t="s">
        <v>165</v>
      </c>
    </row>
    <row r="22" spans="1:12">
      <c r="C22" s="27" t="s">
        <v>166</v>
      </c>
      <c r="E22" s="60">
        <v>2</v>
      </c>
      <c r="F22" s="33" t="s">
        <v>167</v>
      </c>
    </row>
    <row r="23" spans="1:12">
      <c r="F23" s="33" t="s">
        <v>3025</v>
      </c>
      <c r="G23" s="767">
        <f>G24/F24-1</f>
        <v>0.51633370364991937</v>
      </c>
      <c r="H23" s="767">
        <f t="shared" ref="H23:K23" si="0">H24/G24-1</f>
        <v>0.49515501292700681</v>
      </c>
      <c r="I23" s="767">
        <f t="shared" si="0"/>
        <v>0.38603327234758877</v>
      </c>
      <c r="J23" s="767">
        <f t="shared" si="0"/>
        <v>0.30305175911010829</v>
      </c>
      <c r="K23" s="767">
        <f t="shared" si="0"/>
        <v>0.2472872722289654</v>
      </c>
    </row>
    <row r="24" spans="1:12">
      <c r="B24" s="28" t="s">
        <v>2124</v>
      </c>
      <c r="F24" s="766">
        <f>INDEX(obalTargetRev,1,xxIndexTeam)</f>
        <v>97519391.714228541</v>
      </c>
      <c r="G24" s="766">
        <f>INDEX(FinAnnualRev,,xxIndexTeam)</f>
        <v>147871940.41572341</v>
      </c>
      <c r="H24" s="766">
        <f>INDEX(FinY2AnnualRev,,xxIndexTeam)</f>
        <v>221091472.98381251</v>
      </c>
      <c r="I24" s="766">
        <f>INDEX(calcY3Q1Rev+calcY3Q2Rev+calcY3Q3Rev+calcY3Q4Rev,,xxIndexTeam)</f>
        <v>306440137.78790218</v>
      </c>
      <c r="J24" s="766">
        <f>INDEX(calcY4Q1Rev+calcY4Q2Rev+calcY4Q3Rev+calcY4Q4Rev,,xxIndexTeam)</f>
        <v>399307360.60646993</v>
      </c>
      <c r="K24" s="766">
        <f>INDEX(FinY5AnnualRev,,xxIndexTeam)</f>
        <v>498050988.59179169</v>
      </c>
    </row>
    <row r="25" spans="1:12">
      <c r="C25" s="27" t="s">
        <v>174</v>
      </c>
      <c r="E25" s="27" t="s">
        <v>133</v>
      </c>
      <c r="F25" s="59" t="s">
        <v>175</v>
      </c>
      <c r="G25" s="59" t="s">
        <v>176</v>
      </c>
      <c r="H25" s="27" t="s">
        <v>177</v>
      </c>
      <c r="I25" s="27" t="s">
        <v>178</v>
      </c>
      <c r="J25" s="59" t="s">
        <v>179</v>
      </c>
      <c r="K25" s="59" t="s">
        <v>180</v>
      </c>
    </row>
    <row r="26" spans="1:12">
      <c r="B26" s="27">
        <v>1</v>
      </c>
      <c r="C26" s="38" t="s">
        <v>3690</v>
      </c>
      <c r="E26" s="38" t="b">
        <v>1</v>
      </c>
      <c r="F26" s="829">
        <f>INDEX(FinY5AnnualRev,1,xxIndexTeam)</f>
        <v>498050988.59179169</v>
      </c>
      <c r="G26" s="41">
        <f>tlOutputDashRev</f>
        <v>498050988.59179169</v>
      </c>
      <c r="H26" s="62"/>
      <c r="I26" s="41"/>
      <c r="J26" s="86" t="str">
        <f>INDEX(DB_arrayDash1Names,$B26)&amp; DB_WhiteSpace &amp; INDEX(DB_arrayDash1Values,$B26) &amp; IF(H26="","",DB_SubWhiteSpace &amp; I26)</f>
        <v>Financial Scorecard: Y5 Revenue0498050988.591792</v>
      </c>
      <c r="K26" s="87" t="str">
        <f>IF(E26,J26,"")</f>
        <v>Financial Scorecard: Y5 Revenue0498050988.591792</v>
      </c>
    </row>
    <row r="27" spans="1:12">
      <c r="B27" s="27">
        <v>2</v>
      </c>
      <c r="C27" s="42" t="s">
        <v>3024</v>
      </c>
      <c r="E27" s="38" t="b">
        <v>1</v>
      </c>
      <c r="F27" s="765">
        <f>(tlOutputDashRev/tlOutputOpeningRev)^(1/(6-1))-1</f>
        <v>0.38559582014415428</v>
      </c>
      <c r="G27" s="44">
        <f>tlOutputDashGrowth</f>
        <v>0.38559582014415428</v>
      </c>
      <c r="H27" s="63"/>
      <c r="I27" s="44"/>
      <c r="J27" s="88" t="str">
        <f t="shared" ref="J27:J35" si="1">DB_LargeWhiteSpace&amp;INDEX(DB_arrayDash1Names,$B27)&amp; DB_WhiteSpace &amp; INDEX(DB_arrayDash1Values,$B27)&amp; IF(H27="","",DB_SubWhiteSpace &amp; I27)</f>
        <v>0CAGR00.385595820144154</v>
      </c>
      <c r="K27" s="89" t="str">
        <f t="shared" ref="K27:K35" si="2">IF(E27,J27,"")</f>
        <v>0CAGR00.385595820144154</v>
      </c>
      <c r="L27" s="827">
        <f>INDEX(obalTargetRev,,xxIndexTeam)</f>
        <v>97519391.714228541</v>
      </c>
    </row>
    <row r="28" spans="1:12">
      <c r="B28" s="27">
        <v>3</v>
      </c>
      <c r="C28" s="42" t="s">
        <v>2030</v>
      </c>
      <c r="E28" s="38" t="b">
        <v>1</v>
      </c>
      <c r="F28" s="181">
        <f>INDEX(finAnnualIntegratedOpMargin,1,xxIndexTeam)</f>
        <v>-0.18999999999999992</v>
      </c>
      <c r="G28" s="44">
        <f>tlOutputDashOpMargin</f>
        <v>-0.18999999999999992</v>
      </c>
      <c r="H28" s="63"/>
      <c r="I28" s="44"/>
      <c r="J28" s="88" t="str">
        <f t="shared" si="1"/>
        <v>0Y1 Operating Margin0-0.19</v>
      </c>
      <c r="K28" s="89" t="str">
        <f t="shared" si="2"/>
        <v>0Y1 Operating Margin0-0.19</v>
      </c>
    </row>
    <row r="29" spans="1:12">
      <c r="B29" s="27">
        <v>4</v>
      </c>
      <c r="C29" s="42"/>
      <c r="E29" s="38" t="b">
        <v>0</v>
      </c>
      <c r="F29" s="63"/>
      <c r="G29" s="41"/>
      <c r="H29" s="63"/>
      <c r="I29" s="44"/>
      <c r="J29" s="88" t="str">
        <f t="shared" si="1"/>
        <v>00</v>
      </c>
      <c r="K29" s="89" t="str">
        <f t="shared" si="2"/>
        <v/>
      </c>
    </row>
    <row r="30" spans="1:12">
      <c r="B30" s="27">
        <v>5</v>
      </c>
      <c r="C30" s="42"/>
      <c r="E30" s="42" t="b">
        <v>0</v>
      </c>
      <c r="F30" s="63"/>
      <c r="G30" s="44"/>
      <c r="H30" s="63"/>
      <c r="I30" s="44"/>
      <c r="J30" s="88" t="str">
        <f t="shared" si="1"/>
        <v>00</v>
      </c>
      <c r="K30" s="89" t="str">
        <f t="shared" si="2"/>
        <v/>
      </c>
    </row>
    <row r="31" spans="1:12">
      <c r="B31" s="27">
        <v>6</v>
      </c>
      <c r="C31" s="42"/>
      <c r="E31" s="42" t="b">
        <v>0</v>
      </c>
      <c r="F31" s="63"/>
      <c r="G31" s="44"/>
      <c r="H31" s="63"/>
      <c r="I31" s="44"/>
      <c r="J31" s="88" t="str">
        <f t="shared" si="1"/>
        <v>00</v>
      </c>
      <c r="K31" s="89" t="str">
        <f t="shared" si="2"/>
        <v/>
      </c>
    </row>
    <row r="32" spans="1:12">
      <c r="B32" s="27">
        <v>7</v>
      </c>
      <c r="C32" s="42"/>
      <c r="E32" s="42" t="b">
        <v>0</v>
      </c>
      <c r="F32" s="63"/>
      <c r="G32" s="44"/>
      <c r="H32" s="63"/>
      <c r="I32" s="44"/>
      <c r="J32" s="88" t="str">
        <f t="shared" si="1"/>
        <v>00</v>
      </c>
      <c r="K32" s="89" t="str">
        <f t="shared" si="2"/>
        <v/>
      </c>
    </row>
    <row r="33" spans="2:11">
      <c r="B33" s="27">
        <v>8</v>
      </c>
      <c r="C33" s="42"/>
      <c r="E33" s="42" t="b">
        <v>0</v>
      </c>
      <c r="F33" s="63"/>
      <c r="G33" s="44"/>
      <c r="H33" s="63"/>
      <c r="I33" s="44"/>
      <c r="J33" s="88" t="str">
        <f t="shared" si="1"/>
        <v>00</v>
      </c>
      <c r="K33" s="89" t="str">
        <f t="shared" si="2"/>
        <v/>
      </c>
    </row>
    <row r="34" spans="2:11">
      <c r="B34" s="27">
        <v>9</v>
      </c>
      <c r="C34" s="42"/>
      <c r="E34" s="42" t="b">
        <v>0</v>
      </c>
      <c r="F34" s="63"/>
      <c r="G34" s="44"/>
      <c r="H34" s="63"/>
      <c r="I34" s="44"/>
      <c r="J34" s="88" t="str">
        <f t="shared" si="1"/>
        <v>00</v>
      </c>
      <c r="K34" s="89" t="str">
        <f t="shared" si="2"/>
        <v/>
      </c>
    </row>
    <row r="35" spans="2:11">
      <c r="B35" s="27">
        <v>10</v>
      </c>
      <c r="C35" s="45"/>
      <c r="E35" s="45" t="b">
        <v>0</v>
      </c>
      <c r="F35" s="64"/>
      <c r="G35" s="50"/>
      <c r="H35" s="64"/>
      <c r="I35" s="50"/>
      <c r="J35" s="90" t="str">
        <f t="shared" si="1"/>
        <v>00</v>
      </c>
      <c r="K35" s="91" t="str">
        <f t="shared" si="2"/>
        <v/>
      </c>
    </row>
    <row r="36" spans="2:11">
      <c r="C36" s="33" t="s">
        <v>181</v>
      </c>
      <c r="E36" s="33"/>
      <c r="G36" s="33" t="s">
        <v>182</v>
      </c>
    </row>
    <row r="38" spans="2:11">
      <c r="B38" s="28" t="s">
        <v>2125</v>
      </c>
    </row>
    <row r="39" spans="2:11">
      <c r="C39" s="27" t="s">
        <v>174</v>
      </c>
      <c r="E39" s="27" t="s">
        <v>133</v>
      </c>
      <c r="F39" s="59" t="s">
        <v>175</v>
      </c>
      <c r="G39" s="59" t="s">
        <v>176</v>
      </c>
      <c r="H39" s="27" t="s">
        <v>177</v>
      </c>
      <c r="I39" s="27" t="s">
        <v>178</v>
      </c>
      <c r="J39" s="59" t="s">
        <v>179</v>
      </c>
      <c r="K39" s="59" t="s">
        <v>180</v>
      </c>
    </row>
    <row r="40" spans="2:11">
      <c r="B40" s="27">
        <v>1</v>
      </c>
      <c r="C40" s="42" t="s">
        <v>3691</v>
      </c>
      <c r="E40" s="42" t="b">
        <v>1</v>
      </c>
      <c r="F40" s="939">
        <f>INDEX(cbalExecutionVelocity,1,xxIndexTeam)</f>
        <v>0.5</v>
      </c>
      <c r="G40" s="44">
        <f>tlOutputDashDisrupt</f>
        <v>0.5</v>
      </c>
      <c r="H40" s="62"/>
      <c r="I40" s="41"/>
      <c r="J40" s="86" t="str">
        <f>INDEX(DB_arrayDash1Y2Names,$B40)&amp; DB_WhiteSpace &amp; INDEX(DB_arrayDash1Y2Values,$B40) &amp; IF(H40="","",DB_SubWhiteSpace &amp; I40)</f>
        <v>Disruption &amp; Budget: Disruption00.5</v>
      </c>
      <c r="K40" s="87" t="str">
        <f t="shared" ref="K40:K49" si="3">IF(E40,J40,"")</f>
        <v>Disruption &amp; Budget: Disruption00.5</v>
      </c>
    </row>
    <row r="41" spans="2:11">
      <c r="B41" s="27">
        <v>2</v>
      </c>
      <c r="C41" s="42" t="s">
        <v>2212</v>
      </c>
      <c r="E41" s="42" t="b">
        <v>1</v>
      </c>
      <c r="F41" s="63">
        <f>INDEX(calcIntegrationBudget,1,xxIndexTeam)-INDEX(calcFullIntegrationCosts,1,xxIndexTeam)</f>
        <v>25000000</v>
      </c>
      <c r="G41" s="41">
        <f>tlOutputDashY1Budget</f>
        <v>25000000</v>
      </c>
      <c r="H41" s="63"/>
      <c r="I41" s="44"/>
      <c r="J41" s="88" t="str">
        <f t="shared" ref="J41:J49" si="4">DB_LargeWhiteSpace&amp;INDEX(DB_arrayDash1Y2Names,$B41)&amp; DB_WhiteSpace &amp; INDEX(DB_arrayDash1Y2Values,$B41)&amp; IF(H41="","",DB_SubWhiteSpace &amp; I41)</f>
        <v>0Y1 Budget Left025000000</v>
      </c>
      <c r="K41" s="89" t="str">
        <f t="shared" si="3"/>
        <v>0Y1 Budget Left025000000</v>
      </c>
    </row>
    <row r="42" spans="2:11">
      <c r="B42" s="27">
        <v>3</v>
      </c>
      <c r="C42" s="42" t="s">
        <v>2247</v>
      </c>
      <c r="E42" s="42" t="b">
        <v>1</v>
      </c>
      <c r="F42" s="63">
        <f>INDEX(cbalIntegrationBudgetY2,1,xxIndexTeam)-INDEX(calcFullIntegrationCostsY2,1,xxIndexTeam)</f>
        <v>10000000</v>
      </c>
      <c r="G42" s="41">
        <f>tlOutputDashY2Budget</f>
        <v>10000000</v>
      </c>
      <c r="H42" s="63"/>
      <c r="I42" s="44"/>
      <c r="J42" s="88" t="str">
        <f t="shared" si="4"/>
        <v>0Y2 Budget Left010000000</v>
      </c>
      <c r="K42" s="89" t="str">
        <f t="shared" si="3"/>
        <v>0Y2 Budget Left010000000</v>
      </c>
    </row>
    <row r="43" spans="2:11">
      <c r="B43" s="27">
        <v>4</v>
      </c>
      <c r="C43" s="42"/>
      <c r="E43" s="38" t="b">
        <v>0</v>
      </c>
      <c r="F43" s="63"/>
      <c r="G43" s="41"/>
      <c r="H43" s="63"/>
      <c r="I43" s="44"/>
      <c r="J43" s="88" t="str">
        <f t="shared" si="4"/>
        <v>00</v>
      </c>
      <c r="K43" s="89" t="str">
        <f t="shared" si="3"/>
        <v/>
      </c>
    </row>
    <row r="44" spans="2:11">
      <c r="B44" s="27">
        <v>5</v>
      </c>
      <c r="C44" s="42"/>
      <c r="E44" s="42" t="b">
        <v>0</v>
      </c>
      <c r="F44" s="63"/>
      <c r="G44" s="44"/>
      <c r="H44" s="63"/>
      <c r="I44" s="44"/>
      <c r="J44" s="88" t="str">
        <f t="shared" si="4"/>
        <v>00</v>
      </c>
      <c r="K44" s="89" t="str">
        <f t="shared" si="3"/>
        <v/>
      </c>
    </row>
    <row r="45" spans="2:11">
      <c r="B45" s="27">
        <v>6</v>
      </c>
      <c r="C45" s="42"/>
      <c r="E45" s="42" t="b">
        <v>0</v>
      </c>
      <c r="F45" s="63"/>
      <c r="G45" s="44"/>
      <c r="H45" s="63"/>
      <c r="I45" s="44"/>
      <c r="J45" s="88" t="str">
        <f t="shared" si="4"/>
        <v>00</v>
      </c>
      <c r="K45" s="89" t="str">
        <f t="shared" si="3"/>
        <v/>
      </c>
    </row>
    <row r="46" spans="2:11">
      <c r="B46" s="27">
        <v>7</v>
      </c>
      <c r="C46" s="42"/>
      <c r="E46" s="42" t="b">
        <v>0</v>
      </c>
      <c r="F46" s="63"/>
      <c r="G46" s="44"/>
      <c r="H46" s="63"/>
      <c r="I46" s="44"/>
      <c r="J46" s="88" t="str">
        <f t="shared" si="4"/>
        <v>00</v>
      </c>
      <c r="K46" s="89" t="str">
        <f t="shared" si="3"/>
        <v/>
      </c>
    </row>
    <row r="47" spans="2:11">
      <c r="B47" s="27">
        <v>8</v>
      </c>
      <c r="C47" s="42"/>
      <c r="E47" s="42" t="b">
        <v>0</v>
      </c>
      <c r="F47" s="63"/>
      <c r="G47" s="44"/>
      <c r="H47" s="63"/>
      <c r="I47" s="44"/>
      <c r="J47" s="88" t="str">
        <f t="shared" si="4"/>
        <v>00</v>
      </c>
      <c r="K47" s="89" t="str">
        <f t="shared" si="3"/>
        <v/>
      </c>
    </row>
    <row r="48" spans="2:11">
      <c r="B48" s="27">
        <v>9</v>
      </c>
      <c r="C48" s="42"/>
      <c r="E48" s="42" t="b">
        <v>0</v>
      </c>
      <c r="F48" s="63"/>
      <c r="G48" s="44"/>
      <c r="H48" s="63"/>
      <c r="I48" s="44"/>
      <c r="J48" s="88" t="str">
        <f t="shared" si="4"/>
        <v>00</v>
      </c>
      <c r="K48" s="89" t="str">
        <f t="shared" si="3"/>
        <v/>
      </c>
    </row>
    <row r="49" spans="2:11">
      <c r="B49" s="27">
        <v>10</v>
      </c>
      <c r="C49" s="45"/>
      <c r="E49" s="45" t="b">
        <v>0</v>
      </c>
      <c r="F49" s="64"/>
      <c r="G49" s="50"/>
      <c r="H49" s="64"/>
      <c r="I49" s="50"/>
      <c r="J49" s="90" t="str">
        <f t="shared" si="4"/>
        <v>00</v>
      </c>
      <c r="K49" s="91" t="str">
        <f t="shared" si="3"/>
        <v/>
      </c>
    </row>
    <row r="50" spans="2:11">
      <c r="C50" s="33" t="s">
        <v>2126</v>
      </c>
      <c r="E50" s="33"/>
      <c r="G50" s="33" t="s">
        <v>2127</v>
      </c>
    </row>
    <row r="52" spans="2:11">
      <c r="B52" s="28" t="s">
        <v>158</v>
      </c>
    </row>
    <row r="53" spans="2:11">
      <c r="C53" s="27" t="s">
        <v>174</v>
      </c>
      <c r="E53" s="27" t="s">
        <v>133</v>
      </c>
      <c r="F53" s="59" t="s">
        <v>175</v>
      </c>
      <c r="G53" s="59" t="s">
        <v>176</v>
      </c>
      <c r="H53" s="27" t="s">
        <v>177</v>
      </c>
      <c r="I53" s="27" t="s">
        <v>178</v>
      </c>
      <c r="J53" s="59" t="s">
        <v>179</v>
      </c>
      <c r="K53" s="59" t="s">
        <v>180</v>
      </c>
    </row>
    <row r="54" spans="2:11">
      <c r="B54" s="27">
        <v>1</v>
      </c>
      <c r="C54" s="42" t="s">
        <v>3692</v>
      </c>
      <c r="E54" s="38" t="b">
        <v>1</v>
      </c>
      <c r="F54" s="63">
        <f>INDEX(cbalNPS,1,xxIndexTeam)</f>
        <v>50</v>
      </c>
      <c r="G54" s="41">
        <f>tlOutputDashCSAT</f>
        <v>50</v>
      </c>
      <c r="H54" s="62"/>
      <c r="I54" s="41"/>
      <c r="J54" s="86" t="str">
        <f>INDEX(DB_arrayDash2Names,$B54)&amp; DB_WhiteSpace &amp; INDEX(DB_arrayDash2Values,$B54) &amp; IF(H54="","",DB_SubWhiteSpace &amp; I54)</f>
        <v>Non-Financial Scorecard: CSat050</v>
      </c>
      <c r="K54" s="87" t="str">
        <f t="shared" ref="K54:K63" si="5">IF(E54,J54,"")</f>
        <v>Non-Financial Scorecard: CSat050</v>
      </c>
    </row>
    <row r="55" spans="2:11">
      <c r="B55" s="27">
        <v>2</v>
      </c>
      <c r="C55" s="42" t="s">
        <v>470</v>
      </c>
      <c r="E55" s="42" t="b">
        <v>1</v>
      </c>
      <c r="F55" s="63">
        <f>INDEX(cbalESAT,1,xxIndexTeam)</f>
        <v>50</v>
      </c>
      <c r="G55" s="44">
        <f>tlOutputDashESAT</f>
        <v>50</v>
      </c>
      <c r="H55" s="63"/>
      <c r="I55" s="44"/>
      <c r="J55" s="88" t="str">
        <f t="shared" ref="J55:J63" si="6">DB_LargeWhiteSpace&amp;INDEX(DB_arrayDash2Names,$B55)&amp; DB_WhiteSpace &amp; INDEX(DB_arrayDash2Values,$B55)&amp; IF(H55="","",DB_SubWhiteSpace &amp; I55)</f>
        <v>0Employee Engagement050</v>
      </c>
      <c r="K55" s="89" t="str">
        <f t="shared" si="5"/>
        <v>0Employee Engagement050</v>
      </c>
    </row>
    <row r="56" spans="2:11">
      <c r="B56" s="27">
        <v>3</v>
      </c>
      <c r="C56" s="42" t="s">
        <v>1153</v>
      </c>
      <c r="E56" s="42" t="b">
        <v>1</v>
      </c>
      <c r="F56" s="63">
        <f>INDEX(calcRiskIndex,1,xxIndexTeam)</f>
        <v>50</v>
      </c>
      <c r="G56" s="44">
        <f>tlOutputDashTrust</f>
        <v>50</v>
      </c>
      <c r="H56" s="63"/>
      <c r="I56" s="44"/>
      <c r="J56" s="88" t="str">
        <f t="shared" si="6"/>
        <v>0Trust050</v>
      </c>
      <c r="K56" s="89" t="str">
        <f t="shared" si="5"/>
        <v>0Trust050</v>
      </c>
    </row>
    <row r="57" spans="2:11">
      <c r="B57" s="27">
        <v>4</v>
      </c>
      <c r="C57" s="42"/>
      <c r="E57" s="42" t="b">
        <v>1</v>
      </c>
      <c r="F57" s="63"/>
      <c r="G57" s="44"/>
      <c r="H57" s="63"/>
      <c r="I57" s="44"/>
      <c r="J57" s="88" t="str">
        <f t="shared" si="6"/>
        <v>00</v>
      </c>
      <c r="K57" s="89" t="str">
        <f t="shared" si="5"/>
        <v>00</v>
      </c>
    </row>
    <row r="58" spans="2:11">
      <c r="B58" s="27">
        <v>5</v>
      </c>
      <c r="C58" s="42"/>
      <c r="E58" s="42" t="b">
        <v>1</v>
      </c>
      <c r="F58" s="63"/>
      <c r="G58" s="41"/>
      <c r="H58" s="63"/>
      <c r="I58" s="44"/>
      <c r="J58" s="88" t="str">
        <f t="shared" si="6"/>
        <v>00</v>
      </c>
      <c r="K58" s="89" t="str">
        <f t="shared" si="5"/>
        <v>00</v>
      </c>
    </row>
    <row r="59" spans="2:11">
      <c r="B59" s="27">
        <v>6</v>
      </c>
      <c r="C59" s="42"/>
      <c r="E59" s="42" t="b">
        <v>1</v>
      </c>
      <c r="F59" s="63"/>
      <c r="G59" s="41"/>
      <c r="H59" s="63"/>
      <c r="I59" s="44"/>
      <c r="J59" s="88" t="str">
        <f t="shared" si="6"/>
        <v>00</v>
      </c>
      <c r="K59" s="89" t="str">
        <f t="shared" si="5"/>
        <v>00</v>
      </c>
    </row>
    <row r="60" spans="2:11">
      <c r="B60" s="27">
        <v>7</v>
      </c>
      <c r="C60" s="42"/>
      <c r="E60" s="42" t="b">
        <v>1</v>
      </c>
      <c r="F60" s="63"/>
      <c r="G60" s="44"/>
      <c r="H60" s="63"/>
      <c r="I60" s="44"/>
      <c r="J60" s="88" t="str">
        <f t="shared" si="6"/>
        <v>00</v>
      </c>
      <c r="K60" s="89" t="str">
        <f t="shared" si="5"/>
        <v>00</v>
      </c>
    </row>
    <row r="61" spans="2:11">
      <c r="B61" s="27">
        <v>8</v>
      </c>
      <c r="C61" s="42"/>
      <c r="E61" s="42" t="b">
        <v>1</v>
      </c>
      <c r="F61" s="63"/>
      <c r="G61" s="44"/>
      <c r="H61" s="63"/>
      <c r="I61" s="44"/>
      <c r="J61" s="88" t="str">
        <f t="shared" si="6"/>
        <v>00</v>
      </c>
      <c r="K61" s="89" t="str">
        <f t="shared" si="5"/>
        <v>00</v>
      </c>
    </row>
    <row r="62" spans="2:11">
      <c r="B62" s="27">
        <v>9</v>
      </c>
      <c r="C62" s="42"/>
      <c r="E62" s="42" t="b">
        <v>1</v>
      </c>
      <c r="F62" s="63"/>
      <c r="G62" s="44"/>
      <c r="H62" s="63"/>
      <c r="I62" s="44"/>
      <c r="J62" s="88" t="str">
        <f t="shared" si="6"/>
        <v>00</v>
      </c>
      <c r="K62" s="89" t="str">
        <f t="shared" si="5"/>
        <v>00</v>
      </c>
    </row>
    <row r="63" spans="2:11">
      <c r="B63" s="27">
        <v>10</v>
      </c>
      <c r="C63" s="45"/>
      <c r="E63" s="45" t="b">
        <v>1</v>
      </c>
      <c r="F63" s="64"/>
      <c r="G63" s="50"/>
      <c r="H63" s="64"/>
      <c r="I63" s="50"/>
      <c r="J63" s="90" t="str">
        <f t="shared" si="6"/>
        <v>00</v>
      </c>
      <c r="K63" s="91" t="str">
        <f t="shared" si="5"/>
        <v>00</v>
      </c>
    </row>
    <row r="64" spans="2:11">
      <c r="C64" s="33" t="s">
        <v>183</v>
      </c>
      <c r="E64" s="33"/>
      <c r="G64" s="33" t="s">
        <v>184</v>
      </c>
    </row>
    <row r="66" spans="2:11">
      <c r="B66" s="28" t="s">
        <v>160</v>
      </c>
    </row>
    <row r="67" spans="2:11">
      <c r="C67" s="27" t="s">
        <v>174</v>
      </c>
      <c r="E67" s="27" t="s">
        <v>133</v>
      </c>
      <c r="F67" s="59" t="s">
        <v>175</v>
      </c>
      <c r="G67" s="59" t="s">
        <v>176</v>
      </c>
      <c r="H67" s="27" t="s">
        <v>177</v>
      </c>
      <c r="I67" s="27" t="s">
        <v>178</v>
      </c>
      <c r="J67" s="59" t="s">
        <v>179</v>
      </c>
      <c r="K67" s="59" t="s">
        <v>180</v>
      </c>
    </row>
    <row r="68" spans="2:11">
      <c r="B68" s="27">
        <v>1</v>
      </c>
      <c r="C68" s="38"/>
      <c r="E68" s="38" t="b">
        <v>1</v>
      </c>
      <c r="F68" s="62"/>
      <c r="G68" s="41"/>
      <c r="H68" s="62"/>
      <c r="I68" s="41"/>
      <c r="J68" s="86" t="str">
        <f>INDEX(DB_arrayDash3Names,$B68)&amp; DB_WhiteSpace &amp; INDEX(DB_arrayDash3Values,$B68) &amp; IF(H68="","",DB_SubWhiteSpace &amp; I68)</f>
        <v>0</v>
      </c>
      <c r="K68" s="87" t="str">
        <f t="shared" ref="K68:K77" si="7">IF(E68,J68,"")</f>
        <v>0</v>
      </c>
    </row>
    <row r="69" spans="2:11">
      <c r="B69" s="27">
        <v>2</v>
      </c>
      <c r="C69" s="42"/>
      <c r="E69" s="42" t="b">
        <v>1</v>
      </c>
      <c r="F69" s="63"/>
      <c r="G69" s="44"/>
      <c r="H69" s="63"/>
      <c r="I69" s="44"/>
      <c r="J69" s="88" t="str">
        <f t="shared" ref="J69:J77" si="8">DB_LargeWhiteSpace&amp;INDEX(DB_arrayDash3Names,$B69)&amp; DB_WhiteSpace &amp; INDEX(DB_arrayDash3Values,$B69)&amp; IF(H69="","",DB_SubWhiteSpace &amp; I69)</f>
        <v>00</v>
      </c>
      <c r="K69" s="89" t="str">
        <f t="shared" si="7"/>
        <v>00</v>
      </c>
    </row>
    <row r="70" spans="2:11">
      <c r="B70" s="27">
        <v>3</v>
      </c>
      <c r="C70" s="42"/>
      <c r="E70" s="42" t="b">
        <v>1</v>
      </c>
      <c r="F70" s="63"/>
      <c r="G70" s="44"/>
      <c r="H70" s="63"/>
      <c r="I70" s="44"/>
      <c r="J70" s="88" t="str">
        <f t="shared" si="8"/>
        <v>00</v>
      </c>
      <c r="K70" s="89" t="str">
        <f t="shared" si="7"/>
        <v>00</v>
      </c>
    </row>
    <row r="71" spans="2:11">
      <c r="B71" s="27">
        <v>4</v>
      </c>
      <c r="C71" s="42"/>
      <c r="E71" s="42" t="b">
        <v>1</v>
      </c>
      <c r="F71" s="63"/>
      <c r="G71" s="44"/>
      <c r="H71" s="63"/>
      <c r="I71" s="44"/>
      <c r="J71" s="88" t="str">
        <f t="shared" si="8"/>
        <v>00</v>
      </c>
      <c r="K71" s="89" t="str">
        <f t="shared" si="7"/>
        <v>00</v>
      </c>
    </row>
    <row r="72" spans="2:11">
      <c r="B72" s="27">
        <v>5</v>
      </c>
      <c r="C72" s="42"/>
      <c r="E72" s="42" t="b">
        <v>1</v>
      </c>
      <c r="F72" s="63"/>
      <c r="G72" s="44"/>
      <c r="H72" s="63"/>
      <c r="I72" s="44"/>
      <c r="J72" s="88" t="str">
        <f t="shared" si="8"/>
        <v>00</v>
      </c>
      <c r="K72" s="89" t="str">
        <f t="shared" si="7"/>
        <v>00</v>
      </c>
    </row>
    <row r="73" spans="2:11">
      <c r="B73" s="27">
        <v>6</v>
      </c>
      <c r="C73" s="42"/>
      <c r="E73" s="42" t="b">
        <v>1</v>
      </c>
      <c r="F73" s="63"/>
      <c r="G73" s="44"/>
      <c r="H73" s="63"/>
      <c r="I73" s="44"/>
      <c r="J73" s="88" t="str">
        <f t="shared" si="8"/>
        <v>00</v>
      </c>
      <c r="K73" s="89" t="str">
        <f t="shared" si="7"/>
        <v>00</v>
      </c>
    </row>
    <row r="74" spans="2:11">
      <c r="B74" s="27">
        <v>7</v>
      </c>
      <c r="C74" s="42"/>
      <c r="E74" s="42" t="b">
        <v>1</v>
      </c>
      <c r="F74" s="63"/>
      <c r="G74" s="44"/>
      <c r="H74" s="63"/>
      <c r="I74" s="44"/>
      <c r="J74" s="88" t="str">
        <f t="shared" si="8"/>
        <v>00</v>
      </c>
      <c r="K74" s="89" t="str">
        <f t="shared" si="7"/>
        <v>00</v>
      </c>
    </row>
    <row r="75" spans="2:11">
      <c r="B75" s="27">
        <v>8</v>
      </c>
      <c r="C75" s="42"/>
      <c r="E75" s="42" t="b">
        <v>1</v>
      </c>
      <c r="F75" s="63"/>
      <c r="G75" s="44"/>
      <c r="H75" s="63"/>
      <c r="I75" s="44"/>
      <c r="J75" s="88" t="str">
        <f t="shared" si="8"/>
        <v>00</v>
      </c>
      <c r="K75" s="89" t="str">
        <f t="shared" si="7"/>
        <v>00</v>
      </c>
    </row>
    <row r="76" spans="2:11">
      <c r="B76" s="27">
        <v>9</v>
      </c>
      <c r="C76" s="42"/>
      <c r="E76" s="42" t="b">
        <v>1</v>
      </c>
      <c r="F76" s="63"/>
      <c r="G76" s="44"/>
      <c r="H76" s="63"/>
      <c r="I76" s="44"/>
      <c r="J76" s="88" t="str">
        <f t="shared" si="8"/>
        <v>00</v>
      </c>
      <c r="K76" s="89" t="str">
        <f t="shared" si="7"/>
        <v>00</v>
      </c>
    </row>
    <row r="77" spans="2:11">
      <c r="B77" s="27">
        <v>10</v>
      </c>
      <c r="C77" s="45"/>
      <c r="E77" s="45" t="b">
        <v>1</v>
      </c>
      <c r="F77" s="64"/>
      <c r="G77" s="50"/>
      <c r="H77" s="64"/>
      <c r="I77" s="50"/>
      <c r="J77" s="90" t="str">
        <f t="shared" si="8"/>
        <v>00</v>
      </c>
      <c r="K77" s="91" t="str">
        <f t="shared" si="7"/>
        <v>00</v>
      </c>
    </row>
    <row r="78" spans="2:11">
      <c r="C78" s="33" t="s">
        <v>185</v>
      </c>
      <c r="E78" s="33"/>
      <c r="G78" s="33" t="s">
        <v>186</v>
      </c>
    </row>
    <row r="83" spans="1:6" s="81" customFormat="1">
      <c r="A83" s="80" t="s">
        <v>142</v>
      </c>
    </row>
    <row r="85" spans="1:6">
      <c r="C85" s="27" t="s">
        <v>168</v>
      </c>
      <c r="E85" s="61">
        <v>0</v>
      </c>
      <c r="F85" s="33" t="s">
        <v>169</v>
      </c>
    </row>
    <row r="86" spans="1:6">
      <c r="C86" s="27" t="s">
        <v>170</v>
      </c>
      <c r="E86" s="61">
        <v>0</v>
      </c>
      <c r="F86" s="33" t="s">
        <v>171</v>
      </c>
    </row>
    <row r="87" spans="1:6">
      <c r="C87" s="27" t="s">
        <v>172</v>
      </c>
      <c r="E87" s="61">
        <v>0</v>
      </c>
      <c r="F87" s="33" t="s">
        <v>173</v>
      </c>
    </row>
  </sheetData>
  <dataValidations count="1">
    <dataValidation type="list" allowBlank="1" showInputMessage="1" showErrorMessage="1" sqref="E68:E77 E54:E63 E26:E35 E40:E49">
      <formula1>"True,False"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N60"/>
  <sheetViews>
    <sheetView workbookViewId="0"/>
  </sheetViews>
  <sheetFormatPr defaultColWidth="13.1796875" defaultRowHeight="14.4"/>
  <cols>
    <col min="1" max="1" width="1.1796875" style="854" customWidth="1"/>
    <col min="2" max="2" width="0.81640625" style="854" customWidth="1"/>
    <col min="3" max="3" width="20.36328125" style="854" customWidth="1"/>
    <col min="4" max="4" width="55.453125" style="854" customWidth="1"/>
    <col min="5" max="15" width="20.36328125" style="854" customWidth="1"/>
    <col min="16" max="16384" width="13.1796875" style="854"/>
  </cols>
  <sheetData>
    <row r="1" spans="1:14" s="831" customFormat="1" ht="13.8">
      <c r="A1" s="830" t="s">
        <v>3750</v>
      </c>
    </row>
    <row r="2" spans="1:14" s="832" customFormat="1" ht="13.8">
      <c r="C2" s="833"/>
      <c r="D2" s="833"/>
      <c r="E2" s="833"/>
      <c r="F2" s="833"/>
      <c r="G2" s="833"/>
      <c r="I2" s="833"/>
      <c r="J2" s="833"/>
      <c r="K2" s="833"/>
      <c r="L2" s="833"/>
      <c r="M2" s="833"/>
      <c r="N2" s="833"/>
    </row>
    <row r="3" spans="1:14" s="832" customFormat="1" ht="13.8">
      <c r="C3" s="832" t="s">
        <v>390</v>
      </c>
      <c r="D3" s="834" t="s">
        <v>522</v>
      </c>
      <c r="F3" s="834"/>
      <c r="G3" s="835"/>
      <c r="I3" s="835"/>
      <c r="J3" s="835"/>
      <c r="K3" s="835"/>
      <c r="L3" s="835"/>
      <c r="M3" s="835"/>
      <c r="N3" s="835"/>
    </row>
    <row r="4" spans="1:14" s="836" customFormat="1" ht="13.8"/>
    <row r="5" spans="1:14" s="838" customFormat="1" ht="13.8">
      <c r="A5" s="837"/>
      <c r="C5" s="838" t="s">
        <v>388</v>
      </c>
      <c r="G5" s="839"/>
      <c r="H5" s="839"/>
      <c r="I5" s="839"/>
      <c r="J5" s="839"/>
      <c r="K5" s="839"/>
      <c r="L5" s="839"/>
      <c r="M5" s="839"/>
      <c r="N5" s="839"/>
    </row>
    <row r="6" spans="1:14" s="836" customFormat="1" ht="13.8"/>
    <row r="7" spans="1:14" s="836" customFormat="1" ht="13.8">
      <c r="C7" s="840" t="s">
        <v>523</v>
      </c>
      <c r="D7" s="840"/>
      <c r="E7" s="841" t="s">
        <v>525</v>
      </c>
    </row>
    <row r="8" spans="1:14" s="836" customFormat="1" ht="13.8">
      <c r="C8" s="842"/>
      <c r="D8" s="843" t="s">
        <v>524</v>
      </c>
      <c r="E8" s="844"/>
      <c r="F8" s="843" t="s">
        <v>527</v>
      </c>
    </row>
    <row r="9" spans="1:14" s="836" customFormat="1" ht="13.8">
      <c r="C9" s="845"/>
      <c r="D9" s="843" t="s">
        <v>386</v>
      </c>
    </row>
    <row r="10" spans="1:14" s="836" customFormat="1" ht="13.8">
      <c r="C10" s="846"/>
      <c r="D10" s="843" t="s">
        <v>3751</v>
      </c>
    </row>
    <row r="11" spans="1:14" s="847" customFormat="1" ht="13.8">
      <c r="B11" s="848"/>
      <c r="E11" s="849"/>
      <c r="F11" s="849"/>
      <c r="G11" s="850"/>
      <c r="H11" s="850"/>
      <c r="I11" s="850"/>
      <c r="J11" s="850"/>
      <c r="K11" s="850"/>
      <c r="L11" s="850"/>
      <c r="M11" s="850"/>
      <c r="N11" s="850"/>
    </row>
    <row r="12" spans="1:14" s="838" customFormat="1" ht="20.100000000000001" customHeight="1">
      <c r="C12" s="851" t="s">
        <v>125</v>
      </c>
      <c r="D12" s="851"/>
      <c r="E12" s="852"/>
      <c r="F12" s="851" t="s">
        <v>120</v>
      </c>
      <c r="G12" s="851"/>
      <c r="H12" s="852"/>
      <c r="I12" s="852"/>
      <c r="J12" s="851"/>
      <c r="K12" s="852"/>
      <c r="L12" s="852"/>
      <c r="M12" s="851"/>
      <c r="N12" s="852"/>
    </row>
    <row r="13" spans="1:14" s="836" customFormat="1" ht="13.8"/>
    <row r="14" spans="1:14" s="838" customFormat="1" ht="13.8">
      <c r="A14" s="837"/>
      <c r="C14" s="838" t="s">
        <v>3752</v>
      </c>
      <c r="G14" s="839"/>
      <c r="H14" s="839"/>
      <c r="I14" s="839"/>
      <c r="J14" s="839"/>
      <c r="K14" s="839"/>
      <c r="L14" s="839"/>
      <c r="M14" s="839"/>
      <c r="N14" s="839"/>
    </row>
    <row r="15" spans="1:14" s="836" customFormat="1" ht="13.8"/>
    <row r="16" spans="1:14" s="836" customFormat="1" ht="13.8">
      <c r="C16" s="836" t="s">
        <v>3753</v>
      </c>
      <c r="D16" s="853"/>
      <c r="E16" s="836" t="s">
        <v>3754</v>
      </c>
    </row>
    <row r="17" spans="1:14" s="836" customFormat="1" ht="13.8"/>
    <row r="18" spans="1:14" s="836" customFormat="1" ht="13.8"/>
    <row r="19" spans="1:14" s="836" customFormat="1" ht="13.8"/>
    <row r="20" spans="1:14" s="836" customFormat="1" ht="13.8"/>
    <row r="21" spans="1:14" s="838" customFormat="1" ht="13.8">
      <c r="A21" s="837"/>
      <c r="C21" s="838" t="s">
        <v>3755</v>
      </c>
      <c r="G21" s="839"/>
      <c r="H21" s="839"/>
      <c r="I21" s="839"/>
      <c r="J21" s="839"/>
      <c r="K21" s="839"/>
      <c r="L21" s="839"/>
      <c r="M21" s="839"/>
      <c r="N21" s="839"/>
    </row>
    <row r="23" spans="1:14">
      <c r="C23" s="855" t="s">
        <v>3756</v>
      </c>
      <c r="D23" s="867" t="s">
        <v>3796</v>
      </c>
      <c r="E23" s="857" t="s">
        <v>3757</v>
      </c>
    </row>
    <row r="24" spans="1:14">
      <c r="D24" s="858" t="s">
        <v>3758</v>
      </c>
    </row>
    <row r="25" spans="1:14">
      <c r="C25" s="855" t="s">
        <v>3759</v>
      </c>
    </row>
    <row r="26" spans="1:14">
      <c r="C26" s="859" t="s">
        <v>3760</v>
      </c>
      <c r="D26" s="856" t="s">
        <v>3761</v>
      </c>
      <c r="E26" s="859" t="s">
        <v>3762</v>
      </c>
    </row>
    <row r="27" spans="1:14">
      <c r="C27" s="859" t="s">
        <v>3763</v>
      </c>
      <c r="D27" s="856" t="s">
        <v>3764</v>
      </c>
      <c r="E27" s="859" t="s">
        <v>3765</v>
      </c>
    </row>
    <row r="29" spans="1:14" ht="27.6">
      <c r="C29" s="855" t="s">
        <v>3766</v>
      </c>
      <c r="D29" s="860" t="s">
        <v>3767</v>
      </c>
      <c r="E29" s="860" t="s">
        <v>3768</v>
      </c>
      <c r="F29" s="857" t="s">
        <v>3769</v>
      </c>
    </row>
    <row r="30" spans="1:14" ht="99.9" customHeight="1">
      <c r="C30" s="861">
        <v>1</v>
      </c>
      <c r="D30" s="856" t="s">
        <v>3779</v>
      </c>
      <c r="E30" s="866" t="s">
        <v>2174</v>
      </c>
      <c r="F30" s="863"/>
    </row>
    <row r="31" spans="1:14" ht="99.9" customHeight="1">
      <c r="C31" s="861">
        <f>C30+1</f>
        <v>2</v>
      </c>
      <c r="D31" s="856" t="s">
        <v>3780</v>
      </c>
      <c r="E31" s="866" t="s">
        <v>2174</v>
      </c>
      <c r="F31" s="863"/>
    </row>
    <row r="32" spans="1:14" ht="99.9" customHeight="1">
      <c r="C32" s="861">
        <f t="shared" ref="C32:C49" si="0">C31+1</f>
        <v>3</v>
      </c>
      <c r="D32" s="856" t="s">
        <v>3781</v>
      </c>
      <c r="E32" s="866" t="s">
        <v>2173</v>
      </c>
      <c r="F32" s="863"/>
    </row>
    <row r="33" spans="3:6" ht="99.9" customHeight="1">
      <c r="C33" s="861">
        <f t="shared" si="0"/>
        <v>4</v>
      </c>
      <c r="D33" s="856" t="s">
        <v>3782</v>
      </c>
      <c r="E33" s="866" t="s">
        <v>2173</v>
      </c>
      <c r="F33" s="863"/>
    </row>
    <row r="34" spans="3:6" ht="99.9" customHeight="1">
      <c r="C34" s="861">
        <f t="shared" si="0"/>
        <v>5</v>
      </c>
      <c r="D34" s="856" t="s">
        <v>3783</v>
      </c>
      <c r="E34" s="866" t="s">
        <v>2173</v>
      </c>
      <c r="F34" s="863"/>
    </row>
    <row r="35" spans="3:6" ht="99.9" customHeight="1">
      <c r="C35" s="861">
        <f t="shared" si="0"/>
        <v>6</v>
      </c>
      <c r="D35" s="856" t="s">
        <v>3784</v>
      </c>
      <c r="E35" s="866" t="s">
        <v>2173</v>
      </c>
      <c r="F35" s="863"/>
    </row>
    <row r="36" spans="3:6" ht="99.9" customHeight="1">
      <c r="C36" s="861">
        <f t="shared" si="0"/>
        <v>7</v>
      </c>
      <c r="D36" s="856" t="s">
        <v>3785</v>
      </c>
      <c r="E36" s="866" t="s">
        <v>2173</v>
      </c>
      <c r="F36" s="863"/>
    </row>
    <row r="37" spans="3:6" ht="99.9" customHeight="1">
      <c r="C37" s="861">
        <f t="shared" si="0"/>
        <v>8</v>
      </c>
      <c r="D37" s="856" t="s">
        <v>3786</v>
      </c>
      <c r="E37" s="866" t="s">
        <v>2173</v>
      </c>
      <c r="F37" s="863"/>
    </row>
    <row r="38" spans="3:6" ht="99.9" customHeight="1">
      <c r="C38" s="861">
        <f t="shared" si="0"/>
        <v>9</v>
      </c>
      <c r="D38" s="856" t="s">
        <v>3787</v>
      </c>
      <c r="E38" s="866" t="s">
        <v>2173</v>
      </c>
      <c r="F38" s="863"/>
    </row>
    <row r="39" spans="3:6" ht="99.9" customHeight="1">
      <c r="C39" s="861">
        <f t="shared" si="0"/>
        <v>10</v>
      </c>
      <c r="D39" s="856" t="s">
        <v>3788</v>
      </c>
      <c r="E39" s="866" t="s">
        <v>2172</v>
      </c>
      <c r="F39" s="863"/>
    </row>
    <row r="40" spans="3:6" ht="99.9" customHeight="1">
      <c r="C40" s="861">
        <f t="shared" si="0"/>
        <v>11</v>
      </c>
      <c r="D40" s="856" t="s">
        <v>3789</v>
      </c>
      <c r="E40" s="866" t="s">
        <v>2172</v>
      </c>
      <c r="F40" s="863"/>
    </row>
    <row r="41" spans="3:6" ht="99.9" customHeight="1">
      <c r="C41" s="861">
        <f t="shared" si="0"/>
        <v>12</v>
      </c>
      <c r="D41" s="856" t="s">
        <v>3790</v>
      </c>
      <c r="E41" s="866" t="s">
        <v>2172</v>
      </c>
      <c r="F41" s="863"/>
    </row>
    <row r="42" spans="3:6" ht="99.9" customHeight="1">
      <c r="C42" s="861">
        <f t="shared" si="0"/>
        <v>13</v>
      </c>
      <c r="D42" s="856" t="s">
        <v>3791</v>
      </c>
      <c r="E42" s="866" t="s">
        <v>2172</v>
      </c>
      <c r="F42" s="863"/>
    </row>
    <row r="43" spans="3:6" ht="99.9" customHeight="1">
      <c r="C43" s="861">
        <f t="shared" si="0"/>
        <v>14</v>
      </c>
      <c r="D43" s="856" t="s">
        <v>3792</v>
      </c>
      <c r="E43" s="866" t="s">
        <v>2172</v>
      </c>
      <c r="F43" s="863"/>
    </row>
    <row r="44" spans="3:6" ht="99.9" customHeight="1">
      <c r="C44" s="861">
        <f t="shared" si="0"/>
        <v>15</v>
      </c>
      <c r="D44" s="856" t="s">
        <v>3793</v>
      </c>
      <c r="E44" s="866" t="s">
        <v>2171</v>
      </c>
      <c r="F44" s="863"/>
    </row>
    <row r="45" spans="3:6" ht="99.9" customHeight="1">
      <c r="C45" s="861">
        <f t="shared" si="0"/>
        <v>16</v>
      </c>
      <c r="D45" s="867" t="s">
        <v>3795</v>
      </c>
      <c r="E45" s="866" t="s">
        <v>2171</v>
      </c>
      <c r="F45" s="863"/>
    </row>
    <row r="46" spans="3:6" ht="99.9" customHeight="1">
      <c r="C46" s="861">
        <f t="shared" si="0"/>
        <v>17</v>
      </c>
      <c r="D46" s="856" t="s">
        <v>3794</v>
      </c>
      <c r="E46" s="862" t="s">
        <v>3750</v>
      </c>
      <c r="F46" s="863"/>
    </row>
    <row r="47" spans="3:6" ht="99.9" customHeight="1">
      <c r="C47" s="861">
        <f t="shared" si="0"/>
        <v>18</v>
      </c>
      <c r="D47" s="856" t="str">
        <f t="shared" ref="D47:D49" si="1">"Hello! Button number "&amp;C47&amp;" at your service :-)"</f>
        <v>Hello! Button number 18 at your service :-)</v>
      </c>
      <c r="E47" s="862" t="s">
        <v>3750</v>
      </c>
      <c r="F47" s="863"/>
    </row>
    <row r="48" spans="3:6" ht="99.9" customHeight="1">
      <c r="C48" s="861">
        <f t="shared" si="0"/>
        <v>19</v>
      </c>
      <c r="D48" s="856" t="str">
        <f t="shared" si="1"/>
        <v>Hello! Button number 19 at your service :-)</v>
      </c>
      <c r="E48" s="862" t="s">
        <v>3750</v>
      </c>
      <c r="F48" s="863"/>
    </row>
    <row r="49" spans="2:14" ht="99.9" customHeight="1">
      <c r="C49" s="861">
        <f t="shared" si="0"/>
        <v>20</v>
      </c>
      <c r="D49" s="856" t="str">
        <f t="shared" si="1"/>
        <v>Hello! Button number 20 at your service :-)</v>
      </c>
      <c r="E49" s="862" t="s">
        <v>3750</v>
      </c>
      <c r="F49" s="863"/>
    </row>
    <row r="50" spans="2:14" ht="20.25" customHeight="1">
      <c r="C50" s="858" t="s">
        <v>3770</v>
      </c>
      <c r="D50" s="858" t="s">
        <v>3771</v>
      </c>
      <c r="E50" s="858" t="s">
        <v>3772</v>
      </c>
    </row>
    <row r="51" spans="2:14" s="847" customFormat="1" ht="13.8">
      <c r="B51" s="848"/>
      <c r="E51" s="849"/>
      <c r="F51" s="849"/>
      <c r="G51" s="850"/>
      <c r="H51" s="850"/>
      <c r="I51" s="850"/>
      <c r="J51" s="850"/>
      <c r="K51" s="850"/>
      <c r="L51" s="850"/>
      <c r="M51" s="850"/>
      <c r="N51" s="850"/>
    </row>
    <row r="52" spans="2:14" s="838" customFormat="1" ht="20.100000000000001" customHeight="1">
      <c r="C52" s="851" t="s">
        <v>142</v>
      </c>
      <c r="D52" s="851"/>
      <c r="E52" s="852"/>
      <c r="F52" s="851"/>
      <c r="G52" s="851"/>
      <c r="H52" s="852"/>
      <c r="I52" s="852"/>
      <c r="J52" s="851"/>
      <c r="K52" s="852"/>
      <c r="L52" s="852"/>
      <c r="M52" s="851"/>
      <c r="N52" s="852"/>
    </row>
    <row r="54" spans="2:14">
      <c r="C54" s="864" t="s">
        <v>3773</v>
      </c>
    </row>
    <row r="55" spans="2:14">
      <c r="C55" s="854" t="s">
        <v>3774</v>
      </c>
      <c r="D55" s="865">
        <v>1</v>
      </c>
    </row>
    <row r="56" spans="2:14">
      <c r="D56" s="858" t="s">
        <v>3775</v>
      </c>
    </row>
    <row r="58" spans="2:14">
      <c r="C58" s="864" t="s">
        <v>3776</v>
      </c>
    </row>
    <row r="59" spans="2:14">
      <c r="C59" s="854" t="s">
        <v>3777</v>
      </c>
      <c r="D59" s="865" t="str">
        <f>IF(InfoButtonStatus=1,InfoButtonToggleHide,InfoButtonToggleShow)</f>
        <v>Hide Info</v>
      </c>
    </row>
    <row r="60" spans="2:14">
      <c r="D60" s="858" t="s">
        <v>3778</v>
      </c>
    </row>
  </sheetData>
  <dataValidations disablePrompts="1" count="1">
    <dataValidation type="list" allowBlank="1" showInputMessage="1" showErrorMessage="1" sqref="D55">
      <formula1>"0,1"</formula1>
    </dataValidation>
  </dataValidations>
  <hyperlinks>
    <hyperlink ref="D3" r:id="rId1"/>
  </hyperlinks>
  <pageMargins left="0.7" right="0.7" top="0.75" bottom="0.75" header="0.3" footer="0.3"/>
  <pageSetup orientation="portrait" horizontalDpi="4294967292"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sheetPr>
  <dimension ref="A1:B34"/>
  <sheetViews>
    <sheetView workbookViewId="0">
      <selection activeCell="B1" sqref="B1"/>
    </sheetView>
  </sheetViews>
  <sheetFormatPr defaultRowHeight="13.8"/>
  <cols>
    <col min="1" max="1" width="34.90625" bestFit="1" customWidth="1"/>
    <col min="2" max="2" width="15.36328125" bestFit="1" customWidth="1"/>
  </cols>
  <sheetData>
    <row r="1" spans="1:2" s="65" customFormat="1">
      <c r="A1" s="65" t="s">
        <v>3797</v>
      </c>
      <c r="B1" s="65" t="s">
        <v>3798</v>
      </c>
    </row>
    <row r="2" spans="1:2">
      <c r="A2" s="11" t="s">
        <v>3799</v>
      </c>
    </row>
    <row r="3" spans="1:2">
      <c r="A3" s="11" t="s">
        <v>3800</v>
      </c>
    </row>
    <row r="4" spans="1:2">
      <c r="A4" s="11" t="s">
        <v>3801</v>
      </c>
    </row>
    <row r="5" spans="1:2">
      <c r="A5" s="11" t="s">
        <v>3802</v>
      </c>
    </row>
    <row r="6" spans="1:2">
      <c r="A6" s="11" t="s">
        <v>3803</v>
      </c>
    </row>
    <row r="7" spans="1:2">
      <c r="A7" s="11" t="s">
        <v>3804</v>
      </c>
    </row>
    <row r="8" spans="1:2">
      <c r="A8" s="11" t="s">
        <v>3805</v>
      </c>
    </row>
    <row r="9" spans="1:2">
      <c r="A9" s="11" t="s">
        <v>3806</v>
      </c>
    </row>
    <row r="10" spans="1:2">
      <c r="A10" s="11" t="s">
        <v>3807</v>
      </c>
    </row>
    <row r="11" spans="1:2">
      <c r="A11" s="11" t="s">
        <v>3808</v>
      </c>
    </row>
    <row r="12" spans="1:2">
      <c r="A12" s="11" t="s">
        <v>3809</v>
      </c>
    </row>
    <row r="13" spans="1:2">
      <c r="A13" s="11" t="s">
        <v>3810</v>
      </c>
    </row>
    <row r="14" spans="1:2">
      <c r="A14" s="11" t="s">
        <v>3811</v>
      </c>
    </row>
    <row r="15" spans="1:2">
      <c r="A15" s="11" t="s">
        <v>3812</v>
      </c>
    </row>
    <row r="16" spans="1:2">
      <c r="A16" s="11" t="s">
        <v>3665</v>
      </c>
    </row>
    <row r="17" spans="1:1">
      <c r="A17" s="225" t="s">
        <v>3666</v>
      </c>
    </row>
    <row r="18" spans="1:1">
      <c r="A18" s="225" t="s">
        <v>3667</v>
      </c>
    </row>
    <row r="19" spans="1:1">
      <c r="A19" s="11" t="s">
        <v>3668</v>
      </c>
    </row>
    <row r="20" spans="1:1">
      <c r="A20" s="225" t="s">
        <v>3669</v>
      </c>
    </row>
    <row r="21" spans="1:1">
      <c r="A21" s="225" t="s">
        <v>3670</v>
      </c>
    </row>
    <row r="22" spans="1:1">
      <c r="A22" s="225" t="s">
        <v>3671</v>
      </c>
    </row>
    <row r="23" spans="1:1">
      <c r="A23" s="225" t="s">
        <v>3672</v>
      </c>
    </row>
    <row r="24" spans="1:1">
      <c r="A24" s="225" t="s">
        <v>3673</v>
      </c>
    </row>
    <row r="25" spans="1:1">
      <c r="A25" s="225" t="s">
        <v>3674</v>
      </c>
    </row>
    <row r="26" spans="1:1">
      <c r="A26" s="225" t="s">
        <v>3675</v>
      </c>
    </row>
    <row r="27" spans="1:1">
      <c r="A27" s="225" t="s">
        <v>3676</v>
      </c>
    </row>
    <row r="28" spans="1:1">
      <c r="A28" s="225" t="s">
        <v>3679</v>
      </c>
    </row>
    <row r="29" spans="1:1">
      <c r="A29" s="225" t="s">
        <v>3680</v>
      </c>
    </row>
    <row r="30" spans="1:1">
      <c r="A30" s="225" t="s">
        <v>3678</v>
      </c>
    </row>
    <row r="31" spans="1:1">
      <c r="A31" s="225" t="s">
        <v>3664</v>
      </c>
    </row>
    <row r="32" spans="1:1">
      <c r="A32" s="225" t="s">
        <v>3681</v>
      </c>
    </row>
    <row r="33" spans="1:1">
      <c r="A33" s="225" t="s">
        <v>3813</v>
      </c>
    </row>
    <row r="34" spans="1:1">
      <c r="A34" t="s">
        <v>3677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U76"/>
  <sheetViews>
    <sheetView workbookViewId="0">
      <selection activeCell="C4" sqref="C4"/>
    </sheetView>
  </sheetViews>
  <sheetFormatPr defaultColWidth="8.81640625" defaultRowHeight="13.8"/>
  <cols>
    <col min="1" max="2" width="1.7265625" style="10" customWidth="1"/>
    <col min="3" max="3" width="24.7265625" style="10" customWidth="1"/>
    <col min="4" max="4" width="1.7265625" style="10" customWidth="1"/>
    <col min="5" max="5" width="10.7265625" style="10" customWidth="1"/>
    <col min="6" max="6" width="1.7265625" style="10" customWidth="1"/>
    <col min="7" max="7" width="10.7265625" style="10" customWidth="1"/>
    <col min="8" max="8" width="1.7265625" style="10" customWidth="1"/>
    <col min="9" max="9" width="10.7265625" style="10" customWidth="1"/>
    <col min="10" max="10" width="1.7265625" style="10" customWidth="1"/>
    <col min="11" max="11" width="10.7265625" style="10" customWidth="1"/>
    <col min="12" max="12" width="1.7265625" style="10" customWidth="1"/>
    <col min="13" max="13" width="10.7265625" style="10" customWidth="1"/>
    <col min="14" max="14" width="1.7265625" style="10" customWidth="1"/>
    <col min="15" max="15" width="10.7265625" style="10" customWidth="1"/>
    <col min="16" max="17" width="1.7265625" style="10" customWidth="1"/>
    <col min="18" max="18" width="20.7265625" style="10" customWidth="1"/>
    <col min="19" max="16384" width="8.81640625" style="10"/>
  </cols>
  <sheetData>
    <row r="1" spans="1:21" s="94" customFormat="1" ht="9.9" customHeight="1"/>
    <row r="2" spans="1:21" s="94" customFormat="1" ht="44.1" customHeight="1">
      <c r="C2" s="314" t="str">
        <f>nmProgramTitle</f>
        <v>Salesforce</v>
      </c>
      <c r="F2" s="100"/>
      <c r="G2" s="727" t="s">
        <v>43</v>
      </c>
      <c r="H2" s="728"/>
      <c r="I2" s="729">
        <f>tlInputRound</f>
        <v>1</v>
      </c>
      <c r="J2" s="100"/>
      <c r="K2" s="100"/>
      <c r="L2" s="100"/>
      <c r="M2" s="100"/>
      <c r="N2" s="100"/>
      <c r="O2" s="100"/>
      <c r="P2" s="100"/>
      <c r="Q2" s="100"/>
      <c r="R2" s="100"/>
      <c r="T2" s="98" t="s">
        <v>592</v>
      </c>
      <c r="U2" s="97" t="s">
        <v>152</v>
      </c>
    </row>
    <row r="3" spans="1:21" s="94" customFormat="1" ht="6" customHeight="1">
      <c r="C3" s="99"/>
      <c r="F3" s="100"/>
      <c r="G3" s="100"/>
      <c r="H3" s="100"/>
      <c r="I3" s="100"/>
      <c r="J3" s="100"/>
      <c r="K3" s="100"/>
      <c r="L3" s="100"/>
      <c r="M3" s="100"/>
      <c r="N3" s="100"/>
      <c r="O3" s="100"/>
      <c r="P3" s="100"/>
      <c r="Q3" s="100"/>
      <c r="R3" s="100"/>
    </row>
    <row r="4" spans="1:21" s="94" customFormat="1" ht="103.2" customHeight="1">
      <c r="C4" s="315" t="str">
        <f>nmProgramSubtitle</f>
        <v>Acquisitions For Growth</v>
      </c>
      <c r="F4" s="100"/>
      <c r="G4" s="100"/>
      <c r="H4" s="100"/>
      <c r="I4" s="100"/>
      <c r="J4" s="100"/>
      <c r="K4" s="100"/>
      <c r="L4" s="100"/>
      <c r="M4" s="100"/>
      <c r="N4" s="100"/>
      <c r="O4" s="100"/>
      <c r="P4" s="100"/>
      <c r="Q4" s="100"/>
      <c r="R4" s="100"/>
      <c r="S4"/>
      <c r="T4"/>
    </row>
    <row r="5" spans="1:21" s="94" customFormat="1" ht="21.9" customHeight="1">
      <c r="A5" s="95"/>
      <c r="B5" s="95"/>
      <c r="C5" s="318" t="str">
        <f>nmTeamNumber</f>
        <v>Team Number</v>
      </c>
      <c r="D5" s="95"/>
      <c r="E5" s="95"/>
      <c r="F5" s="101"/>
      <c r="G5" s="101"/>
      <c r="H5" s="101"/>
      <c r="I5" s="101"/>
      <c r="J5" s="101"/>
      <c r="K5" s="101"/>
      <c r="L5" s="101"/>
      <c r="M5" s="101"/>
      <c r="N5" s="101"/>
      <c r="O5" s="101"/>
      <c r="P5" s="101"/>
      <c r="Q5" s="101"/>
      <c r="R5" s="101"/>
    </row>
    <row r="6" spans="1:21" s="94" customFormat="1" ht="21.9" customHeight="1">
      <c r="A6" s="95"/>
      <c r="B6" s="95"/>
      <c r="C6" s="96">
        <v>1</v>
      </c>
      <c r="D6" s="95"/>
      <c r="E6" s="95"/>
      <c r="F6" s="101"/>
      <c r="G6" s="101"/>
      <c r="H6" s="101"/>
      <c r="I6" s="101"/>
      <c r="J6" s="101"/>
      <c r="K6" s="101"/>
      <c r="L6" s="101"/>
      <c r="M6" s="101"/>
      <c r="N6" s="101"/>
      <c r="O6" s="101"/>
      <c r="P6" s="101"/>
      <c r="Q6" s="101"/>
      <c r="R6" s="101"/>
    </row>
    <row r="7" spans="1:21" s="94" customFormat="1" ht="21.9" customHeight="1">
      <c r="A7" s="95"/>
      <c r="B7" s="95"/>
      <c r="C7" s="95"/>
      <c r="D7" s="95"/>
      <c r="E7" s="95"/>
      <c r="F7" s="101"/>
      <c r="G7" s="101"/>
      <c r="H7" s="101"/>
      <c r="I7" s="101"/>
      <c r="J7" s="101"/>
      <c r="K7" s="101"/>
      <c r="L7" s="101"/>
      <c r="M7" s="101"/>
      <c r="N7" s="101"/>
      <c r="O7" s="101"/>
      <c r="P7" s="101"/>
      <c r="Q7" s="101"/>
      <c r="R7" s="101"/>
    </row>
    <row r="8" spans="1:21" s="94" customFormat="1" ht="21.9" customHeight="1">
      <c r="A8" s="95"/>
      <c r="B8" s="95"/>
      <c r="C8" s="318" t="str">
        <f>nmTeamName</f>
        <v>Team Name</v>
      </c>
      <c r="D8" s="95"/>
      <c r="E8" s="95"/>
      <c r="F8" s="101"/>
      <c r="G8" s="101"/>
      <c r="H8" s="101"/>
      <c r="I8" s="101"/>
      <c r="J8" s="101"/>
      <c r="K8" s="101"/>
      <c r="L8" s="101"/>
      <c r="M8" s="101"/>
      <c r="N8" s="101"/>
      <c r="O8" s="101"/>
      <c r="P8" s="101"/>
      <c r="Q8" s="101"/>
      <c r="R8" s="101"/>
    </row>
    <row r="9" spans="1:21" s="94" customFormat="1" ht="21.9" customHeight="1">
      <c r="A9" s="95"/>
      <c r="B9" s="95"/>
      <c r="C9" s="317" t="s">
        <v>593</v>
      </c>
      <c r="D9" s="95"/>
      <c r="E9" s="95"/>
      <c r="F9" s="101"/>
      <c r="G9" s="101"/>
      <c r="H9" s="101"/>
      <c r="I9" s="101"/>
      <c r="J9" s="101"/>
      <c r="K9" s="101"/>
      <c r="L9" s="101"/>
      <c r="M9" s="101"/>
      <c r="N9" s="101"/>
      <c r="O9" s="101"/>
      <c r="P9" s="101"/>
      <c r="Q9" s="101"/>
      <c r="R9" s="101"/>
      <c r="T9" s="13" t="b">
        <v>0</v>
      </c>
    </row>
    <row r="10" spans="1:21" s="94" customFormat="1" ht="21.9" customHeight="1">
      <c r="A10" s="95"/>
      <c r="B10" s="95"/>
      <c r="C10" s="95"/>
      <c r="D10" s="95"/>
      <c r="E10" s="95"/>
      <c r="F10" s="101"/>
      <c r="G10" s="101"/>
      <c r="H10" s="101"/>
      <c r="I10" s="101"/>
      <c r="J10" s="101"/>
      <c r="K10" s="101"/>
      <c r="L10" s="101"/>
      <c r="M10" s="101"/>
      <c r="N10" s="101"/>
      <c r="O10" s="101"/>
      <c r="P10" s="101"/>
      <c r="Q10" s="101"/>
      <c r="R10" s="101"/>
      <c r="T10" s="13" t="b">
        <v>0</v>
      </c>
    </row>
    <row r="11" spans="1:21" s="94" customFormat="1" ht="21.9" customHeight="1">
      <c r="A11" s="95"/>
      <c r="B11" s="95"/>
      <c r="C11" s="663"/>
      <c r="D11" s="95"/>
      <c r="E11" s="95"/>
      <c r="F11" s="101"/>
      <c r="G11" s="101"/>
      <c r="H11" s="101"/>
      <c r="I11" s="101"/>
      <c r="J11" s="101"/>
      <c r="K11" s="101"/>
      <c r="L11" s="101"/>
      <c r="M11" s="101"/>
      <c r="N11" s="101"/>
      <c r="O11" s="101"/>
      <c r="P11" s="101"/>
      <c r="Q11" s="101"/>
      <c r="R11" s="101"/>
      <c r="T11" s="13" t="b">
        <v>0</v>
      </c>
    </row>
    <row r="12" spans="1:21" s="94" customFormat="1" ht="21.9" customHeight="1">
      <c r="A12" s="95"/>
      <c r="B12" s="95"/>
      <c r="C12" s="664"/>
      <c r="D12" s="95"/>
      <c r="E12" s="95"/>
      <c r="F12" s="101"/>
      <c r="G12" s="101"/>
      <c r="H12" s="101"/>
      <c r="I12" s="101"/>
      <c r="J12" s="101"/>
      <c r="K12" s="101"/>
      <c r="L12" s="101"/>
      <c r="M12" s="101"/>
      <c r="N12" s="101"/>
      <c r="O12" s="101"/>
      <c r="P12" s="101"/>
      <c r="Q12" s="101"/>
      <c r="R12" s="101"/>
      <c r="T12" s="13" t="b">
        <v>0</v>
      </c>
    </row>
    <row r="13" spans="1:21" s="94" customFormat="1" ht="21.9" customHeight="1">
      <c r="A13" s="95"/>
      <c r="B13" s="95"/>
      <c r="D13" s="95"/>
      <c r="E13" s="95"/>
      <c r="F13" s="101"/>
      <c r="G13" s="101"/>
      <c r="H13" s="101"/>
      <c r="I13" s="101"/>
      <c r="J13" s="101"/>
      <c r="K13" s="101"/>
      <c r="L13" s="101"/>
      <c r="M13" s="101"/>
      <c r="N13" s="101"/>
      <c r="O13" s="101"/>
      <c r="P13" s="101"/>
      <c r="Q13" s="101"/>
      <c r="R13" s="101"/>
      <c r="T13" s="13" t="b">
        <v>0</v>
      </c>
    </row>
    <row r="14" spans="1:21" s="94" customFormat="1" ht="21.9" customHeight="1">
      <c r="A14" s="95"/>
      <c r="B14" s="95"/>
      <c r="D14" s="95"/>
      <c r="E14" s="95"/>
      <c r="F14" s="101"/>
      <c r="G14" s="101"/>
      <c r="H14" s="101"/>
      <c r="I14" s="101"/>
      <c r="J14" s="101"/>
      <c r="K14" s="101"/>
      <c r="L14" s="101"/>
      <c r="M14" s="101"/>
      <c r="N14" s="101"/>
      <c r="O14" s="101"/>
      <c r="P14" s="101"/>
      <c r="Q14" s="101"/>
      <c r="R14" s="101"/>
      <c r="T14" s="94" t="s">
        <v>155</v>
      </c>
    </row>
    <row r="15" spans="1:21" s="94" customFormat="1" ht="9.9" customHeight="1">
      <c r="A15" s="95"/>
      <c r="B15" s="95"/>
      <c r="C15" s="95"/>
      <c r="D15" s="95"/>
      <c r="E15" s="95"/>
      <c r="F15" s="101"/>
      <c r="G15" s="101"/>
      <c r="H15" s="101"/>
      <c r="I15" s="101"/>
      <c r="J15" s="101"/>
      <c r="K15" s="101"/>
      <c r="L15" s="101"/>
      <c r="M15" s="101"/>
      <c r="N15" s="101"/>
      <c r="O15" s="101"/>
      <c r="P15" s="101"/>
      <c r="Q15" s="101"/>
      <c r="R15" s="101"/>
    </row>
    <row r="16" spans="1:21" s="93" customFormat="1" ht="21.9" customHeight="1">
      <c r="F16" s="316"/>
      <c r="G16" s="316"/>
      <c r="H16" s="316"/>
      <c r="I16" s="316"/>
      <c r="J16" s="316"/>
      <c r="K16" s="316"/>
      <c r="L16" s="316"/>
      <c r="M16" s="316"/>
      <c r="N16" s="316"/>
      <c r="O16" s="316"/>
      <c r="P16" s="316"/>
      <c r="Q16" s="316"/>
      <c r="R16" s="316"/>
    </row>
    <row r="17" s="93" customFormat="1" ht="21.9" customHeight="1"/>
    <row r="18" s="93" customFormat="1" ht="21.9" customHeight="1"/>
    <row r="19" s="94" customFormat="1" ht="21.9" customHeight="1"/>
    <row r="20" s="94" customFormat="1" ht="21.9" customHeight="1"/>
    <row r="21" s="94" customFormat="1" ht="21.9" customHeight="1"/>
    <row r="22" s="94" customFormat="1" ht="21.9" customHeight="1"/>
    <row r="23" s="94" customFormat="1" ht="21.9" customHeight="1"/>
    <row r="24" s="94" customFormat="1" ht="21.9" customHeight="1"/>
    <row r="25" s="94" customFormat="1" ht="21.9" customHeight="1"/>
    <row r="26" s="94" customFormat="1" ht="21.9" customHeight="1"/>
    <row r="27" s="94" customFormat="1"/>
    <row r="28" s="94" customFormat="1"/>
    <row r="29" s="94" customFormat="1"/>
    <row r="30" s="94" customFormat="1"/>
    <row r="31" s="94" customFormat="1"/>
    <row r="32" s="94" customFormat="1"/>
    <row r="33" s="94" customFormat="1"/>
    <row r="34" s="94" customFormat="1"/>
    <row r="35" s="94" customFormat="1"/>
    <row r="36" s="94" customFormat="1"/>
    <row r="37" s="94" customFormat="1"/>
    <row r="38" s="94" customFormat="1"/>
    <row r="39" s="94" customFormat="1"/>
    <row r="40" s="94" customFormat="1"/>
    <row r="41" s="94" customFormat="1"/>
    <row r="42" s="94" customFormat="1"/>
    <row r="43" s="94" customFormat="1"/>
    <row r="44" s="94" customFormat="1"/>
    <row r="45" s="94" customFormat="1"/>
    <row r="46" s="94" customFormat="1"/>
    <row r="47" s="94" customFormat="1"/>
    <row r="48" s="94" customFormat="1"/>
    <row r="49" s="94" customFormat="1"/>
    <row r="50" s="94" customFormat="1"/>
    <row r="51" s="94" customFormat="1"/>
    <row r="52" s="94" customFormat="1"/>
    <row r="53" s="94" customFormat="1"/>
    <row r="54" s="94" customFormat="1"/>
    <row r="55" s="94" customFormat="1"/>
    <row r="56" s="94" customFormat="1"/>
    <row r="57" s="94" customFormat="1"/>
    <row r="58" s="94" customFormat="1"/>
    <row r="59" s="94" customFormat="1"/>
    <row r="60" s="94" customFormat="1"/>
    <row r="61" s="94" customFormat="1"/>
    <row r="62" s="94" customFormat="1"/>
    <row r="63" s="94" customFormat="1"/>
    <row r="64" s="94" customFormat="1"/>
    <row r="65" s="94" customFormat="1"/>
    <row r="66" s="94" customFormat="1"/>
    <row r="67" s="94" customFormat="1"/>
    <row r="68" s="94" customFormat="1"/>
    <row r="69" s="94" customFormat="1"/>
    <row r="70" s="94" customFormat="1"/>
    <row r="71" s="94" customFormat="1"/>
    <row r="72" s="94" customFormat="1"/>
    <row r="73" s="94" customFormat="1"/>
    <row r="74" s="94" customFormat="1"/>
    <row r="75" s="94" customFormat="1"/>
    <row r="76" s="94" customFormat="1"/>
  </sheetData>
  <sheetProtection selectLockedCells="1"/>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4"/>
  </sheetPr>
  <dimension ref="B1:AA45"/>
  <sheetViews>
    <sheetView workbookViewId="0">
      <selection activeCell="D2" sqref="D2"/>
    </sheetView>
  </sheetViews>
  <sheetFormatPr defaultColWidth="8.81640625" defaultRowHeight="16.2"/>
  <cols>
    <col min="1" max="2" width="1.7265625" style="112" customWidth="1"/>
    <col min="3" max="3" width="30.453125" style="112" customWidth="1"/>
    <col min="4" max="4" width="1.7265625" style="112" customWidth="1"/>
    <col min="5" max="5" width="15.1796875" style="112" customWidth="1"/>
    <col min="6" max="6" width="3.08984375" style="112" customWidth="1"/>
    <col min="7" max="7" width="13.26953125" style="112" customWidth="1"/>
    <col min="8" max="8" width="47.08984375" style="112" customWidth="1"/>
    <col min="9" max="9" width="3.26953125" style="112" customWidth="1"/>
    <col min="10" max="12" width="8.81640625" style="112"/>
    <col min="13" max="13" width="13.453125" style="112" customWidth="1"/>
    <col min="14" max="16384" width="8.81640625" style="112"/>
  </cols>
  <sheetData>
    <row r="1" spans="2:27" s="111" customFormat="1" ht="6" customHeight="1">
      <c r="C1" s="949" t="str">
        <f>nmProgramTitle</f>
        <v>Salesforce</v>
      </c>
    </row>
    <row r="2" spans="2:27" s="111" customFormat="1" ht="25.95" customHeight="1">
      <c r="C2" s="949"/>
      <c r="E2" s="182" t="str">
        <f>nmProgramSubtitle</f>
        <v>Acquisitions For Growth</v>
      </c>
      <c r="F2" s="182"/>
      <c r="K2" s="457" t="s">
        <v>3056</v>
      </c>
      <c r="L2" s="111" t="s">
        <v>152</v>
      </c>
      <c r="U2" s="113"/>
      <c r="V2" s="111" t="s">
        <v>152</v>
      </c>
    </row>
    <row r="3" spans="2:27" s="183" customFormat="1" ht="24.6" customHeight="1">
      <c r="C3" s="455"/>
      <c r="S3" s="214"/>
    </row>
    <row r="4" spans="2:27" s="184" customFormat="1" ht="24.6" customHeight="1">
      <c r="C4" s="456"/>
      <c r="S4" s="185"/>
      <c r="X4" s="184" t="s">
        <v>413</v>
      </c>
      <c r="Y4" s="184" t="s">
        <v>414</v>
      </c>
      <c r="Z4" s="184" t="s">
        <v>415</v>
      </c>
      <c r="AA4" s="184" t="s">
        <v>416</v>
      </c>
    </row>
    <row r="5" spans="2:27" s="192" customFormat="1" ht="24" customHeight="1">
      <c r="C5" s="192" t="s">
        <v>2302</v>
      </c>
    </row>
    <row r="6" spans="2:27" s="114" customFormat="1" ht="8.4" customHeight="1"/>
    <row r="7" spans="2:27" s="187" customFormat="1" ht="21.9" customHeight="1">
      <c r="C7" s="196" t="s">
        <v>480</v>
      </c>
      <c r="D7" s="188"/>
      <c r="E7" s="188"/>
      <c r="F7" s="188"/>
      <c r="G7" s="188"/>
      <c r="H7" s="188"/>
    </row>
    <row r="8" spans="2:27" s="114" customFormat="1" ht="21.9" customHeight="1">
      <c r="C8" s="190"/>
      <c r="D8" s="189"/>
      <c r="E8" s="189"/>
    </row>
    <row r="9" spans="2:27" s="199" customFormat="1" ht="6" customHeight="1">
      <c r="C9" s="194"/>
      <c r="D9" s="194"/>
      <c r="E9" s="194"/>
      <c r="F9" s="114"/>
    </row>
    <row r="10" spans="2:27" s="199" customFormat="1" ht="18.600000000000001" customHeight="1">
      <c r="C10" s="950" t="s">
        <v>3055</v>
      </c>
      <c r="D10" s="951"/>
      <c r="E10" s="951"/>
      <c r="F10" s="951"/>
      <c r="G10" s="951"/>
      <c r="H10" s="951"/>
    </row>
    <row r="11" spans="2:27" s="199" customFormat="1" ht="18.600000000000001" customHeight="1">
      <c r="C11" s="950"/>
      <c r="D11" s="951"/>
      <c r="E11" s="951"/>
      <c r="F11" s="951"/>
      <c r="G11" s="951"/>
      <c r="H11" s="951"/>
    </row>
    <row r="12" spans="2:27" s="195" customFormat="1" ht="9.6" customHeight="1">
      <c r="C12" s="193"/>
      <c r="D12" s="194"/>
      <c r="E12" s="194"/>
      <c r="F12" s="114"/>
    </row>
    <row r="13" spans="2:27" s="187" customFormat="1" ht="19.2" customHeight="1">
      <c r="C13" s="196" t="s">
        <v>481</v>
      </c>
      <c r="D13" s="188"/>
      <c r="E13" s="188"/>
      <c r="F13" s="188"/>
      <c r="G13" s="188"/>
      <c r="H13" s="188"/>
    </row>
    <row r="14" spans="2:27" s="114" customFormat="1" ht="9" customHeight="1">
      <c r="D14" s="189"/>
      <c r="E14" s="189"/>
    </row>
    <row r="15" spans="2:27" s="114" customFormat="1" ht="21.9" customHeight="1" thickBot="1">
      <c r="C15" s="190"/>
      <c r="D15" s="189"/>
      <c r="E15" s="569" t="s">
        <v>505</v>
      </c>
      <c r="G15" s="481" t="s">
        <v>121</v>
      </c>
      <c r="H15" s="190" t="s">
        <v>3660</v>
      </c>
    </row>
    <row r="16" spans="2:27" s="189" customFormat="1" ht="16.8" thickBot="1">
      <c r="B16" s="228"/>
      <c r="C16" s="747" t="s">
        <v>1942</v>
      </c>
      <c r="E16" s="660">
        <v>0.2</v>
      </c>
      <c r="F16" s="114"/>
      <c r="G16" s="219">
        <f>RANK(tlInputV2MOMValue2Rank,tlOutputTotalRanks,0)</f>
        <v>1</v>
      </c>
      <c r="H16" s="809" t="s">
        <v>2256</v>
      </c>
      <c r="K16" s="189">
        <f>tlInputV2MOMValue2Rank</f>
        <v>0.2</v>
      </c>
    </row>
    <row r="17" spans="2:13" s="189" customFormat="1" ht="9" customHeight="1" thickBot="1">
      <c r="B17" s="459"/>
      <c r="F17" s="114"/>
      <c r="G17" s="219"/>
      <c r="K17" s="189">
        <f>tlInputV2MOMValue3Rank</f>
        <v>0.2</v>
      </c>
    </row>
    <row r="18" spans="2:13" s="189" customFormat="1" ht="16.8" thickBot="1">
      <c r="B18" s="228"/>
      <c r="C18" s="747" t="s">
        <v>470</v>
      </c>
      <c r="E18" s="660">
        <v>0.2</v>
      </c>
      <c r="F18" s="114"/>
      <c r="G18" s="219">
        <f>RANK(tlInputV2MOMValue3Rank,tlOutputTotalRanks,0)</f>
        <v>1</v>
      </c>
      <c r="H18" s="809" t="s">
        <v>2256</v>
      </c>
      <c r="K18" s="189">
        <f>tlInputV2MOMValue1Rank</f>
        <v>0.2</v>
      </c>
    </row>
    <row r="19" spans="2:13" s="189" customFormat="1" ht="9" customHeight="1" thickBot="1">
      <c r="B19" s="459"/>
      <c r="F19" s="114"/>
      <c r="G19" s="219"/>
      <c r="K19" s="189">
        <f>tlInputV2MOMValue4Rank</f>
        <v>0.2</v>
      </c>
    </row>
    <row r="20" spans="2:13" s="189" customFormat="1" ht="16.8" thickBot="1">
      <c r="B20" s="228"/>
      <c r="C20" s="747" t="s">
        <v>3050</v>
      </c>
      <c r="E20" s="660">
        <v>0.2</v>
      </c>
      <c r="F20" s="114"/>
      <c r="G20" s="219">
        <f>RANK(tlInputV2MOMValue1Rank,tlOutputTotalRanks,0)</f>
        <v>1</v>
      </c>
      <c r="H20" s="809" t="s">
        <v>2256</v>
      </c>
      <c r="K20" s="189">
        <f>tlInputV2MOMValue5Rank</f>
        <v>0.19999999999999996</v>
      </c>
    </row>
    <row r="21" spans="2:13" s="189" customFormat="1" ht="9" customHeight="1" thickBot="1">
      <c r="B21" s="459"/>
      <c r="F21" s="114"/>
      <c r="G21" s="219"/>
      <c r="K21" s="190" t="s">
        <v>3898</v>
      </c>
    </row>
    <row r="22" spans="2:13" s="189" customFormat="1" ht="16.8" thickBot="1">
      <c r="B22" s="228"/>
      <c r="C22" s="747" t="s">
        <v>1153</v>
      </c>
      <c r="E22" s="660">
        <v>0.2</v>
      </c>
      <c r="F22" s="114"/>
      <c r="G22" s="219">
        <f>RANK(tlInputV2MOMValue4Rank,tlOutputTotalRanks,0)</f>
        <v>1</v>
      </c>
      <c r="H22" s="809" t="s">
        <v>2256</v>
      </c>
    </row>
    <row r="23" spans="2:13" s="189" customFormat="1" ht="9" customHeight="1" thickBot="1">
      <c r="B23" s="459"/>
      <c r="F23" s="114"/>
    </row>
    <row r="24" spans="2:13" s="189" customFormat="1" ht="16.8" thickBot="1">
      <c r="B24" s="228"/>
      <c r="C24" s="747" t="s">
        <v>965</v>
      </c>
      <c r="E24" s="574">
        <f>1-SUM(E16:E22)</f>
        <v>0.19999999999999996</v>
      </c>
      <c r="F24" s="114"/>
      <c r="G24" s="219">
        <f>RANK(tlInputV2MOMValue5Rank,tlOutputTotalRanks,0)</f>
        <v>5</v>
      </c>
      <c r="H24" s="809" t="s">
        <v>2256</v>
      </c>
      <c r="L24" s="189" t="b">
        <f>OR(tlInputV2MOMValue5Rank&lt;10%,tlInputV2MOMValue4Rank&lt;10%,tlInputV2MOMValue1Rank&lt;10%,tlInputV2MOMValue3Rank&lt;10%,tlInputV2MOMValue2Rank&lt;10%,tlInputV2MOMValue5Rank&gt;40%)</f>
        <v>0</v>
      </c>
      <c r="M24" s="189" t="s">
        <v>3057</v>
      </c>
    </row>
    <row r="25" spans="2:13" s="189" customFormat="1" ht="9" customHeight="1">
      <c r="B25" s="459"/>
      <c r="F25" s="114"/>
    </row>
    <row r="26" spans="2:13" s="114" customFormat="1" ht="9" customHeight="1"/>
    <row r="27" spans="2:13" s="187" customFormat="1" ht="19.2" customHeight="1">
      <c r="C27" s="196" t="s">
        <v>2258</v>
      </c>
      <c r="D27" s="188"/>
      <c r="E27" s="737" t="s">
        <v>2259</v>
      </c>
      <c r="F27" s="188"/>
      <c r="G27" s="188"/>
      <c r="H27" s="188"/>
    </row>
    <row r="28" spans="2:13" s="114" customFormat="1" ht="16.8" thickBot="1"/>
    <row r="29" spans="2:13" s="114" customFormat="1" ht="27.6" customHeight="1" thickBot="1">
      <c r="B29" s="738" t="s">
        <v>483</v>
      </c>
      <c r="C29" s="952" t="s">
        <v>2260</v>
      </c>
      <c r="D29" s="953"/>
      <c r="E29" s="953"/>
      <c r="F29" s="953"/>
      <c r="G29" s="953"/>
      <c r="H29" s="954"/>
    </row>
    <row r="30" spans="2:13" s="114" customFormat="1" ht="16.8" thickBot="1">
      <c r="B30" s="739"/>
    </row>
    <row r="31" spans="2:13" s="114" customFormat="1" ht="27.6" customHeight="1" thickBot="1">
      <c r="B31" s="738" t="s">
        <v>484</v>
      </c>
      <c r="C31" s="952" t="s">
        <v>2260</v>
      </c>
      <c r="D31" s="953"/>
      <c r="E31" s="953"/>
      <c r="F31" s="953"/>
      <c r="G31" s="953"/>
      <c r="H31" s="954"/>
    </row>
    <row r="32" spans="2:13" s="114" customFormat="1" ht="16.8" thickBot="1">
      <c r="B32" s="739"/>
      <c r="L32" s="189"/>
      <c r="M32" s="189"/>
    </row>
    <row r="33" spans="2:13" s="114" customFormat="1" ht="27.6" customHeight="1" thickBot="1">
      <c r="B33" s="738" t="s">
        <v>485</v>
      </c>
      <c r="C33" s="952" t="s">
        <v>2260</v>
      </c>
      <c r="D33" s="953"/>
      <c r="E33" s="953"/>
      <c r="F33" s="953"/>
      <c r="G33" s="953"/>
      <c r="H33" s="954"/>
      <c r="L33" s="189"/>
      <c r="M33" s="189"/>
    </row>
    <row r="34" spans="2:13" s="114" customFormat="1">
      <c r="L34" s="189"/>
      <c r="M34" s="189"/>
    </row>
    <row r="35" spans="2:13" s="114" customFormat="1">
      <c r="L35" s="189"/>
      <c r="M35" s="189"/>
    </row>
    <row r="36" spans="2:13" s="114" customFormat="1">
      <c r="L36" s="189"/>
      <c r="M36" s="189"/>
    </row>
    <row r="37" spans="2:13" s="114" customFormat="1"/>
    <row r="38" spans="2:13" s="114" customFormat="1"/>
    <row r="39" spans="2:13" s="114" customFormat="1"/>
    <row r="40" spans="2:13" s="114" customFormat="1"/>
    <row r="41" spans="2:13" s="114" customFormat="1"/>
    <row r="42" spans="2:13" s="114" customFormat="1"/>
    <row r="43" spans="2:13" s="114" customFormat="1">
      <c r="L43" s="114" t="b">
        <v>0</v>
      </c>
      <c r="M43" s="114" t="s">
        <v>2269</v>
      </c>
    </row>
    <row r="44" spans="2:13" s="114" customFormat="1"/>
    <row r="45" spans="2:13" s="114" customFormat="1"/>
  </sheetData>
  <sheetProtection selectLockedCells="1"/>
  <mergeCells count="5">
    <mergeCell ref="C1:C2"/>
    <mergeCell ref="C10:H11"/>
    <mergeCell ref="C33:H33"/>
    <mergeCell ref="C31:H31"/>
    <mergeCell ref="C29:H29"/>
  </mergeCells>
  <conditionalFormatting sqref="E24">
    <cfRule type="expression" dxfId="320" priority="1">
      <formula>$E$24&lt;15%</formula>
    </cfRule>
  </conditionalFormatting>
  <dataValidations disablePrompts="1" count="4">
    <dataValidation type="list" allowBlank="1" showInputMessage="1" showErrorMessage="1" sqref="C20 C16 C18">
      <formula1>INDIRECT(DataValuesAvail)</formula1>
    </dataValidation>
    <dataValidation type="list" allowBlank="1" showInputMessage="1" showErrorMessage="1" sqref="C22 C24">
      <formula1>$M$32:$M$36</formula1>
    </dataValidation>
    <dataValidation type="decimal" allowBlank="1" showInputMessage="1" showErrorMessage="1" sqref="E16:E23">
      <formula1>0.1</formula1>
      <formula2>0.4</formula2>
    </dataValidation>
    <dataValidation type="decimal" allowBlank="1" showInputMessage="1" showErrorMessage="1" sqref="E24">
      <formula1>0.15</formula1>
      <formula2>0.4</formula2>
    </dataValidation>
  </dataValidations>
  <pageMargins left="0.7" right="0.7" top="0.75" bottom="0.75" header="0.3" footer="0.3"/>
  <pageSetup paperSize="9" orientation="portrait" r:id="rId1"/>
  <ignoredErrors>
    <ignoredError sqref="B17 B19 B23" numberStoredAsText="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4"/>
  </sheetPr>
  <dimension ref="A1:AM279"/>
  <sheetViews>
    <sheetView workbookViewId="0">
      <selection activeCell="G12" sqref="G12"/>
    </sheetView>
  </sheetViews>
  <sheetFormatPr defaultColWidth="8.81640625" defaultRowHeight="16.2"/>
  <cols>
    <col min="1" max="2" width="1.7265625" style="112" customWidth="1"/>
    <col min="3" max="3" width="30.453125" style="112" customWidth="1"/>
    <col min="4" max="4" width="1.7265625" style="112" customWidth="1"/>
    <col min="5" max="5" width="12.453125" style="112" customWidth="1"/>
    <col min="6" max="6" width="1.7265625" style="112" customWidth="1"/>
    <col min="7" max="7" width="11.90625" style="112" customWidth="1"/>
    <col min="8" max="8" width="1.7265625" style="112" customWidth="1"/>
    <col min="9" max="9" width="12.36328125" style="112" bestFit="1" customWidth="1"/>
    <col min="10" max="10" width="1.7265625" style="112" customWidth="1"/>
    <col min="11" max="11" width="11.90625" style="112" customWidth="1"/>
    <col min="12" max="12" width="1.7265625" style="112" customWidth="1"/>
    <col min="13" max="13" width="11.90625" style="112" customWidth="1"/>
    <col min="14" max="14" width="1.7265625" style="112" customWidth="1"/>
    <col min="15" max="15" width="11.81640625" style="112" customWidth="1"/>
    <col min="16" max="17" width="1.7265625" style="112" customWidth="1"/>
    <col min="18" max="18" width="11.81640625" style="112" customWidth="1"/>
    <col min="19" max="19" width="5.6328125" style="112" customWidth="1"/>
    <col min="20" max="20" width="11.81640625" style="112" customWidth="1"/>
    <col min="21" max="21" width="5.90625" style="112" customWidth="1"/>
    <col min="22" max="22" width="8.90625" style="112" bestFit="1" customWidth="1"/>
    <col min="23" max="25" width="8.81640625" style="112"/>
    <col min="26" max="26" width="12.453125" style="112" bestFit="1" customWidth="1"/>
    <col min="27" max="27" width="8.81640625" style="112"/>
    <col min="28" max="28" width="12.453125" style="112" bestFit="1" customWidth="1"/>
    <col min="29" max="29" width="8.81640625" style="112"/>
    <col min="30" max="30" width="12.453125" style="112" bestFit="1" customWidth="1"/>
    <col min="31" max="31" width="8.81640625" style="112"/>
    <col min="32" max="32" width="12.453125" style="112" bestFit="1" customWidth="1"/>
    <col min="33" max="33" width="8.81640625" style="112"/>
    <col min="34" max="34" width="14.90625" style="112" bestFit="1" customWidth="1"/>
    <col min="35" max="35" width="8.81640625" style="112"/>
    <col min="36" max="37" width="13.7265625" style="112" bestFit="1" customWidth="1"/>
    <col min="38" max="16384" width="8.81640625" style="112"/>
  </cols>
  <sheetData>
    <row r="1" spans="1:39" s="111" customFormat="1" ht="6" customHeight="1">
      <c r="C1" s="949"/>
    </row>
    <row r="2" spans="1:39" s="111" customFormat="1" ht="25.95" customHeight="1">
      <c r="C2" s="949"/>
      <c r="E2" s="182"/>
      <c r="I2" s="95"/>
      <c r="K2" s="671"/>
      <c r="O2" s="796"/>
      <c r="V2" s="113" t="s">
        <v>3021</v>
      </c>
      <c r="W2" s="111" t="s">
        <v>152</v>
      </c>
    </row>
    <row r="3" spans="1:39" s="770" customFormat="1" ht="21" customHeight="1">
      <c r="A3" s="768"/>
      <c r="B3" s="768"/>
      <c r="C3" s="781" t="str">
        <f>DB_Dashboard1</f>
        <v>Financial Scorecard: Y5 Revenue0498050988.5917920CAGR00.3855958201441540Y1 Operating Margin0-0.19</v>
      </c>
      <c r="D3" s="768"/>
      <c r="E3" s="768"/>
      <c r="F3" s="768"/>
      <c r="G3" s="769"/>
      <c r="H3" s="768"/>
      <c r="I3" s="768"/>
      <c r="J3" s="768"/>
      <c r="K3" s="795"/>
      <c r="L3" s="768"/>
      <c r="M3" s="768"/>
    </row>
    <row r="4" spans="1:39" s="768" customFormat="1" ht="21" customHeight="1">
      <c r="C4" s="782" t="str">
        <f>DB_Dashboard2</f>
        <v>Non-Financial Scorecard: CSat0500Employee Engagement0500Trust050</v>
      </c>
    </row>
    <row r="5" spans="1:39" s="768" customFormat="1" ht="21" customHeight="1">
      <c r="C5" s="783" t="str">
        <f>DB_Dashboard1Y2</f>
        <v>Disruption &amp; Budget: Disruption00.50Y1 Budget Left0250000000Y2 Budget Left010000000</v>
      </c>
    </row>
    <row r="6" spans="1:39" s="192" customFormat="1" ht="24" customHeight="1">
      <c r="C6" s="192" t="s">
        <v>404</v>
      </c>
    </row>
    <row r="7" spans="1:39" s="114" customFormat="1" ht="8.4" customHeight="1"/>
    <row r="8" spans="1:39" s="114" customFormat="1" ht="21.9" customHeight="1" thickBot="1">
      <c r="C8" s="189"/>
      <c r="D8" s="189"/>
      <c r="E8" s="602" t="s">
        <v>1941</v>
      </c>
      <c r="F8" s="189"/>
      <c r="G8" s="609"/>
      <c r="H8" s="189"/>
      <c r="I8" s="189"/>
      <c r="J8" s="189"/>
      <c r="K8" s="189"/>
      <c r="L8" s="189"/>
      <c r="M8" s="189"/>
      <c r="N8" s="189"/>
      <c r="O8" s="602" t="s">
        <v>1282</v>
      </c>
      <c r="Y8" s="114">
        <v>3</v>
      </c>
      <c r="Z8" s="114">
        <v>6</v>
      </c>
      <c r="AA8" s="114">
        <v>9</v>
      </c>
      <c r="AB8" s="114">
        <v>12</v>
      </c>
    </row>
    <row r="9" spans="1:39" s="114" customFormat="1" ht="19.2" customHeight="1" thickTop="1" thickBot="1">
      <c r="C9" s="740" t="s">
        <v>3078</v>
      </c>
      <c r="D9" s="189"/>
      <c r="E9" s="445" t="s">
        <v>1665</v>
      </c>
      <c r="F9" s="189"/>
      <c r="G9" s="610"/>
      <c r="H9" s="189"/>
      <c r="J9" s="189"/>
      <c r="L9" s="189"/>
      <c r="M9" s="189"/>
      <c r="N9" s="189"/>
      <c r="O9" s="189"/>
      <c r="U9" s="187"/>
    </row>
    <row r="10" spans="1:39" s="114" customFormat="1" ht="9.6" customHeight="1" thickTop="1">
      <c r="C10" s="189"/>
      <c r="D10" s="189"/>
      <c r="E10" s="189"/>
      <c r="F10" s="189"/>
      <c r="G10" s="189"/>
      <c r="H10" s="189"/>
      <c r="I10" s="189"/>
      <c r="J10" s="189"/>
      <c r="K10" s="189"/>
      <c r="L10" s="189"/>
      <c r="M10" s="189"/>
      <c r="N10" s="189"/>
      <c r="O10" s="189"/>
    </row>
    <row r="11" spans="1:39" s="114" customFormat="1" ht="12.6" customHeight="1" thickBot="1">
      <c r="C11" s="741" t="s">
        <v>2149</v>
      </c>
      <c r="D11" s="189"/>
      <c r="E11" s="602" t="s">
        <v>1654</v>
      </c>
      <c r="F11" s="189"/>
      <c r="G11" s="189"/>
      <c r="H11" s="189"/>
      <c r="I11" s="602" t="s">
        <v>1654</v>
      </c>
      <c r="J11" s="189"/>
      <c r="K11" s="189"/>
      <c r="L11" s="189"/>
      <c r="M11" s="189"/>
      <c r="N11" s="189"/>
      <c r="O11" s="189"/>
    </row>
    <row r="12" spans="1:39" s="114" customFormat="1" ht="19.2" customHeight="1" thickTop="1" thickBot="1">
      <c r="C12" s="533" t="s">
        <v>1283</v>
      </c>
      <c r="D12" s="189"/>
      <c r="E12" s="440">
        <v>0</v>
      </c>
      <c r="F12" s="189"/>
      <c r="G12" s="533" t="s">
        <v>1289</v>
      </c>
      <c r="H12" s="189"/>
      <c r="I12" s="440">
        <v>0</v>
      </c>
      <c r="J12" s="189"/>
      <c r="L12" s="189"/>
      <c r="M12" s="230"/>
      <c r="N12" s="189"/>
      <c r="O12" s="189"/>
    </row>
    <row r="13" spans="1:39" s="114" customFormat="1" ht="12.6" customHeight="1" thickTop="1">
      <c r="U13" s="195"/>
    </row>
    <row r="14" spans="1:39" s="114" customFormat="1">
      <c r="C14" s="735" t="s">
        <v>2198</v>
      </c>
      <c r="E14" s="748">
        <f>INDEX(calcKeyHarmExp,,xxIndexTeam)</f>
        <v>0</v>
      </c>
      <c r="I14" s="484">
        <f>INDEX(calcNonKeyHarmExp,,xxIndexTeam)</f>
        <v>0</v>
      </c>
      <c r="U14" s="592"/>
    </row>
    <row r="15" spans="1:39" s="114" customFormat="1">
      <c r="C15" s="483"/>
      <c r="U15" s="587"/>
    </row>
    <row r="16" spans="1:39" s="489" customFormat="1" ht="21.9" customHeight="1" thickBot="1">
      <c r="A16" s="187"/>
      <c r="B16" s="187"/>
      <c r="C16" s="666" t="s">
        <v>462</v>
      </c>
      <c r="D16" s="195"/>
      <c r="E16" s="592" t="s">
        <v>405</v>
      </c>
      <c r="F16" s="195"/>
      <c r="G16" s="195" t="s">
        <v>899</v>
      </c>
      <c r="H16" s="195"/>
      <c r="I16" s="195" t="s">
        <v>900</v>
      </c>
      <c r="J16" s="195"/>
      <c r="K16" s="195" t="s">
        <v>901</v>
      </c>
      <c r="L16" s="195"/>
      <c r="M16" s="195" t="s">
        <v>902</v>
      </c>
      <c r="N16" s="195"/>
      <c r="O16" s="592" t="s">
        <v>1278</v>
      </c>
      <c r="P16" s="195"/>
      <c r="Q16" s="187"/>
      <c r="R16" s="592" t="s">
        <v>1279</v>
      </c>
      <c r="S16" s="187"/>
      <c r="T16" s="592" t="s">
        <v>2413</v>
      </c>
      <c r="U16" s="491"/>
      <c r="V16" s="490"/>
      <c r="Z16" s="195" t="s">
        <v>899</v>
      </c>
      <c r="AA16" s="195"/>
      <c r="AB16" s="195" t="s">
        <v>900</v>
      </c>
      <c r="AC16" s="195"/>
      <c r="AD16" s="195" t="s">
        <v>901</v>
      </c>
      <c r="AE16" s="195"/>
      <c r="AF16" s="195" t="s">
        <v>902</v>
      </c>
      <c r="AH16" s="592" t="s">
        <v>1278</v>
      </c>
      <c r="AI16" s="195"/>
      <c r="AJ16" s="187"/>
      <c r="AK16" s="592" t="s">
        <v>1279</v>
      </c>
      <c r="AM16" s="592" t="s">
        <v>2413</v>
      </c>
    </row>
    <row r="17" spans="1:39" s="489" customFormat="1" ht="21.9" customHeight="1" thickTop="1" thickBot="1">
      <c r="A17" s="187"/>
      <c r="B17" s="187"/>
      <c r="C17" s="667" t="s">
        <v>1938</v>
      </c>
      <c r="D17" s="654"/>
      <c r="E17" s="655">
        <f>SUM(Data!$H$276:$K$276)</f>
        <v>51666666.666666672</v>
      </c>
      <c r="F17" s="821"/>
      <c r="G17" s="657">
        <f>INDEX(calcQ1RevenueY1Q1,,xxIndexTeam)*4</f>
        <v>9375000</v>
      </c>
      <c r="H17" s="821"/>
      <c r="I17" s="657">
        <f>INDEX(calcQ2RevenueY1Q2,,xxIndexTeam)*4</f>
        <v>11458333.333333332</v>
      </c>
      <c r="J17" s="821"/>
      <c r="K17" s="657">
        <f>INDEX(calcQ3RevenueY1Q3,,xxIndexTeam)*4</f>
        <v>17708333.333333336</v>
      </c>
      <c r="L17" s="821"/>
      <c r="M17" s="657">
        <f>INDEX(calcQ4RevenueY1Q4,,xxIndexTeam)*4</f>
        <v>26041666.666666664</v>
      </c>
      <c r="N17" s="821"/>
      <c r="O17" s="668">
        <f>SUM(G17:M17)</f>
        <v>64583333.333333336</v>
      </c>
      <c r="P17" s="821"/>
      <c r="Q17" s="654"/>
      <c r="R17" s="668">
        <f>INDEX(calcY2Q1RevenueY2Q1,,xxIndexTeam)*4+INDEX(calcY2Q2RevenueY2Q2,,xxIndexTeam)*4+INDEX(calcY2Q3RevenueY2Q3,,xxIndexTeam)*4+INDEX(calcY2Q4RevenueY2Q4,,xxIndexTeam)*4</f>
        <v>80729166.666666657</v>
      </c>
      <c r="S17" s="654"/>
      <c r="T17" s="669">
        <f>INDEX(calcY5Q1RevenueY5Q1,,xxIndexTeam)*4+INDEX(calcY5Q2RevenueY5Q2,,xxIndexTeam)*4+INDEX(calcY5Q3RevenueY5Q3,,xxIndexTeam)*4+INDEX(calcY5Q4RevenueY5Q4,,xxIndexTeam)*4</f>
        <v>100235351.5625</v>
      </c>
      <c r="U17" s="491"/>
      <c r="V17" s="490"/>
      <c r="Z17" s="587">
        <v>9375000</v>
      </c>
      <c r="AA17" s="587"/>
      <c r="AB17" s="587">
        <v>11458333.333333332</v>
      </c>
      <c r="AC17" s="587"/>
      <c r="AD17" s="587">
        <v>17708333.333333336</v>
      </c>
      <c r="AE17" s="587"/>
      <c r="AF17" s="587">
        <v>26041666.666666664</v>
      </c>
      <c r="AG17" s="587"/>
      <c r="AH17" s="608">
        <v>64583333.333333336</v>
      </c>
      <c r="AI17" s="195"/>
      <c r="AJ17" s="195"/>
      <c r="AK17" s="608">
        <v>80729166.666666657</v>
      </c>
      <c r="AM17" s="608">
        <v>100235351.5625</v>
      </c>
    </row>
    <row r="18" spans="1:39" s="489" customFormat="1" ht="21.9" customHeight="1" thickTop="1">
      <c r="A18" s="187"/>
      <c r="B18" s="187"/>
      <c r="C18" s="187" t="s">
        <v>140</v>
      </c>
      <c r="D18" s="820"/>
      <c r="E18" s="517">
        <f>INDEX(obalTargetRev,,xxIndexTeam)</f>
        <v>97519391.714228541</v>
      </c>
      <c r="F18" s="822"/>
      <c r="G18" s="724">
        <f>INDEX(finQ1Rev,,xxIndexTeam)</f>
        <v>30955843.466136772</v>
      </c>
      <c r="H18" s="822"/>
      <c r="I18" s="724">
        <f>INDEX(finQ2Rev,,xxIndexTeam)</f>
        <v>33831624.25685782</v>
      </c>
      <c r="J18" s="822"/>
      <c r="K18" s="724">
        <f>INDEX(finQ3Rev,,xxIndexTeam)</f>
        <v>38275308.995502166</v>
      </c>
      <c r="L18" s="822"/>
      <c r="M18" s="724">
        <f>INDEX(finQ4Rev,,xxIndexTeam)</f>
        <v>44809163.697226644</v>
      </c>
      <c r="N18" s="822"/>
      <c r="O18" s="518">
        <f>INDEX(FinAnnualRev,,xxIndexTeam)</f>
        <v>147871940.41572341</v>
      </c>
      <c r="P18" s="822"/>
      <c r="Q18" s="187"/>
      <c r="R18" s="518">
        <f>INDEX(FinY2AnnualRev,,xxIndexTeam)</f>
        <v>221091472.98381251</v>
      </c>
      <c r="S18" s="187"/>
      <c r="T18" s="518">
        <f>INDEX(FinY5AnnualRev,,xxIndexTeam)</f>
        <v>498050988.59179169</v>
      </c>
      <c r="U18" s="491"/>
      <c r="V18" s="490" t="b">
        <v>0</v>
      </c>
      <c r="Z18" s="516">
        <v>30955843.466136772</v>
      </c>
      <c r="AA18" s="516"/>
      <c r="AB18" s="516">
        <v>33831624.25685782</v>
      </c>
      <c r="AC18" s="516"/>
      <c r="AD18" s="516">
        <v>38275308.995502166</v>
      </c>
      <c r="AE18" s="516"/>
      <c r="AF18" s="516">
        <v>44809163.697226644</v>
      </c>
      <c r="AG18" s="491"/>
      <c r="AH18" s="518">
        <v>147871940.41572341</v>
      </c>
      <c r="AI18" s="187"/>
      <c r="AJ18" s="187"/>
      <c r="AK18" s="518">
        <v>221091472.98381251</v>
      </c>
      <c r="AM18" s="518">
        <v>498050988.59179169</v>
      </c>
    </row>
    <row r="19" spans="1:39" s="489" customFormat="1" ht="5.4" customHeight="1">
      <c r="A19" s="187"/>
      <c r="B19" s="187"/>
      <c r="C19" s="187"/>
      <c r="D19" s="195"/>
      <c r="E19" s="519"/>
      <c r="F19" s="822"/>
      <c r="G19" s="587"/>
      <c r="H19" s="822"/>
      <c r="I19" s="587"/>
      <c r="J19" s="822"/>
      <c r="K19" s="587"/>
      <c r="L19" s="822"/>
      <c r="M19" s="587"/>
      <c r="N19" s="822"/>
      <c r="O19" s="606"/>
      <c r="P19" s="822"/>
      <c r="Q19" s="187"/>
      <c r="R19" s="606"/>
      <c r="S19" s="187"/>
      <c r="T19" s="606"/>
      <c r="U19" s="495"/>
      <c r="V19" s="490" t="b">
        <v>0</v>
      </c>
      <c r="Z19" s="491"/>
      <c r="AA19" s="491"/>
      <c r="AB19" s="491"/>
      <c r="AC19" s="491"/>
      <c r="AD19" s="491"/>
      <c r="AE19" s="491"/>
      <c r="AF19" s="491"/>
      <c r="AG19" s="491"/>
      <c r="AH19" s="606"/>
      <c r="AI19" s="187"/>
      <c r="AJ19" s="187"/>
      <c r="AK19" s="606"/>
      <c r="AM19" s="606"/>
    </row>
    <row r="20" spans="1:39" s="492" customFormat="1" ht="21.9" customHeight="1">
      <c r="A20" s="463"/>
      <c r="B20" s="463"/>
      <c r="C20" s="187" t="s">
        <v>237</v>
      </c>
      <c r="D20" s="463"/>
      <c r="E20" s="521">
        <f>tlOutputTimelineY0Revenue-tlOutputTimelineY0COGs</f>
        <v>78015513.371382833</v>
      </c>
      <c r="F20" s="506"/>
      <c r="G20" s="516">
        <f>tlOutputTimelineQ1Revenue-tlOutputTimelineQ1COGs</f>
        <v>24764674.772909418</v>
      </c>
      <c r="H20" s="516"/>
      <c r="I20" s="516">
        <f>tlOutputTimelineQ2Revenue-tlOutputTimelineQ2COGs</f>
        <v>27065299.405486256</v>
      </c>
      <c r="J20" s="516"/>
      <c r="K20" s="516">
        <f>tlOutputTimelineQ3Revenue-tlOutputTimelineQ3COGs</f>
        <v>30620247.196401734</v>
      </c>
      <c r="L20" s="516"/>
      <c r="M20" s="516">
        <f>tlOutputTimelineQ4Revenue-tlOutputTimelineQ4COGs</f>
        <v>35847330.957781315</v>
      </c>
      <c r="N20" s="491"/>
      <c r="O20" s="518">
        <f>tlOutputTimelineY1Revenue-tlOutputTimelineY1COGs</f>
        <v>118297552.33257873</v>
      </c>
      <c r="P20" s="187"/>
      <c r="Q20" s="187"/>
      <c r="R20" s="518">
        <f>tlOutputTimelineY2Revenue-tlOutputTimelineY2COGs</f>
        <v>176873178.38705003</v>
      </c>
      <c r="S20" s="187"/>
      <c r="T20" s="518">
        <f>tlOutputTimelineY5Revenue-tlOutputTimelineY5COGs</f>
        <v>398440790.87343335</v>
      </c>
      <c r="U20" s="491"/>
      <c r="V20" s="490" t="b">
        <v>0</v>
      </c>
      <c r="Z20" s="516">
        <v>24764674.772909418</v>
      </c>
      <c r="AA20" s="516"/>
      <c r="AB20" s="516">
        <v>27065299.405486256</v>
      </c>
      <c r="AC20" s="516"/>
      <c r="AD20" s="516">
        <v>30620247.196401734</v>
      </c>
      <c r="AE20" s="516"/>
      <c r="AF20" s="516">
        <v>35847330.957781315</v>
      </c>
      <c r="AG20" s="491"/>
      <c r="AH20" s="518">
        <v>118297552.33257873</v>
      </c>
      <c r="AI20" s="187"/>
      <c r="AJ20" s="187"/>
      <c r="AK20" s="518">
        <v>176873178.38705003</v>
      </c>
      <c r="AM20" s="518">
        <v>398440790.87343335</v>
      </c>
    </row>
    <row r="21" spans="1:39" s="496" customFormat="1" ht="18.600000000000001" customHeight="1">
      <c r="A21" s="493"/>
      <c r="B21" s="493"/>
      <c r="C21" s="494" t="s">
        <v>239</v>
      </c>
      <c r="D21" s="195"/>
      <c r="E21" s="520">
        <f>E20/E18</f>
        <v>0.8</v>
      </c>
      <c r="F21" s="823"/>
      <c r="G21" s="495">
        <f>G20/G18</f>
        <v>0.8</v>
      </c>
      <c r="H21" s="823"/>
      <c r="I21" s="495">
        <f>I20/I18</f>
        <v>0.8</v>
      </c>
      <c r="J21" s="823"/>
      <c r="K21" s="495">
        <f>K20/K18</f>
        <v>0.8</v>
      </c>
      <c r="L21" s="823"/>
      <c r="M21" s="495">
        <f>M20/M18</f>
        <v>0.8</v>
      </c>
      <c r="N21" s="823"/>
      <c r="O21" s="607">
        <f>O20/O18</f>
        <v>0.8</v>
      </c>
      <c r="P21" s="823"/>
      <c r="Q21" s="493"/>
      <c r="R21" s="607">
        <f>R20/R18</f>
        <v>0.80000000000000016</v>
      </c>
      <c r="S21" s="493"/>
      <c r="T21" s="607">
        <f>T20/T18</f>
        <v>0.8</v>
      </c>
      <c r="U21" s="587"/>
      <c r="V21" s="490" t="b">
        <v>0</v>
      </c>
      <c r="Z21" s="495">
        <v>0.8</v>
      </c>
      <c r="AA21" s="495"/>
      <c r="AB21" s="495">
        <v>0.8</v>
      </c>
      <c r="AC21" s="495"/>
      <c r="AD21" s="495">
        <v>0.8</v>
      </c>
      <c r="AE21" s="495"/>
      <c r="AF21" s="495">
        <v>0.8</v>
      </c>
      <c r="AG21" s="495"/>
      <c r="AH21" s="607">
        <v>0.8</v>
      </c>
      <c r="AI21" s="493"/>
      <c r="AJ21" s="493"/>
      <c r="AK21" s="607">
        <v>0.80000000000000016</v>
      </c>
      <c r="AM21" s="607">
        <v>0.8</v>
      </c>
    </row>
    <row r="22" spans="1:39" s="489" customFormat="1" ht="21.9" customHeight="1">
      <c r="A22" s="187"/>
      <c r="B22" s="187"/>
      <c r="C22" s="605" t="s">
        <v>425</v>
      </c>
      <c r="D22" s="195"/>
      <c r="E22" s="589">
        <f>tlOutputTimelineQ1MSExp+tlOutputTimelineQ1RDExp+tlOutputTimelineQ1GAExp</f>
        <v>30646285.031475402</v>
      </c>
      <c r="F22" s="586"/>
      <c r="G22" s="590">
        <f>tlOutputTimelineQ1MSExp+tlOutputTimelineQ1RDExp+tlOutputTimelineQ1GAExp</f>
        <v>30646285.031475402</v>
      </c>
      <c r="H22" s="590"/>
      <c r="I22" s="590">
        <f>tlOutputTimelineQ2MSExp+tlOutputTimelineQ2RDExp+tlOutputTimelineQ2GAExp</f>
        <v>33493308.014289245</v>
      </c>
      <c r="J22" s="590"/>
      <c r="K22" s="590">
        <f>tlOutputTimelineQ3MSExp+tlOutputTimelineQ3RDExp+tlOutputTimelineQ3GAExp</f>
        <v>37892555.905547149</v>
      </c>
      <c r="L22" s="590"/>
      <c r="M22" s="590">
        <f>tlOutputTimelineQ4MSExp+tlOutputTimelineQ4RDExp+tlOutputTimelineQ4GAExp</f>
        <v>44361072.06025438</v>
      </c>
      <c r="N22" s="587"/>
      <c r="O22" s="604">
        <f>tlOutputTimelineY1MSExp+tlOutputTimelineY1RDExp+tlOutputTimelineY1GAExp</f>
        <v>146393221.01156616</v>
      </c>
      <c r="P22" s="195"/>
      <c r="Q22" s="195"/>
      <c r="R22" s="604">
        <f>tlOutputTimelineY2MSExp+tlOutputTimelineY2RDExp+tlOutputTimelineY2GAExp</f>
        <v>215246846.85739619</v>
      </c>
      <c r="S22" s="195"/>
      <c r="T22" s="604">
        <f>tlOutputTimelineY5MSExp+tlOutputTimelineY5RDExp+tlOutputTimelineY5GAExp</f>
        <v>376681982.00044328</v>
      </c>
      <c r="U22" s="587"/>
      <c r="V22" s="497" t="b">
        <v>0</v>
      </c>
      <c r="Z22" s="590">
        <v>30646285.031475402</v>
      </c>
      <c r="AA22" s="590"/>
      <c r="AB22" s="590">
        <v>33493308.014289245</v>
      </c>
      <c r="AC22" s="590"/>
      <c r="AD22" s="590">
        <v>37892555.905547149</v>
      </c>
      <c r="AE22" s="590"/>
      <c r="AF22" s="590">
        <v>44361072.06025438</v>
      </c>
      <c r="AG22" s="587"/>
      <c r="AH22" s="604">
        <v>146393221.01156616</v>
      </c>
      <c r="AI22" s="195"/>
      <c r="AJ22" s="195"/>
      <c r="AK22" s="604">
        <v>215246846.85739619</v>
      </c>
      <c r="AM22" s="604">
        <v>457652600.97722107</v>
      </c>
    </row>
    <row r="23" spans="1:39" s="492" customFormat="1" ht="21.9" customHeight="1">
      <c r="A23" s="463"/>
      <c r="B23" s="463"/>
      <c r="C23" s="603" t="s">
        <v>426</v>
      </c>
      <c r="D23" s="195"/>
      <c r="E23" s="585">
        <f>INDEX(obalTargetStandaloneOpProf,,xxIndexTeam)</f>
        <v>-18528684.425703421</v>
      </c>
      <c r="F23" s="825"/>
      <c r="G23" s="587">
        <f>G20-G22</f>
        <v>-5881610.2585659847</v>
      </c>
      <c r="H23" s="825"/>
      <c r="I23" s="587">
        <f>I20-I22</f>
        <v>-6428008.6088029891</v>
      </c>
      <c r="J23" s="825"/>
      <c r="K23" s="587">
        <f>K20-K22</f>
        <v>-7272308.7091454156</v>
      </c>
      <c r="L23" s="825"/>
      <c r="M23" s="587">
        <f>M20-M22</f>
        <v>-8513741.1024730653</v>
      </c>
      <c r="N23" s="825"/>
      <c r="O23" s="608">
        <f>O20-O22</f>
        <v>-28095668.678987429</v>
      </c>
      <c r="P23" s="825"/>
      <c r="Q23" s="195"/>
      <c r="R23" s="608">
        <f>R20-R22</f>
        <v>-38373668.470346153</v>
      </c>
      <c r="S23" s="195"/>
      <c r="T23" s="608">
        <f>T20-T22</f>
        <v>21758808.872990072</v>
      </c>
      <c r="U23" s="764"/>
      <c r="V23" s="490" t="b">
        <v>0</v>
      </c>
      <c r="Z23" s="587">
        <v>-5881610.2585659847</v>
      </c>
      <c r="AA23" s="587"/>
      <c r="AB23" s="587">
        <v>-6428008.6088029891</v>
      </c>
      <c r="AC23" s="587"/>
      <c r="AD23" s="587">
        <v>-7272308.7091454156</v>
      </c>
      <c r="AE23" s="587"/>
      <c r="AF23" s="587">
        <v>-8513741.1024730653</v>
      </c>
      <c r="AG23" s="587"/>
      <c r="AH23" s="608">
        <v>-28095668.678987429</v>
      </c>
      <c r="AI23" s="195"/>
      <c r="AJ23" s="195"/>
      <c r="AK23" s="608">
        <v>-38373668.470346153</v>
      </c>
      <c r="AM23" s="608">
        <v>-59211810.10378772</v>
      </c>
    </row>
    <row r="24" spans="1:39" s="496" customFormat="1" ht="21.9" customHeight="1">
      <c r="A24" s="493"/>
      <c r="B24" s="493"/>
      <c r="C24" s="594" t="s">
        <v>965</v>
      </c>
      <c r="D24" s="195"/>
      <c r="E24" s="598">
        <f>E23/E18</f>
        <v>-0.18999999999999997</v>
      </c>
      <c r="F24" s="826"/>
      <c r="G24" s="726">
        <f>G23/G18</f>
        <v>-0.18999999999999995</v>
      </c>
      <c r="H24" s="826"/>
      <c r="I24" s="726">
        <f>I23/I18</f>
        <v>-0.19000000000000009</v>
      </c>
      <c r="J24" s="826"/>
      <c r="K24" s="726">
        <f>K23/K18</f>
        <v>-0.19000000000000011</v>
      </c>
      <c r="L24" s="826"/>
      <c r="M24" s="726">
        <f>M23/M18</f>
        <v>-0.19000000000000006</v>
      </c>
      <c r="N24" s="826"/>
      <c r="O24" s="600">
        <f>O23/O18</f>
        <v>-0.18999999999999986</v>
      </c>
      <c r="P24" s="826"/>
      <c r="Q24" s="597"/>
      <c r="R24" s="600">
        <f>R23/R18</f>
        <v>-0.17356466964764275</v>
      </c>
      <c r="S24" s="597"/>
      <c r="T24" s="600">
        <f>T23/T18</f>
        <v>4.3687914232459928E-2</v>
      </c>
      <c r="U24" s="764"/>
      <c r="V24" s="490" t="b">
        <v>0</v>
      </c>
      <c r="Z24" s="599">
        <v>-0.18999999999999995</v>
      </c>
      <c r="AA24" s="599"/>
      <c r="AB24" s="599">
        <v>-0.19000000000000009</v>
      </c>
      <c r="AC24" s="599"/>
      <c r="AD24" s="599">
        <v>-0.19000000000000011</v>
      </c>
      <c r="AE24" s="599"/>
      <c r="AF24" s="599">
        <v>-0.19000000000000006</v>
      </c>
      <c r="AG24" s="596"/>
      <c r="AH24" s="600">
        <v>-0.18999999999999986</v>
      </c>
      <c r="AI24" s="597"/>
      <c r="AJ24" s="597"/>
      <c r="AK24" s="600">
        <v>-0.17356466964764275</v>
      </c>
      <c r="AM24" s="600">
        <v>-0.11888704462008086</v>
      </c>
    </row>
    <row r="25" spans="1:39" s="489" customFormat="1" ht="21.9" customHeight="1">
      <c r="A25" s="187"/>
      <c r="B25" s="187"/>
      <c r="C25" s="647" t="s">
        <v>466</v>
      </c>
      <c r="D25" s="195"/>
      <c r="E25" s="585"/>
      <c r="F25" s="824"/>
      <c r="G25" s="587"/>
      <c r="H25" s="824"/>
      <c r="I25" s="587"/>
      <c r="J25" s="824"/>
      <c r="K25" s="587"/>
      <c r="L25" s="824"/>
      <c r="M25" s="587"/>
      <c r="N25" s="824"/>
      <c r="O25" s="588"/>
      <c r="P25" s="824"/>
      <c r="Q25" s="195"/>
      <c r="R25" s="588"/>
      <c r="S25" s="195"/>
      <c r="T25" s="588"/>
      <c r="U25" s="764"/>
      <c r="V25" s="490" t="b">
        <v>0</v>
      </c>
      <c r="Z25" s="587"/>
      <c r="AA25" s="587"/>
      <c r="AB25" s="587"/>
      <c r="AC25" s="587"/>
      <c r="AD25" s="587"/>
      <c r="AE25" s="587"/>
      <c r="AF25" s="587"/>
      <c r="AG25" s="587"/>
      <c r="AH25" s="588"/>
      <c r="AI25" s="195"/>
      <c r="AJ25" s="195"/>
      <c r="AK25" s="588"/>
      <c r="AM25" s="588"/>
    </row>
    <row r="26" spans="1:39" s="489" customFormat="1" ht="21.9" customHeight="1" thickBot="1">
      <c r="A26" s="187"/>
      <c r="B26" s="187"/>
      <c r="C26" s="648" t="s">
        <v>1253</v>
      </c>
      <c r="D26" s="195"/>
      <c r="E26" s="805">
        <v>0</v>
      </c>
      <c r="F26" s="824"/>
      <c r="G26" s="725">
        <f>INDEX(finQ1HarmExp,,xxIndexTeam)</f>
        <v>0</v>
      </c>
      <c r="H26" s="824"/>
      <c r="I26" s="725">
        <f>INDEX(finQ2HarmExp,,xxIndexTeam)</f>
        <v>0</v>
      </c>
      <c r="J26" s="824"/>
      <c r="K26" s="725">
        <f>INDEX(finQ3HarmExp,,xxIndexTeam)</f>
        <v>0</v>
      </c>
      <c r="L26" s="824"/>
      <c r="M26" s="725">
        <f>INDEX(finQ4HarmExp,,xxIndexTeam)</f>
        <v>0</v>
      </c>
      <c r="N26" s="824"/>
      <c r="O26" s="588">
        <f>INDEX(finAnnualHarmExp,,xxIndexTeam)</f>
        <v>0</v>
      </c>
      <c r="P26" s="824"/>
      <c r="Q26" s="195"/>
      <c r="R26" s="588">
        <f>INDEX(finY2AnnualHarmExp,,xxIndexTeam)</f>
        <v>0</v>
      </c>
      <c r="S26" s="195"/>
      <c r="T26" s="804"/>
      <c r="U26" s="764"/>
      <c r="V26" s="490" t="b">
        <v>0</v>
      </c>
      <c r="Z26" s="587">
        <v>0</v>
      </c>
      <c r="AA26" s="587"/>
      <c r="AB26" s="587">
        <v>0</v>
      </c>
      <c r="AC26" s="587"/>
      <c r="AD26" s="587">
        <v>0</v>
      </c>
      <c r="AE26" s="587"/>
      <c r="AF26" s="587">
        <v>0</v>
      </c>
      <c r="AG26" s="587"/>
      <c r="AH26" s="588">
        <v>0</v>
      </c>
      <c r="AI26" s="195"/>
      <c r="AJ26" s="195"/>
      <c r="AK26" s="588">
        <v>0</v>
      </c>
      <c r="AM26" s="588"/>
    </row>
    <row r="27" spans="1:39" s="489" customFormat="1" ht="21.9" customHeight="1" thickTop="1" thickBot="1">
      <c r="A27" s="187"/>
      <c r="B27" s="187"/>
      <c r="C27" s="653" t="s">
        <v>466</v>
      </c>
      <c r="D27" s="654"/>
      <c r="E27" s="806">
        <v>0</v>
      </c>
      <c r="F27" s="656"/>
      <c r="G27" s="657">
        <f>INDEX(finQ1IntegrationBudget,,xxIndexTeam)</f>
        <v>0</v>
      </c>
      <c r="H27" s="657"/>
      <c r="I27" s="657">
        <f>INDEX(finQ2IntegrationBudget,,xxIndexTeam)</f>
        <v>0</v>
      </c>
      <c r="J27" s="657"/>
      <c r="K27" s="657">
        <f>INDEX(finQ3IntegrationBudget,,xxIndexTeam)</f>
        <v>0</v>
      </c>
      <c r="L27" s="657"/>
      <c r="M27" s="657">
        <f>INDEX(finQ4IntegrationBudget,,xxIndexTeam)</f>
        <v>0</v>
      </c>
      <c r="N27" s="657"/>
      <c r="O27" s="658">
        <f>INDEX(finY1IntegrationBudget,,xxIndexTeam)</f>
        <v>0</v>
      </c>
      <c r="P27" s="654"/>
      <c r="Q27" s="654"/>
      <c r="R27" s="659">
        <f>INDEX(finY2IntegrationBudget,,xxIndexTeam)</f>
        <v>0</v>
      </c>
      <c r="S27" s="195"/>
      <c r="T27" s="804"/>
      <c r="U27" s="764"/>
      <c r="V27" s="490" t="b">
        <v>0</v>
      </c>
      <c r="Z27" s="590">
        <v>0</v>
      </c>
      <c r="AA27" s="590"/>
      <c r="AB27" s="590">
        <v>0</v>
      </c>
      <c r="AC27" s="590"/>
      <c r="AD27" s="590">
        <v>0</v>
      </c>
      <c r="AE27" s="590"/>
      <c r="AF27" s="590">
        <v>0</v>
      </c>
      <c r="AG27" s="587"/>
      <c r="AH27" s="591">
        <v>0</v>
      </c>
      <c r="AI27" s="195"/>
      <c r="AJ27" s="195"/>
      <c r="AK27" s="591">
        <v>0</v>
      </c>
      <c r="AM27" s="591"/>
    </row>
    <row r="28" spans="1:39" s="492" customFormat="1" ht="21.9" customHeight="1" thickTop="1">
      <c r="A28" s="463"/>
      <c r="B28" s="463"/>
      <c r="C28" s="649" t="s">
        <v>469</v>
      </c>
      <c r="D28" s="820"/>
      <c r="E28" s="807">
        <f>SUM(E26:E27)</f>
        <v>0</v>
      </c>
      <c r="F28" s="825"/>
      <c r="G28" s="587">
        <f>SUM(G26:G27)</f>
        <v>0</v>
      </c>
      <c r="H28" s="825"/>
      <c r="I28" s="587">
        <f>SUM(I26:I27)</f>
        <v>0</v>
      </c>
      <c r="J28" s="825"/>
      <c r="K28" s="587">
        <f>SUM(K26:K27)</f>
        <v>0</v>
      </c>
      <c r="L28" s="825"/>
      <c r="M28" s="587">
        <f>SUM(M26:M27)</f>
        <v>0</v>
      </c>
      <c r="N28" s="825"/>
      <c r="O28" s="588">
        <f>SUM(O26:O27)</f>
        <v>0</v>
      </c>
      <c r="P28" s="825"/>
      <c r="Q28" s="195"/>
      <c r="R28" s="588">
        <f>SUM(R26:R27)</f>
        <v>0</v>
      </c>
      <c r="S28" s="195"/>
      <c r="T28" s="804"/>
      <c r="U28" s="764"/>
      <c r="V28" s="490" t="b">
        <v>0</v>
      </c>
      <c r="Z28" s="587">
        <v>0</v>
      </c>
      <c r="AA28" s="587"/>
      <c r="AB28" s="587">
        <v>0</v>
      </c>
      <c r="AC28" s="587"/>
      <c r="AD28" s="587">
        <v>0</v>
      </c>
      <c r="AE28" s="587"/>
      <c r="AF28" s="587">
        <v>0</v>
      </c>
      <c r="AG28" s="587"/>
      <c r="AH28" s="588">
        <v>0</v>
      </c>
      <c r="AI28" s="195"/>
      <c r="AJ28" s="195"/>
      <c r="AK28" s="588">
        <v>0</v>
      </c>
      <c r="AM28" s="588"/>
    </row>
    <row r="29" spans="1:39" s="489" customFormat="1" ht="5.4" customHeight="1">
      <c r="A29" s="187"/>
      <c r="B29" s="187"/>
      <c r="C29" s="648"/>
      <c r="D29" s="195"/>
      <c r="E29" s="585"/>
      <c r="F29" s="824"/>
      <c r="G29" s="587"/>
      <c r="H29" s="824"/>
      <c r="I29" s="587"/>
      <c r="J29" s="824"/>
      <c r="K29" s="587"/>
      <c r="L29" s="824"/>
      <c r="M29" s="587"/>
      <c r="N29" s="824"/>
      <c r="O29" s="588"/>
      <c r="P29" s="824"/>
      <c r="Q29" s="195"/>
      <c r="R29" s="588"/>
      <c r="S29" s="195"/>
      <c r="T29" s="588"/>
      <c r="U29" s="651"/>
      <c r="V29" s="490" t="b">
        <v>0</v>
      </c>
      <c r="Z29" s="587"/>
      <c r="AA29" s="587"/>
      <c r="AB29" s="587"/>
      <c r="AC29" s="587"/>
      <c r="AD29" s="587"/>
      <c r="AE29" s="587"/>
      <c r="AF29" s="587"/>
      <c r="AG29" s="587"/>
      <c r="AH29" s="588"/>
      <c r="AI29" s="195"/>
      <c r="AJ29" s="195"/>
      <c r="AK29" s="588"/>
      <c r="AM29" s="588"/>
    </row>
    <row r="30" spans="1:39" s="492" customFormat="1" ht="21.9" customHeight="1">
      <c r="A30" s="463"/>
      <c r="B30" s="463"/>
      <c r="C30" s="649" t="s">
        <v>1148</v>
      </c>
      <c r="D30" s="195"/>
      <c r="E30" s="589">
        <f>E23-E28</f>
        <v>-18528684.425703421</v>
      </c>
      <c r="F30" s="824"/>
      <c r="G30" s="587">
        <f>G23-G28</f>
        <v>-5881610.2585659847</v>
      </c>
      <c r="H30" s="824"/>
      <c r="I30" s="587">
        <f>I23-I28</f>
        <v>-6428008.6088029891</v>
      </c>
      <c r="J30" s="824"/>
      <c r="K30" s="587">
        <f>K23-K28</f>
        <v>-7272308.7091454156</v>
      </c>
      <c r="L30" s="824"/>
      <c r="M30" s="587">
        <f>M23-M28</f>
        <v>-8513741.1024730653</v>
      </c>
      <c r="N30" s="824"/>
      <c r="O30" s="591">
        <f>O23-O28</f>
        <v>-28095668.678987429</v>
      </c>
      <c r="P30" s="824"/>
      <c r="Q30" s="195"/>
      <c r="R30" s="591">
        <f>R23-R28</f>
        <v>-38373668.470346153</v>
      </c>
      <c r="S30" s="195"/>
      <c r="T30" s="591">
        <f>T23-T28</f>
        <v>21758808.872990072</v>
      </c>
      <c r="U30" s="114"/>
      <c r="V30" s="490" t="b">
        <v>0</v>
      </c>
      <c r="Z30" s="590">
        <v>-5881610.2585659847</v>
      </c>
      <c r="AA30" s="590"/>
      <c r="AB30" s="590">
        <v>-6428008.6088029891</v>
      </c>
      <c r="AC30" s="590"/>
      <c r="AD30" s="590">
        <v>-7272308.7091454156</v>
      </c>
      <c r="AE30" s="590"/>
      <c r="AF30" s="590">
        <v>-8513741.1024730653</v>
      </c>
      <c r="AG30" s="587"/>
      <c r="AH30" s="591">
        <v>-28095668.678987429</v>
      </c>
      <c r="AI30" s="195"/>
      <c r="AJ30" s="195"/>
      <c r="AK30" s="591">
        <v>-38373668.470346153</v>
      </c>
      <c r="AM30" s="591">
        <v>-59211810.10378772</v>
      </c>
    </row>
    <row r="31" spans="1:39" s="489" customFormat="1" ht="21.9" customHeight="1">
      <c r="A31" s="187"/>
      <c r="B31" s="187"/>
      <c r="C31" s="594" t="s">
        <v>1936</v>
      </c>
      <c r="D31" s="195"/>
      <c r="E31" s="650">
        <f>E30/E18</f>
        <v>-0.18999999999999997</v>
      </c>
      <c r="F31" s="826"/>
      <c r="G31" s="726">
        <f>G30/G18</f>
        <v>-0.18999999999999995</v>
      </c>
      <c r="H31" s="826"/>
      <c r="I31" s="726">
        <f>I30/I18</f>
        <v>-0.19000000000000009</v>
      </c>
      <c r="J31" s="826"/>
      <c r="K31" s="726">
        <f>K30/K18</f>
        <v>-0.19000000000000011</v>
      </c>
      <c r="L31" s="826"/>
      <c r="M31" s="726">
        <f>M30/M18</f>
        <v>-0.19000000000000006</v>
      </c>
      <c r="N31" s="826"/>
      <c r="O31" s="652">
        <f>O30/O18</f>
        <v>-0.18999999999999986</v>
      </c>
      <c r="P31" s="826"/>
      <c r="Q31" s="195"/>
      <c r="R31" s="652">
        <f>R30/R18</f>
        <v>-0.17356466964764275</v>
      </c>
      <c r="S31" s="195"/>
      <c r="T31" s="652">
        <f>T30/T18</f>
        <v>4.3687914232459928E-2</v>
      </c>
      <c r="U31" s="114"/>
      <c r="V31" s="490" t="b">
        <v>0</v>
      </c>
      <c r="Z31" s="651">
        <v>-0.18999999999999995</v>
      </c>
      <c r="AA31" s="651"/>
      <c r="AB31" s="651">
        <v>-0.19000000000000009</v>
      </c>
      <c r="AC31" s="651"/>
      <c r="AD31" s="651">
        <v>-0.19000000000000011</v>
      </c>
      <c r="AE31" s="651"/>
      <c r="AF31" s="651">
        <v>-0.19000000000000006</v>
      </c>
      <c r="AG31" s="596"/>
      <c r="AH31" s="652">
        <v>-0.18999999999999986</v>
      </c>
      <c r="AI31" s="195"/>
      <c r="AJ31" s="195"/>
      <c r="AK31" s="652">
        <v>-0.17356466964764275</v>
      </c>
      <c r="AM31" s="652">
        <v>-0.11888704462008086</v>
      </c>
    </row>
    <row r="32" spans="1:39" s="115" customFormat="1" ht="21.9" customHeight="1">
      <c r="A32" s="114"/>
      <c r="B32" s="114"/>
      <c r="C32" s="208"/>
      <c r="D32" s="199"/>
      <c r="E32" s="114"/>
      <c r="F32" s="114"/>
      <c r="G32" s="209"/>
      <c r="H32" s="206"/>
      <c r="I32" s="209"/>
      <c r="J32" s="114"/>
      <c r="K32" s="114"/>
      <c r="L32" s="114"/>
      <c r="M32" s="114"/>
      <c r="N32" s="114"/>
      <c r="O32" s="114"/>
      <c r="P32" s="114"/>
      <c r="Q32" s="114"/>
      <c r="R32" s="114"/>
      <c r="S32" s="114"/>
      <c r="T32" s="114"/>
      <c r="U32" s="114"/>
      <c r="V32" s="114" t="s">
        <v>155</v>
      </c>
    </row>
    <row r="33" spans="1:22" s="115" customFormat="1" ht="21.9" customHeight="1">
      <c r="A33" s="114"/>
      <c r="B33" s="114"/>
      <c r="C33" s="208"/>
      <c r="D33" s="114"/>
      <c r="E33" s="114"/>
      <c r="F33" s="114"/>
      <c r="G33" s="209"/>
      <c r="H33" s="206"/>
      <c r="I33" s="209"/>
      <c r="J33" s="114"/>
      <c r="K33" s="114"/>
      <c r="L33" s="114"/>
      <c r="M33" s="114"/>
      <c r="N33" s="114"/>
      <c r="O33" s="114"/>
      <c r="P33" s="114"/>
      <c r="Q33" s="114"/>
      <c r="R33" s="114"/>
      <c r="S33" s="114"/>
      <c r="T33" s="114"/>
      <c r="U33" s="114"/>
      <c r="V33" s="114"/>
    </row>
    <row r="34" spans="1:22" s="115" customFormat="1" ht="21.9" customHeight="1">
      <c r="A34" s="114"/>
      <c r="B34" s="114"/>
      <c r="C34" s="208"/>
      <c r="D34" s="114"/>
      <c r="E34" s="114"/>
      <c r="F34" s="114"/>
      <c r="G34" s="209"/>
      <c r="H34" s="206"/>
      <c r="I34" s="209"/>
      <c r="J34" s="114"/>
      <c r="K34" s="114"/>
      <c r="L34" s="114"/>
      <c r="M34" s="114"/>
      <c r="N34" s="114"/>
      <c r="O34" s="114"/>
      <c r="P34" s="114"/>
      <c r="Q34" s="114"/>
      <c r="R34" s="114"/>
      <c r="S34" s="114"/>
      <c r="T34" s="114"/>
      <c r="U34" s="114"/>
      <c r="V34" s="114"/>
    </row>
    <row r="35" spans="1:22" s="114" customFormat="1"/>
    <row r="36" spans="1:22" s="114" customFormat="1"/>
    <row r="37" spans="1:22" s="114" customFormat="1"/>
    <row r="38" spans="1:22" s="114" customFormat="1"/>
    <row r="39" spans="1:22" s="114" customFormat="1"/>
    <row r="40" spans="1:22" s="114" customFormat="1"/>
    <row r="41" spans="1:22" s="114" customFormat="1"/>
    <row r="42" spans="1:22" s="114" customFormat="1"/>
    <row r="43" spans="1:22" s="114" customFormat="1"/>
    <row r="44" spans="1:22" s="114" customFormat="1"/>
    <row r="45" spans="1:22" s="114" customFormat="1"/>
    <row r="46" spans="1:22" s="114" customFormat="1"/>
    <row r="47" spans="1:22" s="114" customFormat="1"/>
    <row r="48" spans="1:22" s="114" customFormat="1"/>
    <row r="49" s="114" customFormat="1"/>
    <row r="50" s="114" customFormat="1"/>
    <row r="51" s="114" customFormat="1"/>
    <row r="52" s="114" customFormat="1"/>
    <row r="53" s="114" customFormat="1"/>
    <row r="54" s="114" customFormat="1"/>
    <row r="55" s="114" customFormat="1"/>
    <row r="56" s="114" customFormat="1"/>
    <row r="57" s="114" customFormat="1"/>
    <row r="58" s="114" customFormat="1"/>
    <row r="59" s="114" customFormat="1"/>
    <row r="60" s="114" customFormat="1"/>
    <row r="61" s="114" customFormat="1"/>
    <row r="62" s="114" customFormat="1"/>
    <row r="63" s="114" customFormat="1"/>
    <row r="64" s="114" customFormat="1"/>
    <row r="65" spans="21:21" s="114" customFormat="1"/>
    <row r="66" spans="21:21" s="114" customFormat="1"/>
    <row r="67" spans="21:21" s="114" customFormat="1"/>
    <row r="68" spans="21:21" s="114" customFormat="1"/>
    <row r="69" spans="21:21" s="114" customFormat="1"/>
    <row r="70" spans="21:21" s="114" customFormat="1"/>
    <row r="71" spans="21:21" s="114" customFormat="1"/>
    <row r="72" spans="21:21" s="114" customFormat="1"/>
    <row r="73" spans="21:21" s="114" customFormat="1"/>
    <row r="74" spans="21:21" s="114" customFormat="1"/>
    <row r="75" spans="21:21">
      <c r="U75" s="114"/>
    </row>
    <row r="76" spans="21:21">
      <c r="U76" s="114"/>
    </row>
    <row r="77" spans="21:21">
      <c r="U77" s="114"/>
    </row>
    <row r="78" spans="21:21">
      <c r="U78" s="114"/>
    </row>
    <row r="79" spans="21:21">
      <c r="U79" s="114"/>
    </row>
    <row r="80" spans="21:21">
      <c r="U80" s="114"/>
    </row>
    <row r="81" spans="21:21">
      <c r="U81" s="114"/>
    </row>
    <row r="82" spans="21:21">
      <c r="U82" s="114"/>
    </row>
    <row r="83" spans="21:21">
      <c r="U83" s="114"/>
    </row>
    <row r="84" spans="21:21">
      <c r="U84" s="114"/>
    </row>
    <row r="85" spans="21:21">
      <c r="U85" s="114"/>
    </row>
    <row r="86" spans="21:21">
      <c r="U86" s="114"/>
    </row>
    <row r="87" spans="21:21">
      <c r="U87" s="114"/>
    </row>
    <row r="88" spans="21:21">
      <c r="U88" s="114"/>
    </row>
    <row r="89" spans="21:21">
      <c r="U89" s="114"/>
    </row>
    <row r="90" spans="21:21">
      <c r="U90" s="114"/>
    </row>
    <row r="91" spans="21:21">
      <c r="U91" s="114"/>
    </row>
    <row r="92" spans="21:21">
      <c r="U92" s="114"/>
    </row>
    <row r="93" spans="21:21">
      <c r="U93" s="114"/>
    </row>
    <row r="94" spans="21:21">
      <c r="U94" s="114"/>
    </row>
    <row r="95" spans="21:21">
      <c r="U95" s="114"/>
    </row>
    <row r="96" spans="21:21">
      <c r="U96" s="114"/>
    </row>
    <row r="97" spans="21:21">
      <c r="U97" s="114"/>
    </row>
    <row r="98" spans="21:21">
      <c r="U98" s="114"/>
    </row>
    <row r="99" spans="21:21">
      <c r="U99" s="114"/>
    </row>
    <row r="100" spans="21:21">
      <c r="U100" s="114"/>
    </row>
    <row r="101" spans="21:21">
      <c r="U101" s="114"/>
    </row>
    <row r="102" spans="21:21">
      <c r="U102" s="114"/>
    </row>
    <row r="103" spans="21:21">
      <c r="U103" s="114"/>
    </row>
    <row r="104" spans="21:21">
      <c r="U104" s="114"/>
    </row>
    <row r="105" spans="21:21">
      <c r="U105" s="114"/>
    </row>
    <row r="106" spans="21:21">
      <c r="U106" s="114"/>
    </row>
    <row r="107" spans="21:21">
      <c r="U107" s="114"/>
    </row>
    <row r="108" spans="21:21">
      <c r="U108" s="114"/>
    </row>
    <row r="109" spans="21:21">
      <c r="U109" s="114"/>
    </row>
    <row r="110" spans="21:21">
      <c r="U110" s="114"/>
    </row>
    <row r="111" spans="21:21">
      <c r="U111" s="114"/>
    </row>
    <row r="112" spans="21:21">
      <c r="U112" s="114"/>
    </row>
    <row r="113" spans="21:21">
      <c r="U113" s="114"/>
    </row>
    <row r="114" spans="21:21">
      <c r="U114" s="114"/>
    </row>
    <row r="115" spans="21:21">
      <c r="U115" s="114"/>
    </row>
    <row r="116" spans="21:21">
      <c r="U116" s="114"/>
    </row>
    <row r="117" spans="21:21">
      <c r="U117" s="114"/>
    </row>
    <row r="118" spans="21:21">
      <c r="U118" s="114"/>
    </row>
    <row r="119" spans="21:21">
      <c r="U119" s="114"/>
    </row>
    <row r="120" spans="21:21">
      <c r="U120" s="114"/>
    </row>
    <row r="121" spans="21:21">
      <c r="U121" s="114"/>
    </row>
    <row r="122" spans="21:21">
      <c r="U122" s="114"/>
    </row>
    <row r="123" spans="21:21">
      <c r="U123" s="114"/>
    </row>
    <row r="124" spans="21:21">
      <c r="U124" s="114"/>
    </row>
    <row r="125" spans="21:21">
      <c r="U125" s="114"/>
    </row>
    <row r="126" spans="21:21">
      <c r="U126" s="114"/>
    </row>
    <row r="127" spans="21:21">
      <c r="U127" s="114"/>
    </row>
    <row r="128" spans="21:21">
      <c r="U128" s="114"/>
    </row>
    <row r="129" spans="21:21">
      <c r="U129" s="114"/>
    </row>
    <row r="130" spans="21:21">
      <c r="U130" s="114"/>
    </row>
    <row r="131" spans="21:21">
      <c r="U131" s="114"/>
    </row>
    <row r="132" spans="21:21">
      <c r="U132" s="114"/>
    </row>
    <row r="133" spans="21:21">
      <c r="U133" s="114"/>
    </row>
    <row r="134" spans="21:21">
      <c r="U134" s="114"/>
    </row>
    <row r="135" spans="21:21">
      <c r="U135" s="114"/>
    </row>
    <row r="136" spans="21:21">
      <c r="U136" s="114"/>
    </row>
    <row r="137" spans="21:21">
      <c r="U137" s="114"/>
    </row>
    <row r="138" spans="21:21">
      <c r="U138" s="114"/>
    </row>
    <row r="139" spans="21:21">
      <c r="U139" s="114"/>
    </row>
    <row r="140" spans="21:21">
      <c r="U140" s="114"/>
    </row>
    <row r="141" spans="21:21">
      <c r="U141" s="114"/>
    </row>
    <row r="142" spans="21:21">
      <c r="U142" s="114"/>
    </row>
    <row r="143" spans="21:21">
      <c r="U143" s="114"/>
    </row>
    <row r="144" spans="21:21">
      <c r="U144" s="114"/>
    </row>
    <row r="145" spans="21:21">
      <c r="U145" s="114"/>
    </row>
    <row r="146" spans="21:21">
      <c r="U146" s="114"/>
    </row>
    <row r="147" spans="21:21">
      <c r="U147" s="114"/>
    </row>
    <row r="148" spans="21:21">
      <c r="U148" s="114"/>
    </row>
    <row r="149" spans="21:21">
      <c r="U149" s="114"/>
    </row>
    <row r="150" spans="21:21">
      <c r="U150" s="114"/>
    </row>
    <row r="151" spans="21:21">
      <c r="U151" s="114"/>
    </row>
    <row r="152" spans="21:21">
      <c r="U152" s="114"/>
    </row>
    <row r="153" spans="21:21">
      <c r="U153" s="114"/>
    </row>
    <row r="154" spans="21:21">
      <c r="U154" s="114"/>
    </row>
    <row r="155" spans="21:21">
      <c r="U155" s="114"/>
    </row>
    <row r="156" spans="21:21">
      <c r="U156" s="114"/>
    </row>
    <row r="157" spans="21:21">
      <c r="U157" s="114"/>
    </row>
    <row r="158" spans="21:21">
      <c r="U158" s="114"/>
    </row>
    <row r="159" spans="21:21">
      <c r="U159" s="114"/>
    </row>
    <row r="160" spans="21:21">
      <c r="U160" s="114"/>
    </row>
    <row r="161" spans="21:21">
      <c r="U161" s="114"/>
    </row>
    <row r="162" spans="21:21">
      <c r="U162" s="114"/>
    </row>
    <row r="163" spans="21:21">
      <c r="U163" s="114"/>
    </row>
    <row r="164" spans="21:21">
      <c r="U164" s="114"/>
    </row>
    <row r="165" spans="21:21">
      <c r="U165" s="114"/>
    </row>
    <row r="166" spans="21:21">
      <c r="U166" s="114"/>
    </row>
    <row r="167" spans="21:21">
      <c r="U167" s="114"/>
    </row>
    <row r="168" spans="21:21">
      <c r="U168" s="114"/>
    </row>
    <row r="169" spans="21:21">
      <c r="U169" s="114"/>
    </row>
    <row r="170" spans="21:21">
      <c r="U170" s="114"/>
    </row>
    <row r="171" spans="21:21">
      <c r="U171" s="114"/>
    </row>
    <row r="172" spans="21:21">
      <c r="U172" s="114"/>
    </row>
    <row r="173" spans="21:21">
      <c r="U173" s="114"/>
    </row>
    <row r="174" spans="21:21">
      <c r="U174" s="114"/>
    </row>
    <row r="175" spans="21:21">
      <c r="U175" s="114"/>
    </row>
    <row r="176" spans="21:21">
      <c r="U176" s="114"/>
    </row>
    <row r="177" spans="21:21">
      <c r="U177" s="114"/>
    </row>
    <row r="178" spans="21:21">
      <c r="U178" s="114"/>
    </row>
    <row r="179" spans="21:21">
      <c r="U179" s="114"/>
    </row>
    <row r="180" spans="21:21">
      <c r="U180" s="114"/>
    </row>
    <row r="181" spans="21:21">
      <c r="U181" s="114"/>
    </row>
    <row r="182" spans="21:21">
      <c r="U182" s="114"/>
    </row>
    <row r="183" spans="21:21">
      <c r="U183" s="114"/>
    </row>
    <row r="184" spans="21:21">
      <c r="U184" s="114"/>
    </row>
    <row r="185" spans="21:21">
      <c r="U185" s="114"/>
    </row>
    <row r="186" spans="21:21">
      <c r="U186" s="114"/>
    </row>
    <row r="187" spans="21:21">
      <c r="U187" s="114"/>
    </row>
    <row r="188" spans="21:21">
      <c r="U188" s="114"/>
    </row>
    <row r="189" spans="21:21">
      <c r="U189" s="114"/>
    </row>
    <row r="190" spans="21:21">
      <c r="U190" s="114"/>
    </row>
    <row r="191" spans="21:21">
      <c r="U191" s="114"/>
    </row>
    <row r="192" spans="21:21">
      <c r="U192" s="114"/>
    </row>
    <row r="193" spans="21:21">
      <c r="U193" s="114"/>
    </row>
    <row r="194" spans="21:21">
      <c r="U194" s="114"/>
    </row>
    <row r="195" spans="21:21">
      <c r="U195" s="114"/>
    </row>
    <row r="196" spans="21:21">
      <c r="U196" s="114"/>
    </row>
    <row r="197" spans="21:21">
      <c r="U197" s="114"/>
    </row>
    <row r="198" spans="21:21">
      <c r="U198" s="114"/>
    </row>
    <row r="199" spans="21:21">
      <c r="U199" s="114"/>
    </row>
    <row r="200" spans="21:21">
      <c r="U200" s="114"/>
    </row>
    <row r="201" spans="21:21">
      <c r="U201" s="114"/>
    </row>
    <row r="202" spans="21:21">
      <c r="U202" s="114"/>
    </row>
    <row r="203" spans="21:21">
      <c r="U203" s="114"/>
    </row>
    <row r="204" spans="21:21">
      <c r="U204" s="114"/>
    </row>
    <row r="205" spans="21:21">
      <c r="U205" s="114"/>
    </row>
    <row r="206" spans="21:21">
      <c r="U206" s="114"/>
    </row>
    <row r="207" spans="21:21">
      <c r="U207" s="114"/>
    </row>
    <row r="208" spans="21:21">
      <c r="U208" s="114"/>
    </row>
    <row r="209" spans="21:21">
      <c r="U209" s="114"/>
    </row>
    <row r="210" spans="21:21">
      <c r="U210" s="114"/>
    </row>
    <row r="211" spans="21:21">
      <c r="U211" s="114"/>
    </row>
    <row r="212" spans="21:21">
      <c r="U212" s="114"/>
    </row>
    <row r="213" spans="21:21">
      <c r="U213" s="114"/>
    </row>
    <row r="214" spans="21:21">
      <c r="U214" s="114"/>
    </row>
    <row r="215" spans="21:21">
      <c r="U215" s="114"/>
    </row>
    <row r="216" spans="21:21">
      <c r="U216" s="114"/>
    </row>
    <row r="217" spans="21:21">
      <c r="U217" s="114"/>
    </row>
    <row r="218" spans="21:21">
      <c r="U218" s="114"/>
    </row>
    <row r="219" spans="21:21">
      <c r="U219" s="114"/>
    </row>
    <row r="220" spans="21:21">
      <c r="U220" s="114"/>
    </row>
    <row r="221" spans="21:21">
      <c r="U221" s="114"/>
    </row>
    <row r="222" spans="21:21">
      <c r="U222" s="114"/>
    </row>
    <row r="223" spans="21:21">
      <c r="U223" s="114"/>
    </row>
    <row r="224" spans="21:21">
      <c r="U224" s="114"/>
    </row>
    <row r="225" spans="21:21">
      <c r="U225" s="114"/>
    </row>
    <row r="226" spans="21:21">
      <c r="U226" s="114"/>
    </row>
    <row r="227" spans="21:21">
      <c r="U227" s="114"/>
    </row>
    <row r="228" spans="21:21">
      <c r="U228" s="114"/>
    </row>
    <row r="229" spans="21:21">
      <c r="U229" s="114"/>
    </row>
    <row r="230" spans="21:21">
      <c r="U230" s="114"/>
    </row>
    <row r="231" spans="21:21">
      <c r="U231" s="114"/>
    </row>
    <row r="232" spans="21:21">
      <c r="U232" s="114"/>
    </row>
    <row r="233" spans="21:21">
      <c r="U233" s="114"/>
    </row>
    <row r="234" spans="21:21">
      <c r="U234" s="114"/>
    </row>
    <row r="235" spans="21:21">
      <c r="U235" s="114"/>
    </row>
    <row r="236" spans="21:21">
      <c r="U236" s="114"/>
    </row>
    <row r="237" spans="21:21">
      <c r="U237" s="114"/>
    </row>
    <row r="238" spans="21:21">
      <c r="U238" s="114"/>
    </row>
    <row r="239" spans="21:21">
      <c r="U239" s="114"/>
    </row>
    <row r="240" spans="21:21">
      <c r="U240" s="114"/>
    </row>
    <row r="241" spans="21:21">
      <c r="U241" s="114"/>
    </row>
    <row r="242" spans="21:21">
      <c r="U242" s="114"/>
    </row>
    <row r="243" spans="21:21">
      <c r="U243" s="114"/>
    </row>
    <row r="244" spans="21:21">
      <c r="U244" s="114"/>
    </row>
    <row r="245" spans="21:21">
      <c r="U245" s="114"/>
    </row>
    <row r="246" spans="21:21">
      <c r="U246" s="114"/>
    </row>
    <row r="247" spans="21:21">
      <c r="U247" s="114"/>
    </row>
    <row r="248" spans="21:21">
      <c r="U248" s="114"/>
    </row>
    <row r="249" spans="21:21">
      <c r="U249" s="114"/>
    </row>
    <row r="250" spans="21:21">
      <c r="U250" s="114"/>
    </row>
    <row r="251" spans="21:21">
      <c r="U251" s="114"/>
    </row>
    <row r="252" spans="21:21">
      <c r="U252" s="114"/>
    </row>
    <row r="253" spans="21:21">
      <c r="U253" s="114"/>
    </row>
    <row r="254" spans="21:21">
      <c r="U254" s="114"/>
    </row>
    <row r="255" spans="21:21">
      <c r="U255" s="114"/>
    </row>
    <row r="256" spans="21:21">
      <c r="U256" s="114"/>
    </row>
    <row r="257" spans="21:21">
      <c r="U257" s="114"/>
    </row>
    <row r="258" spans="21:21">
      <c r="U258" s="114"/>
    </row>
    <row r="259" spans="21:21">
      <c r="U259" s="114"/>
    </row>
    <row r="260" spans="21:21">
      <c r="U260" s="114"/>
    </row>
    <row r="261" spans="21:21">
      <c r="U261" s="114"/>
    </row>
    <row r="262" spans="21:21">
      <c r="U262" s="114"/>
    </row>
    <row r="263" spans="21:21">
      <c r="U263" s="114"/>
    </row>
    <row r="264" spans="21:21">
      <c r="U264" s="114"/>
    </row>
    <row r="265" spans="21:21">
      <c r="U265" s="114"/>
    </row>
    <row r="266" spans="21:21">
      <c r="U266" s="114"/>
    </row>
    <row r="267" spans="21:21">
      <c r="U267" s="114"/>
    </row>
    <row r="268" spans="21:21">
      <c r="U268" s="114"/>
    </row>
    <row r="269" spans="21:21">
      <c r="U269" s="114"/>
    </row>
    <row r="270" spans="21:21">
      <c r="U270" s="114"/>
    </row>
    <row r="271" spans="21:21">
      <c r="U271" s="114"/>
    </row>
    <row r="272" spans="21:21">
      <c r="U272" s="114"/>
    </row>
    <row r="273" spans="21:21">
      <c r="U273" s="114"/>
    </row>
    <row r="274" spans="21:21">
      <c r="U274" s="114"/>
    </row>
    <row r="275" spans="21:21">
      <c r="U275" s="114"/>
    </row>
    <row r="276" spans="21:21">
      <c r="U276" s="114"/>
    </row>
    <row r="277" spans="21:21">
      <c r="U277" s="114"/>
    </row>
    <row r="278" spans="21:21">
      <c r="U278" s="114"/>
    </row>
    <row r="279" spans="21:21">
      <c r="U279" s="114"/>
    </row>
  </sheetData>
  <sheetProtection selectLockedCells="1"/>
  <mergeCells count="1">
    <mergeCell ref="C1:C2"/>
  </mergeCells>
  <conditionalFormatting sqref="G17 K17:K18 I17:I18 K26 I26 K24 I24 K31 I31">
    <cfRule type="expression" dxfId="319" priority="45">
      <formula>G17&gt;Z17</formula>
    </cfRule>
    <cfRule type="expression" dxfId="318" priority="46">
      <formula>G17&lt;Z17</formula>
    </cfRule>
  </conditionalFormatting>
  <conditionalFormatting sqref="M17">
    <cfRule type="expression" dxfId="317" priority="43">
      <formula>M17&gt;AF17</formula>
    </cfRule>
    <cfRule type="expression" dxfId="316" priority="44">
      <formula>M17&lt;AF17</formula>
    </cfRule>
  </conditionalFormatting>
  <conditionalFormatting sqref="G18">
    <cfRule type="expression" dxfId="315" priority="41">
      <formula>G18&gt;Z18</formula>
    </cfRule>
    <cfRule type="expression" dxfId="314" priority="42">
      <formula>G18&lt;Z18</formula>
    </cfRule>
  </conditionalFormatting>
  <conditionalFormatting sqref="M18">
    <cfRule type="expression" dxfId="313" priority="39">
      <formula>M18&gt;AF18</formula>
    </cfRule>
    <cfRule type="expression" dxfId="312" priority="40">
      <formula>M18&lt;AF18</formula>
    </cfRule>
  </conditionalFormatting>
  <conditionalFormatting sqref="G26">
    <cfRule type="expression" dxfId="311" priority="33">
      <formula>G26&gt;Z26</formula>
    </cfRule>
    <cfRule type="expression" dxfId="310" priority="34">
      <formula>G26&lt;Z26</formula>
    </cfRule>
  </conditionalFormatting>
  <conditionalFormatting sqref="M26">
    <cfRule type="expression" dxfId="309" priority="31">
      <formula>M26&gt;AF26</formula>
    </cfRule>
    <cfRule type="expression" dxfId="308" priority="32">
      <formula>M26&lt;AF26</formula>
    </cfRule>
  </conditionalFormatting>
  <conditionalFormatting sqref="G24">
    <cfRule type="expression" dxfId="307" priority="29">
      <formula>G24&gt;Z24</formula>
    </cfRule>
    <cfRule type="expression" dxfId="306" priority="30">
      <formula>G24&lt;Z24</formula>
    </cfRule>
  </conditionalFormatting>
  <conditionalFormatting sqref="M24">
    <cfRule type="expression" dxfId="305" priority="27">
      <formula>M24&gt;AF24</formula>
    </cfRule>
    <cfRule type="expression" dxfId="304" priority="28">
      <formula>M24&lt;AF24</formula>
    </cfRule>
  </conditionalFormatting>
  <conditionalFormatting sqref="G31">
    <cfRule type="expression" dxfId="303" priority="25">
      <formula>G31&gt;Z31</formula>
    </cfRule>
    <cfRule type="expression" dxfId="302" priority="26">
      <formula>G31&lt;Z31</formula>
    </cfRule>
  </conditionalFormatting>
  <conditionalFormatting sqref="M31">
    <cfRule type="expression" dxfId="301" priority="23">
      <formula>M31&gt;AF31</formula>
    </cfRule>
    <cfRule type="expression" dxfId="300" priority="24">
      <formula>M31&lt;AF31</formula>
    </cfRule>
  </conditionalFormatting>
  <conditionalFormatting sqref="AA24:AG24 AA31:AG31 Z17:AH19 AK17:AK19 AK25:AK26 Z25:AH26 AK21 Z21:AH21 Z23:AH23 AK23 Z28:AH30 AK28:AK30">
    <cfRule type="expression" dxfId="299" priority="21">
      <formula>#REF!&lt;#REF!</formula>
    </cfRule>
    <cfRule type="expression" dxfId="298" priority="22">
      <formula>#REF!&gt;#REF!</formula>
    </cfRule>
  </conditionalFormatting>
  <conditionalFormatting sqref="AM17:AM19 AM25:AM26 AM21 AM23 AM28:AM30">
    <cfRule type="expression" dxfId="297" priority="19">
      <formula>#REF!&lt;#REF!</formula>
    </cfRule>
    <cfRule type="expression" dxfId="296" priority="20">
      <formula>#REF!&gt;#REF!</formula>
    </cfRule>
  </conditionalFormatting>
  <conditionalFormatting sqref="Z20:AH20 AK20">
    <cfRule type="expression" dxfId="295" priority="17">
      <formula>#REF!&lt;#REF!</formula>
    </cfRule>
    <cfRule type="expression" dxfId="294" priority="18">
      <formula>#REF!&gt;#REF!</formula>
    </cfRule>
  </conditionalFormatting>
  <conditionalFormatting sqref="AM20">
    <cfRule type="expression" dxfId="293" priority="15">
      <formula>#REF!&lt;#REF!</formula>
    </cfRule>
    <cfRule type="expression" dxfId="292" priority="16">
      <formula>#REF!&gt;#REF!</formula>
    </cfRule>
  </conditionalFormatting>
  <conditionalFormatting sqref="Z22:AH22 AK22">
    <cfRule type="expression" dxfId="291" priority="13">
      <formula>#REF!&lt;#REF!</formula>
    </cfRule>
    <cfRule type="expression" dxfId="290" priority="14">
      <formula>#REF!&gt;#REF!</formula>
    </cfRule>
  </conditionalFormatting>
  <conditionalFormatting sqref="AM22">
    <cfRule type="expression" dxfId="289" priority="11">
      <formula>#REF!&lt;#REF!</formula>
    </cfRule>
    <cfRule type="expression" dxfId="288" priority="12">
      <formula>#REF!&gt;#REF!</formula>
    </cfRule>
  </conditionalFormatting>
  <conditionalFormatting sqref="K27 I27">
    <cfRule type="expression" dxfId="287" priority="9">
      <formula>I27&gt;AB27</formula>
    </cfRule>
    <cfRule type="expression" dxfId="286" priority="10">
      <formula>I27&lt;AB27</formula>
    </cfRule>
  </conditionalFormatting>
  <conditionalFormatting sqref="G27">
    <cfRule type="expression" dxfId="285" priority="7">
      <formula>G27&gt;Z27</formula>
    </cfRule>
    <cfRule type="expression" dxfId="284" priority="8">
      <formula>G27&lt;Z27</formula>
    </cfRule>
  </conditionalFormatting>
  <conditionalFormatting sqref="M27">
    <cfRule type="expression" dxfId="283" priority="5">
      <formula>M27&gt;AF27</formula>
    </cfRule>
    <cfRule type="expression" dxfId="282" priority="6">
      <formula>M27&lt;AF27</formula>
    </cfRule>
  </conditionalFormatting>
  <conditionalFormatting sqref="AK27 Z27:AH27">
    <cfRule type="expression" dxfId="281" priority="3">
      <formula>#REF!&lt;#REF!</formula>
    </cfRule>
    <cfRule type="expression" dxfId="280" priority="4">
      <formula>#REF!&gt;#REF!</formula>
    </cfRule>
  </conditionalFormatting>
  <conditionalFormatting sqref="AM27">
    <cfRule type="expression" dxfId="279" priority="1">
      <formula>#REF!&lt;#REF!</formula>
    </cfRule>
    <cfRule type="expression" dxfId="278" priority="2">
      <formula>#REF!&gt;#REF!</formula>
    </cfRule>
  </conditionalFormatting>
  <dataValidations count="2">
    <dataValidation type="list" allowBlank="1" showInputMessage="1" showErrorMessage="1" sqref="E9">
      <formula1>"Choose,Q1,Q2,Q3,Q4,Delay"</formula1>
    </dataValidation>
    <dataValidation type="list" allowBlank="1" showInputMessage="1" showErrorMessage="1" sqref="E12 I12">
      <formula1>dataHarmLevels</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4"/>
  </sheetPr>
  <dimension ref="A1:AM279"/>
  <sheetViews>
    <sheetView topLeftCell="A3" workbookViewId="0">
      <selection activeCell="E18" sqref="E18"/>
    </sheetView>
  </sheetViews>
  <sheetFormatPr defaultColWidth="8.81640625" defaultRowHeight="16.2"/>
  <cols>
    <col min="1" max="2" width="1.7265625" style="112" customWidth="1"/>
    <col min="3" max="3" width="30.453125" style="112" customWidth="1"/>
    <col min="4" max="4" width="1.7265625" style="112" customWidth="1"/>
    <col min="5" max="5" width="11.90625" style="112" customWidth="1"/>
    <col min="6" max="6" width="1.7265625" style="112" customWidth="1"/>
    <col min="7" max="7" width="11.90625" style="112" customWidth="1"/>
    <col min="8" max="8" width="1.7265625" style="112" customWidth="1"/>
    <col min="9" max="9" width="11.90625" style="112" customWidth="1"/>
    <col min="10" max="10" width="1.7265625" style="112" customWidth="1"/>
    <col min="11" max="11" width="11.90625" style="112" customWidth="1"/>
    <col min="12" max="12" width="1.7265625" style="112" customWidth="1"/>
    <col min="13" max="13" width="11.90625" style="112" customWidth="1"/>
    <col min="14" max="14" width="1.7265625" style="112" customWidth="1"/>
    <col min="15" max="15" width="11.7265625" style="112" customWidth="1"/>
    <col min="16" max="17" width="1.7265625" style="112" customWidth="1"/>
    <col min="18" max="18" width="11.7265625" style="112" customWidth="1"/>
    <col min="19" max="19" width="8.81640625" style="112"/>
    <col min="20" max="20" width="11.81640625" style="112" customWidth="1"/>
    <col min="21" max="21" width="8.81640625" style="112"/>
    <col min="22" max="22" width="8.90625" style="112" bestFit="1" customWidth="1"/>
    <col min="23" max="25" width="8.81640625" style="112"/>
    <col min="26" max="26" width="12.453125" style="112" bestFit="1" customWidth="1"/>
    <col min="27" max="27" width="8.81640625" style="112"/>
    <col min="28" max="28" width="12.453125" style="112" bestFit="1" customWidth="1"/>
    <col min="29" max="29" width="8.81640625" style="112"/>
    <col min="30" max="30" width="12.453125" style="112" bestFit="1" customWidth="1"/>
    <col min="31" max="31" width="8.81640625" style="112"/>
    <col min="32" max="32" width="12.453125" style="112" bestFit="1" customWidth="1"/>
    <col min="33" max="33" width="8.81640625" style="112"/>
    <col min="34" max="34" width="14.90625" style="112" bestFit="1" customWidth="1"/>
    <col min="35" max="35" width="8.81640625" style="112"/>
    <col min="36" max="37" width="13.7265625" style="112" bestFit="1" customWidth="1"/>
    <col min="38" max="16384" width="8.81640625" style="112"/>
  </cols>
  <sheetData>
    <row r="1" spans="1:27" s="111" customFormat="1" ht="6" customHeight="1">
      <c r="C1" s="949"/>
    </row>
    <row r="2" spans="1:27" s="111" customFormat="1" ht="25.95" customHeight="1">
      <c r="C2" s="949"/>
      <c r="E2" s="182"/>
      <c r="I2" s="95"/>
      <c r="K2" s="672"/>
      <c r="O2" s="796" t="s">
        <v>1935</v>
      </c>
      <c r="V2" s="113" t="s">
        <v>3020</v>
      </c>
      <c r="W2" s="111" t="s">
        <v>152</v>
      </c>
    </row>
    <row r="3" spans="1:27" s="770" customFormat="1" ht="21" customHeight="1">
      <c r="A3" s="768"/>
      <c r="B3" s="768"/>
      <c r="C3" s="781" t="str">
        <f>DB_Dashboard1</f>
        <v>Financial Scorecard: Y5 Revenue0498050988.5917920CAGR00.3855958201441540Y1 Operating Margin0-0.19</v>
      </c>
      <c r="D3" s="768"/>
      <c r="E3" s="768"/>
      <c r="F3" s="768"/>
      <c r="G3" s="769"/>
      <c r="H3" s="768"/>
      <c r="I3" s="768"/>
      <c r="J3" s="768"/>
      <c r="K3" s="771"/>
      <c r="L3" s="768"/>
      <c r="M3" s="768"/>
    </row>
    <row r="4" spans="1:27" s="768" customFormat="1" ht="21" customHeight="1">
      <c r="C4" s="782" t="str">
        <f>DB_Dashboard2</f>
        <v>Non-Financial Scorecard: CSat0500Employee Engagement0500Trust050</v>
      </c>
    </row>
    <row r="5" spans="1:27" s="768" customFormat="1" ht="21" customHeight="1">
      <c r="C5" s="783" t="str">
        <f>DB_Dashboard1Y2</f>
        <v>Disruption &amp; Budget: Disruption00.50Y1 Budget Left0250000000Y2 Budget Left010000000</v>
      </c>
    </row>
    <row r="6" spans="1:27" s="192" customFormat="1" ht="24" customHeight="1">
      <c r="C6" s="192" t="s">
        <v>404</v>
      </c>
    </row>
    <row r="7" spans="1:27" s="114" customFormat="1" ht="8.4" customHeight="1"/>
    <row r="8" spans="1:27" s="187" customFormat="1" ht="21.9" customHeight="1">
      <c r="C8" s="196" t="s">
        <v>1251</v>
      </c>
      <c r="D8" s="188"/>
      <c r="E8" s="188"/>
      <c r="F8" s="188"/>
      <c r="G8" s="188"/>
      <c r="H8" s="188"/>
      <c r="I8" s="188"/>
      <c r="J8" s="188"/>
      <c r="K8" s="196" t="s">
        <v>519</v>
      </c>
      <c r="L8" s="188"/>
      <c r="M8" s="188"/>
      <c r="N8" s="188"/>
      <c r="O8" s="188"/>
      <c r="P8" s="186"/>
      <c r="Q8" s="186"/>
      <c r="R8" s="186"/>
      <c r="U8" s="114"/>
    </row>
    <row r="9" spans="1:27" s="187" customFormat="1" ht="13.95" customHeight="1" thickBot="1">
      <c r="C9" s="615"/>
      <c r="D9" s="194"/>
      <c r="E9" s="712" t="s">
        <v>1941</v>
      </c>
      <c r="F9" s="194"/>
      <c r="G9" s="194"/>
      <c r="H9" s="194"/>
      <c r="I9" s="194"/>
      <c r="J9" s="194"/>
      <c r="K9" s="615"/>
      <c r="L9" s="194"/>
      <c r="M9" s="194"/>
      <c r="N9" s="194"/>
      <c r="O9" s="712" t="s">
        <v>1941</v>
      </c>
      <c r="P9" s="195"/>
      <c r="Q9" s="195"/>
      <c r="R9" s="195"/>
    </row>
    <row r="10" spans="1:27" s="187" customFormat="1" ht="21.9" customHeight="1" thickTop="1" thickBot="1">
      <c r="C10" s="740" t="s">
        <v>2270</v>
      </c>
      <c r="D10" s="194"/>
      <c r="E10" s="445" t="s">
        <v>1665</v>
      </c>
      <c r="F10" s="194"/>
      <c r="G10" s="194"/>
      <c r="H10" s="194"/>
      <c r="I10" s="194"/>
      <c r="J10" s="741" t="s">
        <v>2267</v>
      </c>
      <c r="L10" s="194"/>
      <c r="N10" s="194"/>
      <c r="O10" s="445" t="s">
        <v>1665</v>
      </c>
      <c r="P10" s="195"/>
      <c r="Q10" s="195"/>
      <c r="R10" s="195"/>
      <c r="U10" s="114"/>
    </row>
    <row r="11" spans="1:27" s="187" customFormat="1" ht="5.4" customHeight="1" thickTop="1">
      <c r="C11" s="678"/>
      <c r="D11" s="194"/>
      <c r="E11" s="194"/>
      <c r="F11" s="194"/>
      <c r="G11" s="194"/>
      <c r="H11" s="194"/>
      <c r="I11" s="194"/>
      <c r="J11" s="194"/>
      <c r="K11" s="615"/>
      <c r="L11" s="194"/>
      <c r="M11" s="194"/>
      <c r="N11" s="194"/>
      <c r="O11" s="194"/>
      <c r="P11" s="195"/>
      <c r="Q11" s="195"/>
      <c r="R11" s="195"/>
      <c r="U11" s="114"/>
    </row>
    <row r="12" spans="1:27" s="114" customFormat="1" ht="16.2" customHeight="1" thickBot="1">
      <c r="C12" s="450"/>
      <c r="D12" s="189"/>
      <c r="E12" s="219" t="s">
        <v>1654</v>
      </c>
      <c r="F12" s="189"/>
      <c r="G12" s="481" t="s">
        <v>2197</v>
      </c>
      <c r="K12" s="463"/>
      <c r="L12" s="483" t="s">
        <v>409</v>
      </c>
    </row>
    <row r="13" spans="1:27" s="114" customFormat="1" ht="19.95" customHeight="1" thickTop="1" thickBot="1">
      <c r="C13" s="740" t="s">
        <v>1648</v>
      </c>
      <c r="D13" s="189"/>
      <c r="E13" s="445">
        <v>0</v>
      </c>
      <c r="F13" s="189"/>
      <c r="G13" s="480">
        <f>INDEX(calcFullITExp,1,xxIndexTeam)</f>
        <v>0</v>
      </c>
      <c r="J13" s="451"/>
      <c r="K13" s="602" t="s">
        <v>410</v>
      </c>
      <c r="L13" s="190"/>
      <c r="M13" s="602" t="s">
        <v>412</v>
      </c>
      <c r="N13" s="602"/>
      <c r="O13" s="602" t="s">
        <v>411</v>
      </c>
      <c r="R13" s="481" t="s">
        <v>2197</v>
      </c>
      <c r="U13" s="195"/>
      <c r="X13" s="195"/>
    </row>
    <row r="14" spans="1:27" s="114" customFormat="1" ht="1.95" customHeight="1" thickTop="1" thickBot="1">
      <c r="C14" s="679"/>
      <c r="F14" s="189"/>
      <c r="G14" s="187"/>
      <c r="K14" s="115"/>
      <c r="L14" s="115"/>
      <c r="M14" s="115"/>
      <c r="N14" s="115"/>
      <c r="O14" s="115"/>
      <c r="P14" s="197"/>
      <c r="R14" s="189"/>
      <c r="U14" s="592"/>
      <c r="X14" s="195"/>
    </row>
    <row r="15" spans="1:27" s="114" customFormat="1" ht="14.4" customHeight="1" thickTop="1" thickBot="1">
      <c r="C15" s="462" t="s">
        <v>2280</v>
      </c>
      <c r="F15" s="189"/>
      <c r="G15" s="187"/>
      <c r="K15" s="440" t="s">
        <v>1665</v>
      </c>
      <c r="M15" s="440" t="s">
        <v>1665</v>
      </c>
      <c r="N15" s="432"/>
      <c r="O15" s="440" t="s">
        <v>1665</v>
      </c>
      <c r="R15" s="480">
        <f>tlOutputSecurityP0Cost+tlOutputSecurityP1Cost+tlOutputSecurityP2Cost</f>
        <v>0</v>
      </c>
      <c r="U15" s="587"/>
      <c r="X15" s="195"/>
      <c r="Z15" s="480">
        <f>INDEX(calcImmediateP0Cost,1,xxIndexTeam)</f>
        <v>0</v>
      </c>
      <c r="AA15" s="115" t="s">
        <v>3695</v>
      </c>
    </row>
    <row r="16" spans="1:27" s="114" customFormat="1" ht="19.2" customHeight="1" thickTop="1">
      <c r="C16" s="570" t="str">
        <f>IF(tlInputITIntegrationLevel&gt;0,INDEX(Data!$I$8:$I$11,1,),"")</f>
        <v/>
      </c>
      <c r="D16" s="571"/>
      <c r="E16" s="572" t="str">
        <f>IF(tlInputITIntegrationLevel&gt;1,INDEX(Data!$I$8:$I$11,2,),"")</f>
        <v/>
      </c>
      <c r="F16" s="571"/>
      <c r="G16" s="572" t="str">
        <f>IF(tlInputITIntegrationLevel&gt;2,INDEX(Data!$I$8:$I$11,3,),"")</f>
        <v/>
      </c>
      <c r="H16" s="571"/>
      <c r="I16" s="573" t="str">
        <f>IF(tlInputITIntegrationLevel&gt;3,INDEX(Data!$I$8:$I$11,4,),"")</f>
        <v/>
      </c>
      <c r="U16" s="491"/>
      <c r="X16" s="195"/>
      <c r="Z16" s="480">
        <f>INDEX(calcImmediateP1Cost,1,xxIndexTeam)</f>
        <v>0</v>
      </c>
      <c r="AA16" s="115" t="s">
        <v>3694</v>
      </c>
    </row>
    <row r="17" spans="1:39" s="115" customFormat="1" ht="8.4" customHeight="1" thickBot="1">
      <c r="A17" s="114"/>
      <c r="B17" s="114"/>
      <c r="J17" s="197"/>
      <c r="S17" s="114"/>
      <c r="T17" s="114"/>
      <c r="U17" s="491"/>
      <c r="Z17" s="480">
        <f>INDEX(calcImmediateP2Cost,1,xxIndexTeam)</f>
        <v>0</v>
      </c>
      <c r="AA17" s="115" t="s">
        <v>3693</v>
      </c>
    </row>
    <row r="18" spans="1:39" s="114" customFormat="1" ht="19.95" customHeight="1" thickTop="1" thickBot="1">
      <c r="C18" s="450" t="s">
        <v>1154</v>
      </c>
      <c r="E18" s="534" t="s">
        <v>1665</v>
      </c>
      <c r="F18" s="189"/>
      <c r="G18" s="480">
        <f>INDEX(calcRealEsateCost,1,xxIndexTeam)</f>
        <v>0</v>
      </c>
      <c r="K18" s="187"/>
      <c r="L18" s="194"/>
      <c r="M18" s="460" t="s">
        <v>506</v>
      </c>
      <c r="N18" s="189"/>
      <c r="O18" s="440" t="s">
        <v>1665</v>
      </c>
      <c r="R18" s="480">
        <f>INDEX(calcSiteInfrastructureBuildOutCost,1,xxIndexTeam)</f>
        <v>0</v>
      </c>
      <c r="U18" s="491"/>
    </row>
    <row r="19" spans="1:39" s="114" customFormat="1" ht="6.6" customHeight="1" thickTop="1" thickBot="1">
      <c r="C19" s="460"/>
      <c r="D19" s="189"/>
      <c r="E19" s="189"/>
      <c r="F19" s="189"/>
      <c r="G19" s="187"/>
      <c r="M19" s="189"/>
      <c r="U19" s="495"/>
      <c r="X19" s="195"/>
    </row>
    <row r="20" spans="1:39" s="114" customFormat="1" ht="19.95" customHeight="1" thickTop="1" thickBot="1">
      <c r="F20" s="189"/>
      <c r="H20" s="451"/>
      <c r="I20" s="451"/>
      <c r="M20" s="460" t="s">
        <v>1032</v>
      </c>
      <c r="O20" s="440" t="s">
        <v>1665</v>
      </c>
      <c r="R20" s="629" t="s">
        <v>81</v>
      </c>
      <c r="U20" s="587"/>
      <c r="X20" s="195"/>
      <c r="Y20" s="191"/>
    </row>
    <row r="21" spans="1:39" s="114" customFormat="1" ht="6.6" customHeight="1" thickTop="1">
      <c r="C21" s="197"/>
      <c r="D21" s="190"/>
      <c r="E21" s="197"/>
      <c r="F21" s="197"/>
      <c r="G21" s="432"/>
      <c r="H21" s="432"/>
      <c r="I21" s="432"/>
      <c r="K21" s="198"/>
      <c r="L21" s="194"/>
      <c r="N21" s="189"/>
      <c r="O21" s="197"/>
      <c r="U21" s="587"/>
      <c r="X21" s="195"/>
    </row>
    <row r="22" spans="1:39" s="489" customFormat="1" ht="21.9" customHeight="1" thickBot="1">
      <c r="A22" s="187"/>
      <c r="B22" s="187"/>
      <c r="C22" s="666" t="s">
        <v>462</v>
      </c>
      <c r="D22" s="195"/>
      <c r="E22" s="592" t="s">
        <v>405</v>
      </c>
      <c r="F22" s="195"/>
      <c r="G22" s="195" t="s">
        <v>899</v>
      </c>
      <c r="H22" s="195"/>
      <c r="I22" s="195" t="s">
        <v>900</v>
      </c>
      <c r="J22" s="195"/>
      <c r="K22" s="195" t="s">
        <v>901</v>
      </c>
      <c r="L22" s="195"/>
      <c r="M22" s="195" t="s">
        <v>902</v>
      </c>
      <c r="O22" s="592" t="s">
        <v>1278</v>
      </c>
      <c r="P22" s="195"/>
      <c r="Q22" s="187"/>
      <c r="R22" s="592" t="s">
        <v>1279</v>
      </c>
      <c r="S22" s="187"/>
      <c r="T22" s="592" t="s">
        <v>2413</v>
      </c>
      <c r="U22" s="651"/>
      <c r="V22" s="490"/>
      <c r="Z22" s="195" t="s">
        <v>899</v>
      </c>
      <c r="AA22" s="195"/>
      <c r="AB22" s="195" t="s">
        <v>900</v>
      </c>
      <c r="AC22" s="195"/>
      <c r="AD22" s="195" t="s">
        <v>901</v>
      </c>
      <c r="AE22" s="195"/>
      <c r="AF22" s="195" t="s">
        <v>902</v>
      </c>
      <c r="AH22" s="592" t="s">
        <v>1278</v>
      </c>
      <c r="AI22" s="195"/>
      <c r="AJ22" s="187"/>
      <c r="AK22" s="592" t="s">
        <v>1279</v>
      </c>
      <c r="AM22" s="592" t="s">
        <v>2413</v>
      </c>
    </row>
    <row r="23" spans="1:39" s="489" customFormat="1" ht="21.9" customHeight="1" thickTop="1" thickBot="1">
      <c r="A23" s="187"/>
      <c r="B23" s="187"/>
      <c r="C23" s="667" t="s">
        <v>1938</v>
      </c>
      <c r="D23" s="654"/>
      <c r="E23" s="655">
        <f>SUM(Data!$H$276:$K$276)</f>
        <v>51666666.666666672</v>
      </c>
      <c r="F23" s="656"/>
      <c r="G23" s="657">
        <f>INDEX(calcQ1RevenueY1Q1,1,xxIndexTeam)*4</f>
        <v>9375000</v>
      </c>
      <c r="H23" s="657"/>
      <c r="I23" s="657">
        <f>INDEX(calcQ2RevenueY1Q2,1,xxIndexTeam)*4</f>
        <v>11458333.333333332</v>
      </c>
      <c r="J23" s="657"/>
      <c r="K23" s="657">
        <f>INDEX(calcQ3RevenueY1Q3,1,xxIndexTeam)*4</f>
        <v>17708333.333333336</v>
      </c>
      <c r="L23" s="657"/>
      <c r="M23" s="657">
        <f>INDEX(calcQ4RevenueY1Q4,1,xxIndexTeam)*4</f>
        <v>26041666.666666664</v>
      </c>
      <c r="N23" s="657"/>
      <c r="O23" s="668">
        <f>SUM(G23:M23)</f>
        <v>64583333.333333336</v>
      </c>
      <c r="P23" s="654"/>
      <c r="Q23" s="654"/>
      <c r="R23" s="668">
        <f>INDEX(calcY2Q1RevenueY2Q1,1,xxIndexTeam)*4+INDEX(calcY2Q2RevenueY2Q2,1,xxIndexTeam)*4+INDEX(calcY2Q3RevenueY2Q3,1,xxIndexTeam)*4+INDEX(calcY2Q4RevenueY2Q4,1,xxIndexTeam)*4</f>
        <v>80729166.666666657</v>
      </c>
      <c r="S23" s="654"/>
      <c r="T23" s="669">
        <f>INDEX(calcY5Q1RevenueY5Q1,1,xxIndexTeam)*4+INDEX(calcY5Q2RevenueY5Q2,1,xxIndexTeam)*4+INDEX(calcY5Q3RevenueY5Q3,1,xxIndexTeam)*4+INDEX(calcY5Q4RevenueY5Q4,1,xxIndexTeam)*4</f>
        <v>100235351.5625</v>
      </c>
      <c r="U23" s="764"/>
      <c r="V23" s="490"/>
      <c r="Z23" s="587">
        <v>9375000</v>
      </c>
      <c r="AA23" s="587"/>
      <c r="AB23" s="587">
        <v>11458333.333333332</v>
      </c>
      <c r="AC23" s="587"/>
      <c r="AD23" s="587">
        <v>17708333.333333336</v>
      </c>
      <c r="AE23" s="587"/>
      <c r="AF23" s="587">
        <v>26041666.666666664</v>
      </c>
      <c r="AG23" s="587"/>
      <c r="AH23" s="608">
        <v>64583333.333333336</v>
      </c>
      <c r="AI23" s="195"/>
      <c r="AJ23" s="195"/>
      <c r="AK23" s="608">
        <v>80729166.666666657</v>
      </c>
      <c r="AM23" s="608">
        <v>100235351.5625</v>
      </c>
    </row>
    <row r="24" spans="1:39" s="489" customFormat="1" ht="21.9" customHeight="1" thickTop="1">
      <c r="A24" s="187"/>
      <c r="B24" s="187"/>
      <c r="C24" s="187" t="s">
        <v>140</v>
      </c>
      <c r="D24" s="187"/>
      <c r="E24" s="517">
        <f>INDEX(obalTargetRev,1,xxIndexTeam)</f>
        <v>97519391.714228541</v>
      </c>
      <c r="F24" s="505"/>
      <c r="G24" s="724">
        <f>INDEX(finQ1Rev,1,xxIndexTeam)</f>
        <v>30955843.466136772</v>
      </c>
      <c r="H24" s="724"/>
      <c r="I24" s="724">
        <f>INDEX(finQ2Rev,1,xxIndexTeam)</f>
        <v>33831624.25685782</v>
      </c>
      <c r="J24" s="724"/>
      <c r="K24" s="724">
        <f>INDEX(finQ3Rev,1,xxIndexTeam)</f>
        <v>38275308.995502166</v>
      </c>
      <c r="L24" s="724"/>
      <c r="M24" s="724">
        <f>INDEX(finQ4Rev,1,xxIndexTeam)</f>
        <v>44809163.697226644</v>
      </c>
      <c r="N24" s="491"/>
      <c r="O24" s="518">
        <f>INDEX(FinAnnualRev,1,xxIndexTeam)</f>
        <v>147871940.41572341</v>
      </c>
      <c r="P24" s="187"/>
      <c r="Q24" s="187"/>
      <c r="R24" s="518">
        <f>INDEX(FinY2AnnualRev,1,xxIndexTeam)</f>
        <v>221091472.98381251</v>
      </c>
      <c r="S24" s="187"/>
      <c r="T24" s="518">
        <f>INDEX(FinY5AnnualRev,1,xxIndexTeam)</f>
        <v>498050988.59179169</v>
      </c>
      <c r="U24" s="764"/>
      <c r="V24" s="490" t="b">
        <v>0</v>
      </c>
      <c r="Z24" s="516">
        <v>30955843.466136772</v>
      </c>
      <c r="AA24" s="516"/>
      <c r="AB24" s="516">
        <v>33831624.25685782</v>
      </c>
      <c r="AC24" s="516"/>
      <c r="AD24" s="516">
        <v>38275308.995502166</v>
      </c>
      <c r="AE24" s="516"/>
      <c r="AF24" s="516">
        <v>44809163.697226644</v>
      </c>
      <c r="AG24" s="491"/>
      <c r="AH24" s="518">
        <v>147871940.41572341</v>
      </c>
      <c r="AI24" s="187"/>
      <c r="AJ24" s="187"/>
      <c r="AK24" s="518">
        <v>221091472.98381251</v>
      </c>
      <c r="AM24" s="518">
        <v>498050988.59179169</v>
      </c>
    </row>
    <row r="25" spans="1:39" s="489" customFormat="1" ht="5.4" customHeight="1">
      <c r="A25" s="187"/>
      <c r="B25" s="187"/>
      <c r="C25" s="187"/>
      <c r="D25" s="187"/>
      <c r="E25" s="519"/>
      <c r="F25" s="505"/>
      <c r="G25" s="587"/>
      <c r="H25" s="587"/>
      <c r="I25" s="587"/>
      <c r="J25" s="587"/>
      <c r="K25" s="587"/>
      <c r="L25" s="587"/>
      <c r="M25" s="587"/>
      <c r="N25" s="491"/>
      <c r="O25" s="606"/>
      <c r="P25" s="187"/>
      <c r="Q25" s="187"/>
      <c r="R25" s="606"/>
      <c r="S25" s="187"/>
      <c r="T25" s="606"/>
      <c r="U25" s="764"/>
      <c r="V25" s="490" t="b">
        <v>0</v>
      </c>
      <c r="Z25" s="491"/>
      <c r="AA25" s="491"/>
      <c r="AB25" s="491"/>
      <c r="AC25" s="491"/>
      <c r="AD25" s="491"/>
      <c r="AE25" s="491"/>
      <c r="AF25" s="491"/>
      <c r="AG25" s="491"/>
      <c r="AH25" s="606"/>
      <c r="AI25" s="187"/>
      <c r="AJ25" s="187"/>
      <c r="AK25" s="606"/>
      <c r="AM25" s="606"/>
    </row>
    <row r="26" spans="1:39" s="492" customFormat="1" ht="21.9" customHeight="1">
      <c r="A26" s="463"/>
      <c r="B26" s="463"/>
      <c r="C26" s="187" t="s">
        <v>237</v>
      </c>
      <c r="D26" s="463"/>
      <c r="E26" s="521">
        <f>tlOutputTimelineY0Revenue-tlOutputTimelineY0COGs</f>
        <v>78015513.371382833</v>
      </c>
      <c r="F26" s="506"/>
      <c r="G26" s="516">
        <f>tlOutputTimelineQ1Revenue-tlOutputTimelineQ1COGs</f>
        <v>24764674.772909418</v>
      </c>
      <c r="H26" s="516"/>
      <c r="I26" s="516">
        <f>tlOutputTimelineQ2Revenue-tlOutputTimelineQ2COGs</f>
        <v>27065299.405486256</v>
      </c>
      <c r="J26" s="516"/>
      <c r="K26" s="516">
        <f>tlOutputTimelineQ3Revenue-tlOutputTimelineQ3COGs</f>
        <v>30620247.196401734</v>
      </c>
      <c r="L26" s="516"/>
      <c r="M26" s="516">
        <f>tlOutputTimelineQ4Revenue-tlOutputTimelineQ4COGs</f>
        <v>35847330.957781315</v>
      </c>
      <c r="N26" s="491"/>
      <c r="O26" s="518">
        <f>tlOutputTimelineY1Revenue-tlOutputTimelineY1COGs</f>
        <v>118297552.33257873</v>
      </c>
      <c r="P26" s="187"/>
      <c r="Q26" s="187"/>
      <c r="R26" s="518">
        <f>tlOutputTimelineY2Revenue-tlOutputTimelineY2COGs</f>
        <v>176873178.38705003</v>
      </c>
      <c r="S26" s="187"/>
      <c r="T26" s="518">
        <f>tlOutputTimelineY5Revenue-tlOutputTimelineY5COGs</f>
        <v>398440790.87343335</v>
      </c>
      <c r="U26" s="491"/>
      <c r="V26" s="490" t="b">
        <v>0</v>
      </c>
      <c r="Z26" s="516">
        <v>24764674.772909418</v>
      </c>
      <c r="AA26" s="516"/>
      <c r="AB26" s="516">
        <v>27065299.405486256</v>
      </c>
      <c r="AC26" s="516"/>
      <c r="AD26" s="516">
        <v>30620247.196401734</v>
      </c>
      <c r="AE26" s="516"/>
      <c r="AF26" s="516">
        <v>35847330.957781315</v>
      </c>
      <c r="AG26" s="491"/>
      <c r="AH26" s="518">
        <v>118297552.33257873</v>
      </c>
      <c r="AI26" s="187"/>
      <c r="AJ26" s="187"/>
      <c r="AK26" s="518">
        <v>176873178.38705003</v>
      </c>
      <c r="AM26" s="518">
        <v>398440790.87343335</v>
      </c>
    </row>
    <row r="27" spans="1:39" s="496" customFormat="1" ht="18.600000000000001" customHeight="1">
      <c r="A27" s="493"/>
      <c r="B27" s="493"/>
      <c r="C27" s="494" t="s">
        <v>239</v>
      </c>
      <c r="D27" s="493"/>
      <c r="E27" s="520">
        <f>E26/E24</f>
        <v>0.8</v>
      </c>
      <c r="F27" s="507"/>
      <c r="G27" s="495">
        <f>G26/G24</f>
        <v>0.8</v>
      </c>
      <c r="H27" s="495"/>
      <c r="I27" s="495">
        <f>I26/I24</f>
        <v>0.8</v>
      </c>
      <c r="J27" s="495"/>
      <c r="K27" s="495">
        <f>K26/K24</f>
        <v>0.8</v>
      </c>
      <c r="L27" s="495"/>
      <c r="M27" s="495">
        <f>M26/M24</f>
        <v>0.8</v>
      </c>
      <c r="N27" s="495"/>
      <c r="O27" s="607">
        <f>O26/O24</f>
        <v>0.8</v>
      </c>
      <c r="P27" s="493"/>
      <c r="Q27" s="493"/>
      <c r="R27" s="607">
        <f>R26/R24</f>
        <v>0.80000000000000016</v>
      </c>
      <c r="S27" s="493"/>
      <c r="T27" s="607">
        <f>T26/T24</f>
        <v>0.8</v>
      </c>
      <c r="U27" s="764"/>
      <c r="V27" s="490" t="b">
        <v>0</v>
      </c>
      <c r="Z27" s="495">
        <v>0.8</v>
      </c>
      <c r="AA27" s="495"/>
      <c r="AB27" s="495">
        <v>0.8</v>
      </c>
      <c r="AC27" s="495"/>
      <c r="AD27" s="495">
        <v>0.8</v>
      </c>
      <c r="AE27" s="495"/>
      <c r="AF27" s="495">
        <v>0.8</v>
      </c>
      <c r="AG27" s="495"/>
      <c r="AH27" s="607">
        <v>0.8</v>
      </c>
      <c r="AI27" s="493"/>
      <c r="AJ27" s="493"/>
      <c r="AK27" s="607">
        <v>0.80000000000000016</v>
      </c>
      <c r="AM27" s="607">
        <v>0.8</v>
      </c>
    </row>
    <row r="28" spans="1:39" s="489" customFormat="1" ht="21.9" customHeight="1">
      <c r="A28" s="187"/>
      <c r="B28" s="187"/>
      <c r="C28" s="605" t="s">
        <v>425</v>
      </c>
      <c r="D28" s="195"/>
      <c r="E28" s="589">
        <f>tlOutputTimelineQ1MSExp+tlOutputTimelineQ1RDExp+tlOutputTimelineQ1GAExp</f>
        <v>30646285.031475402</v>
      </c>
      <c r="F28" s="586"/>
      <c r="G28" s="590">
        <f>tlOutputTimelineQ1MSExp+tlOutputTimelineQ1RDExp+tlOutputTimelineQ1GAExp</f>
        <v>30646285.031475402</v>
      </c>
      <c r="H28" s="590"/>
      <c r="I28" s="590">
        <f>tlOutputTimelineQ2MSExp+tlOutputTimelineQ2RDExp+tlOutputTimelineQ2GAExp</f>
        <v>33493308.014289245</v>
      </c>
      <c r="J28" s="590"/>
      <c r="K28" s="590">
        <f>tlOutputTimelineQ3MSExp+tlOutputTimelineQ3RDExp+tlOutputTimelineQ3GAExp</f>
        <v>37892555.905547149</v>
      </c>
      <c r="L28" s="590"/>
      <c r="M28" s="590">
        <f>tlOutputTimelineQ4MSExp+tlOutputTimelineQ4RDExp+tlOutputTimelineQ4GAExp</f>
        <v>44361072.06025438</v>
      </c>
      <c r="N28" s="587"/>
      <c r="O28" s="604">
        <f>tlOutputTimelineY1MSExp+tlOutputTimelineY1RDExp+tlOutputTimelineY1GAExp</f>
        <v>146393221.01156616</v>
      </c>
      <c r="P28" s="195"/>
      <c r="Q28" s="195"/>
      <c r="R28" s="604">
        <f>tlOutputTimelineY2MSExp+tlOutputTimelineY2RDExp+tlOutputTimelineY2GAExp</f>
        <v>215246846.85739619</v>
      </c>
      <c r="S28" s="195"/>
      <c r="T28" s="604">
        <f>tlOutputTimelineY5MSExp+tlOutputTimelineY5RDExp+tlOutputTimelineY5GAExp</f>
        <v>376681982.00044328</v>
      </c>
      <c r="U28" s="587"/>
      <c r="V28" s="497" t="b">
        <v>0</v>
      </c>
      <c r="Z28" s="590">
        <v>30646285.031475402</v>
      </c>
      <c r="AA28" s="590"/>
      <c r="AB28" s="590">
        <v>33493308.014289245</v>
      </c>
      <c r="AC28" s="590"/>
      <c r="AD28" s="590">
        <v>37892555.905547149</v>
      </c>
      <c r="AE28" s="590"/>
      <c r="AF28" s="590">
        <v>44361072.06025438</v>
      </c>
      <c r="AG28" s="587"/>
      <c r="AH28" s="604">
        <v>146393221.01156616</v>
      </c>
      <c r="AI28" s="195"/>
      <c r="AJ28" s="195"/>
      <c r="AK28" s="604">
        <v>215246846.85739619</v>
      </c>
      <c r="AM28" s="604">
        <v>457652600.97722107</v>
      </c>
    </row>
    <row r="29" spans="1:39" s="492" customFormat="1" ht="21.9" customHeight="1">
      <c r="A29" s="463"/>
      <c r="B29" s="463"/>
      <c r="C29" s="603" t="s">
        <v>426</v>
      </c>
      <c r="D29" s="592"/>
      <c r="E29" s="585">
        <f>INDEX(obalTargetStandaloneOpProf,1,xxIndexTeam)</f>
        <v>-18528684.425703421</v>
      </c>
      <c r="F29" s="593"/>
      <c r="G29" s="587">
        <f>G26-G28</f>
        <v>-5881610.2585659847</v>
      </c>
      <c r="H29" s="587"/>
      <c r="I29" s="587">
        <f>I26-I28</f>
        <v>-6428008.6088029891</v>
      </c>
      <c r="J29" s="587"/>
      <c r="K29" s="587">
        <f>K26-K28</f>
        <v>-7272308.7091454156</v>
      </c>
      <c r="L29" s="587"/>
      <c r="M29" s="587">
        <f>M26-M28</f>
        <v>-8513741.1024730653</v>
      </c>
      <c r="N29" s="587"/>
      <c r="O29" s="608">
        <f>O26-O28</f>
        <v>-28095668.678987429</v>
      </c>
      <c r="P29" s="195"/>
      <c r="Q29" s="195"/>
      <c r="R29" s="608">
        <f>R26-R28</f>
        <v>-38373668.470346153</v>
      </c>
      <c r="S29" s="195"/>
      <c r="T29" s="608">
        <f>T26-T28</f>
        <v>21758808.872990072</v>
      </c>
      <c r="U29" s="651"/>
      <c r="V29" s="490" t="b">
        <v>0</v>
      </c>
      <c r="Z29" s="587">
        <v>-5881610.2585659847</v>
      </c>
      <c r="AA29" s="587"/>
      <c r="AB29" s="587">
        <v>-6428008.6088029891</v>
      </c>
      <c r="AC29" s="587"/>
      <c r="AD29" s="587">
        <v>-7272308.7091454156</v>
      </c>
      <c r="AE29" s="587"/>
      <c r="AF29" s="587">
        <v>-8513741.1024730653</v>
      </c>
      <c r="AG29" s="587"/>
      <c r="AH29" s="608">
        <v>-28095668.678987429</v>
      </c>
      <c r="AI29" s="195"/>
      <c r="AJ29" s="195"/>
      <c r="AK29" s="608">
        <v>-38373668.470346153</v>
      </c>
      <c r="AM29" s="608">
        <v>-59211810.10378772</v>
      </c>
    </row>
    <row r="30" spans="1:39" s="496" customFormat="1" ht="21.9" customHeight="1">
      <c r="A30" s="493"/>
      <c r="B30" s="493"/>
      <c r="C30" s="594" t="s">
        <v>965</v>
      </c>
      <c r="D30" s="597"/>
      <c r="E30" s="598">
        <f>E29/E24</f>
        <v>-0.18999999999999997</v>
      </c>
      <c r="F30" s="595"/>
      <c r="G30" s="726">
        <f>G29/G24</f>
        <v>-0.18999999999999995</v>
      </c>
      <c r="H30" s="726"/>
      <c r="I30" s="726">
        <f>I29/I24</f>
        <v>-0.19000000000000009</v>
      </c>
      <c r="J30" s="726"/>
      <c r="K30" s="726">
        <f>K29/K24</f>
        <v>-0.19000000000000011</v>
      </c>
      <c r="L30" s="726"/>
      <c r="M30" s="726">
        <f>M29/M24</f>
        <v>-0.19000000000000006</v>
      </c>
      <c r="N30" s="596"/>
      <c r="O30" s="600">
        <f>O29/O24</f>
        <v>-0.18999999999999986</v>
      </c>
      <c r="P30" s="597"/>
      <c r="Q30" s="597"/>
      <c r="R30" s="600">
        <f>R29/R24</f>
        <v>-0.17356466964764275</v>
      </c>
      <c r="S30" s="597"/>
      <c r="T30" s="600">
        <f>T29/T24</f>
        <v>4.3687914232459928E-2</v>
      </c>
      <c r="U30" s="114"/>
      <c r="V30" s="490" t="b">
        <v>0</v>
      </c>
      <c r="Z30" s="599">
        <v>-0.18999999999999995</v>
      </c>
      <c r="AA30" s="599"/>
      <c r="AB30" s="599">
        <v>-0.19000000000000009</v>
      </c>
      <c r="AC30" s="599"/>
      <c r="AD30" s="599">
        <v>-0.19000000000000011</v>
      </c>
      <c r="AE30" s="599"/>
      <c r="AF30" s="599">
        <v>-0.19000000000000006</v>
      </c>
      <c r="AG30" s="596"/>
      <c r="AH30" s="600">
        <v>-0.18999999999999986</v>
      </c>
      <c r="AI30" s="597"/>
      <c r="AJ30" s="597"/>
      <c r="AK30" s="600">
        <v>-0.17356466964764275</v>
      </c>
      <c r="AM30" s="600">
        <v>-0.11888704462008086</v>
      </c>
    </row>
    <row r="31" spans="1:39" s="489" customFormat="1" ht="21.9" customHeight="1">
      <c r="A31" s="187"/>
      <c r="B31" s="187"/>
      <c r="C31" s="647" t="s">
        <v>466</v>
      </c>
      <c r="D31" s="195"/>
      <c r="E31" s="585"/>
      <c r="F31" s="586"/>
      <c r="G31" s="587"/>
      <c r="H31" s="587"/>
      <c r="I31" s="587"/>
      <c r="J31" s="587"/>
      <c r="K31" s="587"/>
      <c r="L31" s="587"/>
      <c r="M31" s="587"/>
      <c r="N31" s="587"/>
      <c r="O31" s="588"/>
      <c r="P31" s="195"/>
      <c r="Q31" s="195"/>
      <c r="R31" s="588"/>
      <c r="S31" s="195"/>
      <c r="T31" s="588"/>
      <c r="U31" s="114"/>
      <c r="V31" s="490" t="b">
        <v>0</v>
      </c>
      <c r="Z31" s="587"/>
      <c r="AA31" s="587"/>
      <c r="AB31" s="587"/>
      <c r="AC31" s="587"/>
      <c r="AD31" s="587"/>
      <c r="AE31" s="587"/>
      <c r="AF31" s="587"/>
      <c r="AG31" s="587"/>
      <c r="AH31" s="588"/>
      <c r="AI31" s="195"/>
      <c r="AJ31" s="195"/>
      <c r="AK31" s="588"/>
      <c r="AM31" s="588"/>
    </row>
    <row r="32" spans="1:39" s="489" customFormat="1" ht="21.9" customHeight="1" thickBot="1">
      <c r="A32" s="187"/>
      <c r="B32" s="187"/>
      <c r="C32" s="648" t="s">
        <v>1253</v>
      </c>
      <c r="D32" s="195"/>
      <c r="E32" s="805">
        <v>0</v>
      </c>
      <c r="F32" s="586"/>
      <c r="G32" s="725">
        <f>INDEX(finQ1HarmExp,1,xxIndexTeam)</f>
        <v>0</v>
      </c>
      <c r="H32" s="725"/>
      <c r="I32" s="725">
        <f>INDEX(finQ2HarmExp,1,xxIndexTeam)</f>
        <v>0</v>
      </c>
      <c r="J32" s="725"/>
      <c r="K32" s="725">
        <f>INDEX(finQ3HarmExp,1,xxIndexTeam)</f>
        <v>0</v>
      </c>
      <c r="L32" s="725"/>
      <c r="M32" s="725">
        <f>INDEX(finQ4HarmExp,1,xxIndexTeam)</f>
        <v>0</v>
      </c>
      <c r="N32" s="587"/>
      <c r="O32" s="588">
        <f>INDEX(finAnnualHarmExp,1,xxIndexTeam)</f>
        <v>0</v>
      </c>
      <c r="P32" s="195"/>
      <c r="Q32" s="195"/>
      <c r="R32" s="588">
        <f>INDEX(finY2AnnualHarmExp,1,xxIndexTeam)</f>
        <v>0</v>
      </c>
      <c r="S32" s="195"/>
      <c r="T32" s="804"/>
      <c r="U32" s="114"/>
      <c r="V32" s="490" t="b">
        <v>0</v>
      </c>
      <c r="Z32" s="587">
        <v>0</v>
      </c>
      <c r="AA32" s="587"/>
      <c r="AB32" s="587">
        <v>0</v>
      </c>
      <c r="AC32" s="587"/>
      <c r="AD32" s="587">
        <v>0</v>
      </c>
      <c r="AE32" s="587"/>
      <c r="AF32" s="587">
        <v>0</v>
      </c>
      <c r="AG32" s="587"/>
      <c r="AH32" s="588">
        <v>0</v>
      </c>
      <c r="AI32" s="195"/>
      <c r="AJ32" s="195"/>
      <c r="AK32" s="588">
        <v>0</v>
      </c>
      <c r="AM32" s="588"/>
    </row>
    <row r="33" spans="1:39" s="489" customFormat="1" ht="21.9" customHeight="1" thickTop="1" thickBot="1">
      <c r="A33" s="187"/>
      <c r="B33" s="187"/>
      <c r="C33" s="653" t="s">
        <v>466</v>
      </c>
      <c r="D33" s="654"/>
      <c r="E33" s="806">
        <v>0</v>
      </c>
      <c r="F33" s="656"/>
      <c r="G33" s="657">
        <f>INDEX(finQ1IntegrationBudget,1,xxIndexTeam)</f>
        <v>0</v>
      </c>
      <c r="H33" s="657"/>
      <c r="I33" s="657">
        <f>INDEX(finQ2IntegrationBudget,1,xxIndexTeam)</f>
        <v>0</v>
      </c>
      <c r="J33" s="657"/>
      <c r="K33" s="657">
        <f>INDEX(finQ3IntegrationBudget,1,xxIndexTeam)</f>
        <v>0</v>
      </c>
      <c r="L33" s="657"/>
      <c r="M33" s="657">
        <f>INDEX(finQ4IntegrationBudget,1,xxIndexTeam)</f>
        <v>0</v>
      </c>
      <c r="N33" s="657"/>
      <c r="O33" s="658">
        <f>INDEX(finY1IntegrationBudget,1,xxIndexTeam)</f>
        <v>0</v>
      </c>
      <c r="P33" s="654"/>
      <c r="Q33" s="654"/>
      <c r="R33" s="659">
        <f>INDEX(finY2IntegrationBudget,1,xxIndexTeam)</f>
        <v>0</v>
      </c>
      <c r="S33" s="195"/>
      <c r="T33" s="804"/>
      <c r="U33" s="764"/>
      <c r="V33" s="490" t="b">
        <v>0</v>
      </c>
      <c r="Z33" s="590">
        <v>0</v>
      </c>
      <c r="AA33" s="590"/>
      <c r="AB33" s="590">
        <v>0</v>
      </c>
      <c r="AC33" s="590"/>
      <c r="AD33" s="590">
        <v>0</v>
      </c>
      <c r="AE33" s="590"/>
      <c r="AF33" s="590">
        <v>0</v>
      </c>
      <c r="AG33" s="587"/>
      <c r="AH33" s="591">
        <v>0</v>
      </c>
      <c r="AI33" s="195"/>
      <c r="AJ33" s="195"/>
      <c r="AK33" s="591">
        <v>0</v>
      </c>
      <c r="AM33" s="591"/>
    </row>
    <row r="34" spans="1:39" s="492" customFormat="1" ht="21.9" customHeight="1" thickTop="1">
      <c r="A34" s="463"/>
      <c r="B34" s="463"/>
      <c r="C34" s="649" t="s">
        <v>469</v>
      </c>
      <c r="D34" s="592"/>
      <c r="E34" s="807">
        <f>SUM(E32:E33)</f>
        <v>0</v>
      </c>
      <c r="F34" s="593"/>
      <c r="G34" s="587">
        <f>SUM(G32:G33)</f>
        <v>0</v>
      </c>
      <c r="H34" s="587"/>
      <c r="I34" s="587">
        <f>SUM(I32:I33)</f>
        <v>0</v>
      </c>
      <c r="J34" s="587"/>
      <c r="K34" s="587">
        <f>SUM(K32:K33)</f>
        <v>0</v>
      </c>
      <c r="L34" s="587"/>
      <c r="M34" s="587">
        <f>SUM(M32:M33)</f>
        <v>0</v>
      </c>
      <c r="N34" s="587"/>
      <c r="O34" s="588">
        <f>SUM(O32:O33)</f>
        <v>0</v>
      </c>
      <c r="P34" s="195"/>
      <c r="Q34" s="195"/>
      <c r="R34" s="588">
        <f>SUM(R32:R33)</f>
        <v>0</v>
      </c>
      <c r="S34" s="195"/>
      <c r="T34" s="804"/>
      <c r="U34" s="114"/>
      <c r="V34" s="490" t="b">
        <v>0</v>
      </c>
      <c r="Z34" s="587">
        <v>0</v>
      </c>
      <c r="AA34" s="587"/>
      <c r="AB34" s="587">
        <v>0</v>
      </c>
      <c r="AC34" s="587"/>
      <c r="AD34" s="587">
        <v>0</v>
      </c>
      <c r="AE34" s="587"/>
      <c r="AF34" s="587">
        <v>0</v>
      </c>
      <c r="AG34" s="587"/>
      <c r="AH34" s="588">
        <v>0</v>
      </c>
      <c r="AI34" s="195"/>
      <c r="AJ34" s="195"/>
      <c r="AK34" s="588">
        <v>0</v>
      </c>
      <c r="AM34" s="588"/>
    </row>
    <row r="35" spans="1:39" s="489" customFormat="1" ht="5.4" customHeight="1">
      <c r="A35" s="187"/>
      <c r="B35" s="187"/>
      <c r="C35" s="648"/>
      <c r="D35" s="195"/>
      <c r="E35" s="585"/>
      <c r="F35" s="586"/>
      <c r="G35" s="587"/>
      <c r="H35" s="587"/>
      <c r="I35" s="587"/>
      <c r="J35" s="587"/>
      <c r="K35" s="587"/>
      <c r="L35" s="587"/>
      <c r="M35" s="587"/>
      <c r="N35" s="587"/>
      <c r="O35" s="588"/>
      <c r="P35" s="195"/>
      <c r="Q35" s="195"/>
      <c r="R35" s="588"/>
      <c r="S35" s="195"/>
      <c r="T35" s="588"/>
      <c r="U35" s="114"/>
      <c r="V35" s="490" t="b">
        <v>0</v>
      </c>
      <c r="Z35" s="587"/>
      <c r="AA35" s="587"/>
      <c r="AB35" s="587"/>
      <c r="AC35" s="587"/>
      <c r="AD35" s="587"/>
      <c r="AE35" s="587"/>
      <c r="AF35" s="587"/>
      <c r="AG35" s="587"/>
      <c r="AH35" s="588"/>
      <c r="AI35" s="195"/>
      <c r="AJ35" s="195"/>
      <c r="AK35" s="588"/>
      <c r="AM35" s="588"/>
    </row>
    <row r="36" spans="1:39" s="492" customFormat="1" ht="21.9" customHeight="1">
      <c r="A36" s="463"/>
      <c r="B36" s="463"/>
      <c r="C36" s="649" t="s">
        <v>1148</v>
      </c>
      <c r="D36" s="592"/>
      <c r="E36" s="589">
        <f>E29-E34</f>
        <v>-18528684.425703421</v>
      </c>
      <c r="F36" s="586"/>
      <c r="G36" s="587">
        <f>G29-G34</f>
        <v>-5881610.2585659847</v>
      </c>
      <c r="H36" s="587"/>
      <c r="I36" s="587">
        <f>I29-I34</f>
        <v>-6428008.6088029891</v>
      </c>
      <c r="J36" s="587"/>
      <c r="K36" s="587">
        <f>K29-K34</f>
        <v>-7272308.7091454156</v>
      </c>
      <c r="L36" s="587"/>
      <c r="M36" s="587">
        <f>M29-M34</f>
        <v>-8513741.1024730653</v>
      </c>
      <c r="N36" s="587"/>
      <c r="O36" s="591">
        <f>O29-O34</f>
        <v>-28095668.678987429</v>
      </c>
      <c r="P36" s="195"/>
      <c r="Q36" s="195"/>
      <c r="R36" s="591">
        <f>R29-R34</f>
        <v>-38373668.470346153</v>
      </c>
      <c r="S36" s="195"/>
      <c r="T36" s="591">
        <f>T29-T34</f>
        <v>21758808.872990072</v>
      </c>
      <c r="U36" s="114"/>
      <c r="V36" s="490" t="b">
        <v>0</v>
      </c>
      <c r="Z36" s="590">
        <v>-5881610.2585659847</v>
      </c>
      <c r="AA36" s="590"/>
      <c r="AB36" s="590">
        <v>-6428008.6088029891</v>
      </c>
      <c r="AC36" s="590"/>
      <c r="AD36" s="590">
        <v>-7272308.7091454156</v>
      </c>
      <c r="AE36" s="590"/>
      <c r="AF36" s="590">
        <v>-8513741.1024730653</v>
      </c>
      <c r="AG36" s="587"/>
      <c r="AH36" s="591">
        <v>-28095668.678987429</v>
      </c>
      <c r="AI36" s="195"/>
      <c r="AJ36" s="195"/>
      <c r="AK36" s="591">
        <v>-38373668.470346153</v>
      </c>
      <c r="AM36" s="591">
        <v>-59211810.10378772</v>
      </c>
    </row>
    <row r="37" spans="1:39" s="489" customFormat="1" ht="21.9" customHeight="1">
      <c r="A37" s="187"/>
      <c r="B37" s="187"/>
      <c r="C37" s="594" t="s">
        <v>1936</v>
      </c>
      <c r="D37" s="195"/>
      <c r="E37" s="650">
        <f>E36/E24</f>
        <v>-0.18999999999999997</v>
      </c>
      <c r="F37" s="595"/>
      <c r="G37" s="726">
        <f>G36/G24</f>
        <v>-0.18999999999999995</v>
      </c>
      <c r="H37" s="726"/>
      <c r="I37" s="726">
        <f>I36/I24</f>
        <v>-0.19000000000000009</v>
      </c>
      <c r="J37" s="726"/>
      <c r="K37" s="726">
        <f>K36/K24</f>
        <v>-0.19000000000000011</v>
      </c>
      <c r="L37" s="726"/>
      <c r="M37" s="726">
        <f>M36/M24</f>
        <v>-0.19000000000000006</v>
      </c>
      <c r="N37" s="596"/>
      <c r="O37" s="652">
        <f>O36/O24</f>
        <v>-0.18999999999999986</v>
      </c>
      <c r="P37" s="195"/>
      <c r="Q37" s="195"/>
      <c r="R37" s="652">
        <f>R36/R24</f>
        <v>-0.17356466964764275</v>
      </c>
      <c r="S37" s="195"/>
      <c r="T37" s="652">
        <f>T36/T24</f>
        <v>4.3687914232459928E-2</v>
      </c>
      <c r="U37" s="114"/>
      <c r="V37" s="490" t="b">
        <v>0</v>
      </c>
      <c r="Z37" s="651">
        <v>-0.18999999999999995</v>
      </c>
      <c r="AA37" s="651"/>
      <c r="AB37" s="651">
        <v>-0.19000000000000009</v>
      </c>
      <c r="AC37" s="651"/>
      <c r="AD37" s="651">
        <v>-0.19000000000000011</v>
      </c>
      <c r="AE37" s="651"/>
      <c r="AF37" s="651">
        <v>-0.19000000000000006</v>
      </c>
      <c r="AG37" s="596"/>
      <c r="AH37" s="652">
        <v>-0.18999999999999986</v>
      </c>
      <c r="AI37" s="195"/>
      <c r="AJ37" s="195"/>
      <c r="AK37" s="652">
        <v>-0.17356466964764275</v>
      </c>
      <c r="AM37" s="652">
        <v>-0.11888704462008086</v>
      </c>
    </row>
    <row r="38" spans="1:39" s="115" customFormat="1" ht="21.9" customHeight="1">
      <c r="A38" s="114"/>
      <c r="B38" s="114"/>
      <c r="C38" s="208"/>
      <c r="D38" s="114"/>
      <c r="E38" s="114"/>
      <c r="F38" s="114"/>
      <c r="G38" s="209"/>
      <c r="H38" s="206"/>
      <c r="I38" s="209"/>
      <c r="J38" s="114"/>
      <c r="K38" s="114"/>
      <c r="L38" s="114"/>
      <c r="M38" s="114"/>
      <c r="N38" s="114"/>
      <c r="O38" s="114"/>
      <c r="P38" s="114"/>
      <c r="Q38" s="114"/>
      <c r="R38" s="114"/>
      <c r="S38" s="114"/>
      <c r="T38" s="114"/>
      <c r="U38" s="114"/>
      <c r="V38" s="114" t="s">
        <v>155</v>
      </c>
    </row>
    <row r="39" spans="1:39" s="115" customFormat="1" ht="21.9" customHeight="1">
      <c r="A39" s="114"/>
      <c r="B39" s="114"/>
      <c r="C39" s="208"/>
      <c r="D39" s="114"/>
      <c r="E39" s="114"/>
      <c r="F39" s="114"/>
      <c r="G39" s="209"/>
      <c r="H39" s="206"/>
      <c r="I39" s="209"/>
      <c r="J39" s="114"/>
      <c r="K39" s="114"/>
      <c r="L39" s="114"/>
      <c r="M39" s="114"/>
      <c r="N39" s="114"/>
      <c r="O39" s="114"/>
      <c r="P39" s="114"/>
      <c r="Q39" s="114"/>
      <c r="R39" s="114"/>
      <c r="S39" s="114"/>
      <c r="T39" s="114"/>
      <c r="U39" s="114"/>
      <c r="V39" s="114"/>
    </row>
    <row r="40" spans="1:39" s="115" customFormat="1" ht="21.9" customHeight="1">
      <c r="A40" s="114"/>
      <c r="B40" s="114"/>
      <c r="C40" s="208"/>
      <c r="D40" s="114"/>
      <c r="E40" s="114"/>
      <c r="F40" s="114"/>
      <c r="G40" s="209"/>
      <c r="H40" s="206"/>
      <c r="I40" s="209"/>
      <c r="J40" s="114"/>
      <c r="K40" s="114"/>
      <c r="L40" s="114"/>
      <c r="M40" s="114"/>
      <c r="N40" s="114"/>
      <c r="O40" s="114"/>
      <c r="P40" s="114"/>
      <c r="Q40" s="114"/>
      <c r="R40" s="114"/>
      <c r="S40" s="114"/>
      <c r="T40" s="114"/>
      <c r="U40" s="114"/>
      <c r="V40" s="114"/>
    </row>
    <row r="41" spans="1:39" s="114" customFormat="1"/>
    <row r="42" spans="1:39" s="114" customFormat="1"/>
    <row r="43" spans="1:39" s="114" customFormat="1"/>
    <row r="44" spans="1:39" s="114" customFormat="1"/>
    <row r="45" spans="1:39" s="114" customFormat="1"/>
    <row r="46" spans="1:39" s="114" customFormat="1"/>
    <row r="47" spans="1:39" s="114" customFormat="1"/>
    <row r="48" spans="1:39" s="114" customFormat="1"/>
    <row r="49" s="114" customFormat="1"/>
    <row r="50" s="114" customFormat="1"/>
    <row r="51" s="114" customFormat="1"/>
    <row r="52" s="114" customFormat="1"/>
    <row r="53" s="114" customFormat="1"/>
    <row r="54" s="114" customFormat="1"/>
    <row r="55" s="114" customFormat="1"/>
    <row r="56" s="114" customFormat="1"/>
    <row r="57" s="114" customFormat="1"/>
    <row r="58" s="114" customFormat="1"/>
    <row r="59" s="114" customFormat="1"/>
    <row r="60" s="114" customFormat="1"/>
    <row r="61" s="114" customFormat="1"/>
    <row r="62" s="114" customFormat="1"/>
    <row r="63" s="114" customFormat="1"/>
    <row r="64" s="114" customFormat="1"/>
    <row r="65" s="114" customFormat="1"/>
    <row r="66" s="114" customFormat="1"/>
    <row r="67" s="114" customFormat="1"/>
    <row r="68" s="114" customFormat="1"/>
    <row r="69" s="114" customFormat="1"/>
    <row r="70" s="114" customFormat="1"/>
    <row r="71" s="114" customFormat="1"/>
    <row r="72" s="114" customFormat="1"/>
    <row r="73" s="114" customFormat="1"/>
    <row r="74" s="114" customFormat="1"/>
    <row r="75" s="114" customFormat="1"/>
    <row r="76" s="114" customFormat="1"/>
    <row r="77" s="114" customFormat="1"/>
    <row r="78" s="114" customFormat="1"/>
    <row r="79" s="114" customFormat="1"/>
    <row r="80" s="114" customFormat="1"/>
    <row r="81" s="114" customFormat="1"/>
    <row r="82" s="114" customFormat="1"/>
    <row r="83" s="114" customFormat="1"/>
    <row r="84" s="114" customFormat="1"/>
    <row r="85" s="114" customFormat="1"/>
    <row r="86" s="114" customFormat="1"/>
    <row r="87" s="114" customFormat="1"/>
    <row r="88" s="114" customFormat="1"/>
    <row r="89" s="114" customFormat="1"/>
    <row r="90" s="114" customFormat="1"/>
    <row r="91" s="114" customFormat="1"/>
    <row r="92" s="114" customFormat="1"/>
    <row r="93" s="114" customFormat="1"/>
    <row r="94" s="114" customFormat="1"/>
    <row r="95" s="114" customFormat="1"/>
    <row r="96" s="114" customFormat="1"/>
    <row r="97" s="114" customFormat="1"/>
    <row r="98" s="114" customFormat="1"/>
    <row r="99" s="114" customFormat="1"/>
    <row r="100" s="114" customFormat="1"/>
    <row r="101" s="114" customFormat="1"/>
    <row r="102" s="114" customFormat="1"/>
    <row r="103" s="114" customFormat="1"/>
    <row r="104" s="114" customFormat="1"/>
    <row r="105" s="114" customFormat="1"/>
    <row r="106" s="114" customFormat="1"/>
    <row r="107" s="114" customFormat="1"/>
    <row r="108" s="114" customFormat="1"/>
    <row r="109" s="114" customFormat="1"/>
    <row r="110" s="114" customFormat="1"/>
    <row r="111" s="114" customFormat="1"/>
    <row r="112" s="114" customFormat="1"/>
    <row r="113" s="114" customFormat="1"/>
    <row r="114" s="114" customFormat="1"/>
    <row r="115" s="114" customFormat="1"/>
    <row r="116" s="114" customFormat="1"/>
    <row r="117" s="114" customFormat="1"/>
    <row r="118" s="114" customFormat="1"/>
    <row r="119" s="114" customFormat="1"/>
    <row r="120" s="114" customFormat="1"/>
    <row r="121" s="114" customFormat="1"/>
    <row r="122" s="114" customFormat="1"/>
    <row r="123" s="114" customFormat="1"/>
    <row r="124" s="114" customFormat="1"/>
    <row r="125" s="114" customFormat="1"/>
    <row r="126" s="114" customFormat="1"/>
    <row r="127" s="114" customFormat="1"/>
    <row r="128" s="114" customFormat="1"/>
    <row r="129" s="114" customFormat="1"/>
    <row r="130" s="114" customFormat="1"/>
    <row r="131" s="114" customFormat="1"/>
    <row r="132" s="114" customFormat="1"/>
    <row r="133" s="114" customFormat="1"/>
    <row r="134" s="114" customFormat="1"/>
    <row r="135" s="114" customFormat="1"/>
    <row r="136" s="114" customFormat="1"/>
    <row r="137" s="114" customFormat="1"/>
    <row r="138" s="114" customFormat="1"/>
    <row r="139" s="114" customFormat="1"/>
    <row r="140" s="114" customFormat="1"/>
    <row r="141" s="114" customFormat="1"/>
    <row r="142" s="114" customFormat="1"/>
    <row r="143" s="114" customFormat="1"/>
    <row r="144" s="114" customFormat="1"/>
    <row r="145" s="114" customFormat="1"/>
    <row r="146" s="114" customFormat="1"/>
    <row r="147" s="114" customFormat="1"/>
    <row r="148" s="114" customFormat="1"/>
    <row r="149" s="114" customFormat="1"/>
    <row r="150" s="114" customFormat="1"/>
    <row r="151" s="114" customFormat="1"/>
    <row r="152" s="114" customFormat="1"/>
    <row r="153" s="114" customFormat="1"/>
    <row r="154" s="114" customFormat="1"/>
    <row r="155" s="114" customFormat="1"/>
    <row r="156" s="114" customFormat="1"/>
    <row r="157" s="114" customFormat="1"/>
    <row r="158" s="114" customFormat="1"/>
    <row r="159" s="114" customFormat="1"/>
    <row r="160" s="114" customFormat="1"/>
    <row r="161" s="114" customFormat="1"/>
    <row r="162" s="114" customFormat="1"/>
    <row r="163" s="114" customFormat="1"/>
    <row r="164" s="114" customFormat="1"/>
    <row r="165" s="114" customFormat="1"/>
    <row r="166" s="114" customFormat="1"/>
    <row r="167" s="114" customFormat="1"/>
    <row r="168" s="114" customFormat="1"/>
    <row r="169" s="114" customFormat="1"/>
    <row r="170" s="114" customFormat="1"/>
    <row r="171" s="114" customFormat="1"/>
    <row r="172" s="114" customFormat="1"/>
    <row r="173" s="114" customFormat="1"/>
    <row r="174" s="114" customFormat="1"/>
    <row r="175" s="114" customFormat="1"/>
    <row r="176" s="114" customFormat="1"/>
    <row r="177" spans="21:21" s="114" customFormat="1"/>
    <row r="178" spans="21:21" s="114" customFormat="1"/>
    <row r="179" spans="21:21" s="114" customFormat="1"/>
    <row r="180" spans="21:21">
      <c r="U180" s="114"/>
    </row>
    <row r="181" spans="21:21">
      <c r="U181" s="114"/>
    </row>
    <row r="182" spans="21:21">
      <c r="U182" s="114"/>
    </row>
    <row r="183" spans="21:21">
      <c r="U183" s="114"/>
    </row>
    <row r="184" spans="21:21">
      <c r="U184" s="114"/>
    </row>
    <row r="185" spans="21:21">
      <c r="U185" s="114"/>
    </row>
    <row r="186" spans="21:21">
      <c r="U186" s="114"/>
    </row>
    <row r="187" spans="21:21">
      <c r="U187" s="114"/>
    </row>
    <row r="188" spans="21:21">
      <c r="U188" s="114"/>
    </row>
    <row r="189" spans="21:21">
      <c r="U189" s="114"/>
    </row>
    <row r="190" spans="21:21">
      <c r="U190" s="114"/>
    </row>
    <row r="191" spans="21:21">
      <c r="U191" s="114"/>
    </row>
    <row r="192" spans="21:21">
      <c r="U192" s="114"/>
    </row>
    <row r="193" spans="21:21">
      <c r="U193" s="114"/>
    </row>
    <row r="194" spans="21:21">
      <c r="U194" s="114"/>
    </row>
    <row r="195" spans="21:21">
      <c r="U195" s="114"/>
    </row>
    <row r="196" spans="21:21">
      <c r="U196" s="114"/>
    </row>
    <row r="197" spans="21:21">
      <c r="U197" s="114"/>
    </row>
    <row r="198" spans="21:21">
      <c r="U198" s="114"/>
    </row>
    <row r="199" spans="21:21">
      <c r="U199" s="114"/>
    </row>
    <row r="200" spans="21:21">
      <c r="U200" s="114"/>
    </row>
    <row r="201" spans="21:21">
      <c r="U201" s="114"/>
    </row>
    <row r="202" spans="21:21">
      <c r="U202" s="114"/>
    </row>
    <row r="203" spans="21:21">
      <c r="U203" s="114"/>
    </row>
    <row r="204" spans="21:21">
      <c r="U204" s="114"/>
    </row>
    <row r="205" spans="21:21">
      <c r="U205" s="114"/>
    </row>
    <row r="206" spans="21:21">
      <c r="U206" s="114"/>
    </row>
    <row r="207" spans="21:21">
      <c r="U207" s="114"/>
    </row>
    <row r="208" spans="21:21">
      <c r="U208" s="114"/>
    </row>
    <row r="209" spans="21:21">
      <c r="U209" s="114"/>
    </row>
    <row r="210" spans="21:21">
      <c r="U210" s="114"/>
    </row>
    <row r="211" spans="21:21">
      <c r="U211" s="114"/>
    </row>
    <row r="212" spans="21:21">
      <c r="U212" s="114"/>
    </row>
    <row r="213" spans="21:21">
      <c r="U213" s="114"/>
    </row>
    <row r="214" spans="21:21">
      <c r="U214" s="114"/>
    </row>
    <row r="215" spans="21:21">
      <c r="U215" s="114"/>
    </row>
    <row r="216" spans="21:21">
      <c r="U216" s="114"/>
    </row>
    <row r="217" spans="21:21">
      <c r="U217" s="114"/>
    </row>
    <row r="218" spans="21:21">
      <c r="U218" s="114"/>
    </row>
    <row r="219" spans="21:21">
      <c r="U219" s="114"/>
    </row>
    <row r="220" spans="21:21">
      <c r="U220" s="114"/>
    </row>
    <row r="221" spans="21:21">
      <c r="U221" s="114"/>
    </row>
    <row r="222" spans="21:21">
      <c r="U222" s="114"/>
    </row>
    <row r="223" spans="21:21">
      <c r="U223" s="114"/>
    </row>
    <row r="224" spans="21:21">
      <c r="U224" s="114"/>
    </row>
    <row r="225" spans="21:21">
      <c r="U225" s="114"/>
    </row>
    <row r="226" spans="21:21">
      <c r="U226" s="114"/>
    </row>
    <row r="227" spans="21:21">
      <c r="U227" s="114"/>
    </row>
    <row r="228" spans="21:21">
      <c r="U228" s="114"/>
    </row>
    <row r="229" spans="21:21">
      <c r="U229" s="114"/>
    </row>
    <row r="230" spans="21:21">
      <c r="U230" s="114"/>
    </row>
    <row r="231" spans="21:21">
      <c r="U231" s="114"/>
    </row>
    <row r="232" spans="21:21">
      <c r="U232" s="114"/>
    </row>
    <row r="233" spans="21:21">
      <c r="U233" s="114"/>
    </row>
    <row r="234" spans="21:21">
      <c r="U234" s="114"/>
    </row>
    <row r="235" spans="21:21">
      <c r="U235" s="114"/>
    </row>
    <row r="236" spans="21:21">
      <c r="U236" s="114"/>
    </row>
    <row r="237" spans="21:21">
      <c r="U237" s="114"/>
    </row>
    <row r="238" spans="21:21">
      <c r="U238" s="114"/>
    </row>
    <row r="239" spans="21:21">
      <c r="U239" s="114"/>
    </row>
    <row r="240" spans="21:21">
      <c r="U240" s="114"/>
    </row>
    <row r="241" spans="21:21">
      <c r="U241" s="114"/>
    </row>
    <row r="242" spans="21:21">
      <c r="U242" s="114"/>
    </row>
    <row r="243" spans="21:21">
      <c r="U243" s="114"/>
    </row>
    <row r="244" spans="21:21">
      <c r="U244" s="114"/>
    </row>
    <row r="245" spans="21:21">
      <c r="U245" s="114"/>
    </row>
    <row r="246" spans="21:21">
      <c r="U246" s="114"/>
    </row>
    <row r="247" spans="21:21">
      <c r="U247" s="114"/>
    </row>
    <row r="248" spans="21:21">
      <c r="U248" s="114"/>
    </row>
    <row r="249" spans="21:21">
      <c r="U249" s="114"/>
    </row>
    <row r="250" spans="21:21">
      <c r="U250" s="114"/>
    </row>
    <row r="251" spans="21:21">
      <c r="U251" s="114"/>
    </row>
    <row r="252" spans="21:21">
      <c r="U252" s="114"/>
    </row>
    <row r="253" spans="21:21">
      <c r="U253" s="114"/>
    </row>
    <row r="254" spans="21:21">
      <c r="U254" s="114"/>
    </row>
    <row r="255" spans="21:21">
      <c r="U255" s="114"/>
    </row>
    <row r="256" spans="21:21">
      <c r="U256" s="114"/>
    </row>
    <row r="257" spans="21:21">
      <c r="U257" s="114"/>
    </row>
    <row r="258" spans="21:21">
      <c r="U258" s="114"/>
    </row>
    <row r="259" spans="21:21">
      <c r="U259" s="114"/>
    </row>
    <row r="260" spans="21:21">
      <c r="U260" s="114"/>
    </row>
    <row r="261" spans="21:21">
      <c r="U261" s="114"/>
    </row>
    <row r="262" spans="21:21">
      <c r="U262" s="114"/>
    </row>
    <row r="263" spans="21:21">
      <c r="U263" s="114"/>
    </row>
    <row r="264" spans="21:21">
      <c r="U264" s="114"/>
    </row>
    <row r="265" spans="21:21">
      <c r="U265" s="114"/>
    </row>
    <row r="266" spans="21:21">
      <c r="U266" s="114"/>
    </row>
    <row r="267" spans="21:21">
      <c r="U267" s="114"/>
    </row>
    <row r="268" spans="21:21">
      <c r="U268" s="114"/>
    </row>
    <row r="269" spans="21:21">
      <c r="U269" s="114"/>
    </row>
    <row r="270" spans="21:21">
      <c r="U270" s="114"/>
    </row>
    <row r="271" spans="21:21">
      <c r="U271" s="114"/>
    </row>
    <row r="272" spans="21:21">
      <c r="U272" s="114"/>
    </row>
    <row r="273" spans="21:21">
      <c r="U273" s="114"/>
    </row>
    <row r="274" spans="21:21">
      <c r="U274" s="114"/>
    </row>
    <row r="275" spans="21:21">
      <c r="U275" s="114"/>
    </row>
    <row r="276" spans="21:21">
      <c r="U276" s="114"/>
    </row>
    <row r="277" spans="21:21">
      <c r="U277" s="114"/>
    </row>
    <row r="278" spans="21:21">
      <c r="U278" s="114"/>
    </row>
    <row r="279" spans="21:21">
      <c r="U279" s="114"/>
    </row>
  </sheetData>
  <sheetProtection selectLockedCells="1"/>
  <mergeCells count="1">
    <mergeCell ref="C1:C2"/>
  </mergeCells>
  <conditionalFormatting sqref="G23 K23:K24 I23:I24 K30 I30 K37 I37">
    <cfRule type="expression" dxfId="277" priority="64">
      <formula>G23&gt;Z23</formula>
    </cfRule>
    <cfRule type="expression" dxfId="276" priority="65">
      <formula>G23&lt;Z23</formula>
    </cfRule>
  </conditionalFormatting>
  <conditionalFormatting sqref="M23">
    <cfRule type="expression" dxfId="275" priority="62">
      <formula>M23&gt;AF23</formula>
    </cfRule>
    <cfRule type="expression" dxfId="274" priority="63">
      <formula>M23&lt;AF23</formula>
    </cfRule>
  </conditionalFormatting>
  <conditionalFormatting sqref="G24">
    <cfRule type="expression" dxfId="273" priority="60">
      <formula>G24&gt;Z24</formula>
    </cfRule>
    <cfRule type="expression" dxfId="272" priority="61">
      <formula>G24&lt;Z24</formula>
    </cfRule>
  </conditionalFormatting>
  <conditionalFormatting sqref="M24">
    <cfRule type="expression" dxfId="271" priority="58">
      <formula>M24&gt;AF24</formula>
    </cfRule>
    <cfRule type="expression" dxfId="270" priority="59">
      <formula>M24&lt;AF24</formula>
    </cfRule>
  </conditionalFormatting>
  <conditionalFormatting sqref="G30">
    <cfRule type="expression" dxfId="269" priority="48">
      <formula>G30&gt;Z30</formula>
    </cfRule>
    <cfRule type="expression" dxfId="268" priority="49">
      <formula>G30&lt;Z30</formula>
    </cfRule>
  </conditionalFormatting>
  <conditionalFormatting sqref="M30">
    <cfRule type="expression" dxfId="267" priority="46">
      <formula>M30&gt;AF30</formula>
    </cfRule>
    <cfRule type="expression" dxfId="266" priority="47">
      <formula>M30&lt;AF30</formula>
    </cfRule>
  </conditionalFormatting>
  <conditionalFormatting sqref="G37">
    <cfRule type="expression" dxfId="265" priority="44">
      <formula>G37&gt;Z37</formula>
    </cfRule>
    <cfRule type="expression" dxfId="264" priority="45">
      <formula>G37&lt;Z37</formula>
    </cfRule>
  </conditionalFormatting>
  <conditionalFormatting sqref="M37">
    <cfRule type="expression" dxfId="263" priority="42">
      <formula>M37&gt;AF37</formula>
    </cfRule>
    <cfRule type="expression" dxfId="262" priority="43">
      <formula>M37&lt;AF37</formula>
    </cfRule>
  </conditionalFormatting>
  <conditionalFormatting sqref="O18">
    <cfRule type="expression" dxfId="261" priority="41">
      <formula>$E$18="Move to Cloud"</formula>
    </cfRule>
  </conditionalFormatting>
  <conditionalFormatting sqref="K32 I32">
    <cfRule type="expression" dxfId="260" priority="31">
      <formula>I32&gt;AB32</formula>
    </cfRule>
    <cfRule type="expression" dxfId="259" priority="32">
      <formula>I32&lt;AB32</formula>
    </cfRule>
  </conditionalFormatting>
  <conditionalFormatting sqref="G32">
    <cfRule type="expression" dxfId="258" priority="25">
      <formula>G32&gt;Z32</formula>
    </cfRule>
    <cfRule type="expression" dxfId="257" priority="26">
      <formula>G32&lt;Z32</formula>
    </cfRule>
  </conditionalFormatting>
  <conditionalFormatting sqref="M32">
    <cfRule type="expression" dxfId="256" priority="23">
      <formula>M32&gt;AF32</formula>
    </cfRule>
    <cfRule type="expression" dxfId="255" priority="24">
      <formula>M32&lt;AF32</formula>
    </cfRule>
  </conditionalFormatting>
  <conditionalFormatting sqref="AA30:AG30 AA37:AG37 Z23:AH25 AK23:AK25 AK31:AK32 Z31:AH32 AK27 Z27:AH27 Z29:AH29 AK29 Z34:AH36 AK34:AK36">
    <cfRule type="expression" dxfId="254" priority="21">
      <formula>#REF!&lt;#REF!</formula>
    </cfRule>
    <cfRule type="expression" dxfId="253" priority="22">
      <formula>#REF!&gt;#REF!</formula>
    </cfRule>
  </conditionalFormatting>
  <conditionalFormatting sqref="AM23:AM25 AM31:AM32 AM27 AM29 AM34:AM36">
    <cfRule type="expression" dxfId="252" priority="19">
      <formula>#REF!&lt;#REF!</formula>
    </cfRule>
    <cfRule type="expression" dxfId="251" priority="20">
      <formula>#REF!&gt;#REF!</formula>
    </cfRule>
  </conditionalFormatting>
  <conditionalFormatting sqref="Z26:AH26 AK26">
    <cfRule type="expression" dxfId="250" priority="17">
      <formula>#REF!&lt;#REF!</formula>
    </cfRule>
    <cfRule type="expression" dxfId="249" priority="18">
      <formula>#REF!&gt;#REF!</formula>
    </cfRule>
  </conditionalFormatting>
  <conditionalFormatting sqref="AM26">
    <cfRule type="expression" dxfId="248" priority="15">
      <formula>#REF!&lt;#REF!</formula>
    </cfRule>
    <cfRule type="expression" dxfId="247" priority="16">
      <formula>#REF!&gt;#REF!</formula>
    </cfRule>
  </conditionalFormatting>
  <conditionalFormatting sqref="Z28:AH28 AK28">
    <cfRule type="expression" dxfId="246" priority="13">
      <formula>#REF!&lt;#REF!</formula>
    </cfRule>
    <cfRule type="expression" dxfId="245" priority="14">
      <formula>#REF!&gt;#REF!</formula>
    </cfRule>
  </conditionalFormatting>
  <conditionalFormatting sqref="AM28">
    <cfRule type="expression" dxfId="244" priority="11">
      <formula>#REF!&lt;#REF!</formula>
    </cfRule>
    <cfRule type="expression" dxfId="243" priority="12">
      <formula>#REF!&gt;#REF!</formula>
    </cfRule>
  </conditionalFormatting>
  <conditionalFormatting sqref="K33 I33">
    <cfRule type="expression" dxfId="242" priority="9">
      <formula>I33&gt;AB33</formula>
    </cfRule>
    <cfRule type="expression" dxfId="241" priority="10">
      <formula>I33&lt;AB33</formula>
    </cfRule>
  </conditionalFormatting>
  <conditionalFormatting sqref="G33">
    <cfRule type="expression" dxfId="240" priority="7">
      <formula>G33&gt;Z33</formula>
    </cfRule>
    <cfRule type="expression" dxfId="239" priority="8">
      <formula>G33&lt;Z33</formula>
    </cfRule>
  </conditionalFormatting>
  <conditionalFormatting sqref="M33">
    <cfRule type="expression" dxfId="238" priority="5">
      <formula>M33&gt;AF33</formula>
    </cfRule>
    <cfRule type="expression" dxfId="237" priority="6">
      <formula>M33&lt;AF33</formula>
    </cfRule>
  </conditionalFormatting>
  <conditionalFormatting sqref="AK33 Z33:AH33">
    <cfRule type="expression" dxfId="236" priority="3">
      <formula>#REF!&lt;#REF!</formula>
    </cfRule>
    <cfRule type="expression" dxfId="235" priority="4">
      <formula>#REF!&gt;#REF!</formula>
    </cfRule>
  </conditionalFormatting>
  <conditionalFormatting sqref="AM33">
    <cfRule type="expression" dxfId="234" priority="1">
      <formula>#REF!&lt;#REF!</formula>
    </cfRule>
    <cfRule type="expression" dxfId="233" priority="2">
      <formula>#REF!&gt;#REF!</formula>
    </cfRule>
  </conditionalFormatting>
  <dataValidations count="5">
    <dataValidation type="list" allowBlank="1" showInputMessage="1" showErrorMessage="1" sqref="E18">
      <formula1>DataOfficeIntegrationDropdown</formula1>
    </dataValidation>
    <dataValidation type="list" allowBlank="1" showInputMessage="1" showErrorMessage="1" sqref="E13">
      <formula1>"0,1,2,3,4"</formula1>
    </dataValidation>
    <dataValidation type="list" allowBlank="1" showInputMessage="1" showErrorMessage="1" sqref="O20 O18">
      <formula1>"Choose,No,Yes"</formula1>
    </dataValidation>
    <dataValidation type="list" allowBlank="1" showInputMessage="1" showErrorMessage="1" sqref="O10 E10">
      <formula1>"Choose,Q1,Q2,Q3,Q4,Delay"</formula1>
    </dataValidation>
    <dataValidation type="list" allowBlank="1" showInputMessage="1" showErrorMessage="1" sqref="K15 M15 O15">
      <formula1>"Choose,0%,25%,50%,75%,100%"</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4"/>
  </sheetPr>
  <dimension ref="A1:AM281"/>
  <sheetViews>
    <sheetView workbookViewId="0">
      <selection activeCell="A6" sqref="A6"/>
    </sheetView>
  </sheetViews>
  <sheetFormatPr defaultColWidth="8.81640625" defaultRowHeight="16.2"/>
  <cols>
    <col min="1" max="2" width="1.7265625" style="112" customWidth="1"/>
    <col min="3" max="3" width="30.453125" style="112" customWidth="1"/>
    <col min="4" max="4" width="1.7265625" style="112" customWidth="1"/>
    <col min="5" max="5" width="11.90625" style="112" customWidth="1"/>
    <col min="6" max="6" width="1.7265625" style="112" customWidth="1"/>
    <col min="7" max="7" width="11.90625" style="112" customWidth="1"/>
    <col min="8" max="8" width="1.7265625" style="112" customWidth="1"/>
    <col min="9" max="9" width="11.90625" style="112" customWidth="1"/>
    <col min="10" max="10" width="1.7265625" style="112" customWidth="1"/>
    <col min="11" max="11" width="11.90625" style="112" customWidth="1"/>
    <col min="12" max="12" width="1.7265625" style="112" customWidth="1"/>
    <col min="13" max="13" width="11.90625" style="112" customWidth="1"/>
    <col min="14" max="14" width="1.7265625" style="112" customWidth="1"/>
    <col min="15" max="15" width="11.7265625" style="112" customWidth="1"/>
    <col min="16" max="17" width="1.7265625" style="112" customWidth="1"/>
    <col min="18" max="18" width="11.7265625" style="112" customWidth="1"/>
    <col min="19" max="19" width="8.81640625" style="112"/>
    <col min="20" max="20" width="11.81640625" style="112" customWidth="1"/>
    <col min="21" max="21" width="8.81640625" style="112"/>
    <col min="22" max="22" width="9" style="112" bestFit="1" customWidth="1"/>
    <col min="23" max="25" width="8.81640625" style="112"/>
    <col min="26" max="26" width="15.08984375" style="112" bestFit="1" customWidth="1"/>
    <col min="27" max="27" width="8.81640625" style="112"/>
    <col min="28" max="28" width="13.90625" style="112" bestFit="1" customWidth="1"/>
    <col min="29" max="29" width="8.81640625" style="112"/>
    <col min="30" max="30" width="13.90625" style="112" bestFit="1" customWidth="1"/>
    <col min="31" max="31" width="8.81640625" style="112"/>
    <col min="32" max="32" width="13.90625" style="112" bestFit="1" customWidth="1"/>
    <col min="33" max="33" width="8.81640625" style="112"/>
    <col min="34" max="34" width="14.90625" style="112" bestFit="1" customWidth="1"/>
    <col min="35" max="35" width="8.81640625" style="112"/>
    <col min="36" max="37" width="13.7265625" style="112" bestFit="1" customWidth="1"/>
    <col min="38" max="38" width="8.81640625" style="112"/>
    <col min="39" max="39" width="10.453125" style="112" bestFit="1" customWidth="1"/>
    <col min="40" max="16384" width="8.81640625" style="112"/>
  </cols>
  <sheetData>
    <row r="1" spans="1:39" s="111" customFormat="1" ht="6" customHeight="1">
      <c r="C1" s="949"/>
    </row>
    <row r="2" spans="1:39" s="111" customFormat="1" ht="25.95" customHeight="1">
      <c r="C2" s="949"/>
      <c r="E2" s="182"/>
      <c r="I2" s="95"/>
      <c r="K2" s="672"/>
      <c r="O2" s="796" t="s">
        <v>1935</v>
      </c>
      <c r="V2" s="113" t="s">
        <v>3022</v>
      </c>
      <c r="W2" s="111" t="s">
        <v>152</v>
      </c>
    </row>
    <row r="3" spans="1:39" s="770" customFormat="1" ht="21" customHeight="1">
      <c r="A3" s="768"/>
      <c r="B3" s="768"/>
      <c r="C3" s="781" t="str">
        <f>DB_Dashboard1</f>
        <v>Financial Scorecard: Y5 Revenue0498050988.5917920CAGR00.3855958201441540Y1 Operating Margin0-0.19</v>
      </c>
      <c r="D3" s="768"/>
      <c r="E3" s="768"/>
      <c r="F3" s="768"/>
      <c r="G3" s="769"/>
      <c r="H3" s="768"/>
      <c r="I3" s="768"/>
      <c r="J3" s="768"/>
      <c r="K3" s="771"/>
      <c r="L3" s="768"/>
      <c r="M3" s="768"/>
    </row>
    <row r="4" spans="1:39" s="768" customFormat="1" ht="21" customHeight="1">
      <c r="C4" s="782" t="str">
        <f>DB_Dashboard2</f>
        <v>Non-Financial Scorecard: CSat0500Employee Engagement0500Trust050</v>
      </c>
    </row>
    <row r="5" spans="1:39" s="768" customFormat="1" ht="21" customHeight="1">
      <c r="C5" s="783" t="str">
        <f>DB_Dashboard1Y2</f>
        <v>Disruption &amp; Budget: Disruption00.50Y1 Budget Left0250000000Y2 Budget Left010000000</v>
      </c>
    </row>
    <row r="6" spans="1:39" s="192" customFormat="1" ht="24" customHeight="1">
      <c r="C6" s="192" t="s">
        <v>404</v>
      </c>
    </row>
    <row r="7" spans="1:39" s="114" customFormat="1" ht="8.4" customHeight="1"/>
    <row r="8" spans="1:39" s="114" customFormat="1" ht="21.9" customHeight="1" thickBot="1">
      <c r="C8" s="229"/>
      <c r="D8" s="189"/>
      <c r="E8" s="602" t="s">
        <v>1941</v>
      </c>
      <c r="F8" s="189"/>
      <c r="G8" s="227" t="s">
        <v>2197</v>
      </c>
      <c r="H8" s="189"/>
      <c r="J8" s="189"/>
      <c r="K8" s="189"/>
      <c r="L8" s="189"/>
      <c r="M8" s="189"/>
      <c r="N8" s="189"/>
      <c r="O8" s="227" t="s">
        <v>2197</v>
      </c>
    </row>
    <row r="9" spans="1:39" s="114" customFormat="1" ht="17.399999999999999" thickTop="1" thickBot="1">
      <c r="C9" s="533" t="s">
        <v>2268</v>
      </c>
      <c r="D9" s="189"/>
      <c r="E9" s="445" t="s">
        <v>1665</v>
      </c>
      <c r="F9" s="189"/>
      <c r="G9" s="487">
        <f>INDEX(calcFullOrg62Exp,1,xxIndexTeam)</f>
        <v>0</v>
      </c>
      <c r="H9" s="189"/>
      <c r="J9" s="189"/>
      <c r="K9" s="533" t="s">
        <v>1650</v>
      </c>
      <c r="M9" s="628" t="s">
        <v>1665</v>
      </c>
      <c r="N9" s="189"/>
      <c r="O9" s="487">
        <f>INDEX(calcFullExternalSalesExp,1,xxIndexTeam)</f>
        <v>0</v>
      </c>
      <c r="U9" s="187"/>
    </row>
    <row r="10" spans="1:39" s="114" customFormat="1" ht="11.4" customHeight="1" thickTop="1" thickBot="1">
      <c r="C10" s="189"/>
      <c r="D10" s="189"/>
      <c r="E10" s="189"/>
      <c r="F10" s="189"/>
      <c r="G10" s="189"/>
      <c r="H10" s="189"/>
      <c r="I10" s="189"/>
      <c r="J10" s="189"/>
      <c r="K10" s="189"/>
      <c r="L10" s="189"/>
      <c r="M10" s="189"/>
      <c r="N10" s="189"/>
    </row>
    <row r="11" spans="1:39" s="114" customFormat="1" ht="21.9" customHeight="1" thickTop="1" thickBot="1">
      <c r="C11" s="533" t="s">
        <v>2283</v>
      </c>
      <c r="E11" s="445" t="s">
        <v>1665</v>
      </c>
      <c r="G11" s="487">
        <f>INDEX(calcFullCSGExp,1,xxIndexTeam)</f>
        <v>0</v>
      </c>
      <c r="K11" s="533" t="s">
        <v>2303</v>
      </c>
      <c r="M11" s="628" t="s">
        <v>1665</v>
      </c>
      <c r="O11" s="487">
        <f>INDEX(calcFullLeadPassExp,1,xxIndexTeam)</f>
        <v>0</v>
      </c>
      <c r="Y11" s="756"/>
    </row>
    <row r="12" spans="1:39" s="114" customFormat="1" ht="11.4" customHeight="1" thickTop="1" thickBot="1">
      <c r="C12" s="189"/>
      <c r="D12" s="189"/>
      <c r="E12" s="189"/>
      <c r="F12" s="189"/>
      <c r="G12" s="189"/>
      <c r="H12" s="189"/>
      <c r="I12" s="189"/>
      <c r="J12" s="189"/>
      <c r="K12" s="189"/>
      <c r="L12" s="189"/>
      <c r="M12" s="189"/>
      <c r="N12" s="189"/>
    </row>
    <row r="13" spans="1:39" s="114" customFormat="1" ht="25.95" customHeight="1" thickTop="1" thickBot="1">
      <c r="C13" s="533" t="s">
        <v>3130</v>
      </c>
      <c r="E13" s="628" t="s">
        <v>1665</v>
      </c>
      <c r="G13" s="487">
        <f>INDEX(calcFullBrandIntExp,1,xxIndexTeam)</f>
        <v>0</v>
      </c>
      <c r="K13" s="800"/>
      <c r="L13" s="199"/>
      <c r="M13" s="199"/>
      <c r="N13" s="199"/>
      <c r="O13" s="801"/>
      <c r="Y13" s="756"/>
    </row>
    <row r="14" spans="1:39" s="114" customFormat="1" ht="21.9" customHeight="1" thickTop="1">
      <c r="C14" s="488"/>
    </row>
    <row r="15" spans="1:39" s="489" customFormat="1" ht="21.9" customHeight="1" thickBot="1">
      <c r="A15" s="187"/>
      <c r="B15" s="187"/>
      <c r="C15" s="666" t="s">
        <v>462</v>
      </c>
      <c r="D15" s="195"/>
      <c r="E15" s="592" t="s">
        <v>405</v>
      </c>
      <c r="F15" s="195"/>
      <c r="G15" s="195" t="s">
        <v>899</v>
      </c>
      <c r="H15" s="195"/>
      <c r="I15" s="195" t="s">
        <v>900</v>
      </c>
      <c r="J15" s="195"/>
      <c r="K15" s="195" t="s">
        <v>901</v>
      </c>
      <c r="L15" s="195"/>
      <c r="M15" s="195" t="s">
        <v>902</v>
      </c>
      <c r="O15" s="592" t="s">
        <v>1278</v>
      </c>
      <c r="P15" s="195"/>
      <c r="Q15" s="187"/>
      <c r="R15" s="592" t="s">
        <v>1279</v>
      </c>
      <c r="S15" s="187"/>
      <c r="T15" s="592" t="s">
        <v>2413</v>
      </c>
      <c r="U15" s="195"/>
      <c r="V15" s="490"/>
      <c r="Z15" s="195" t="s">
        <v>899</v>
      </c>
      <c r="AA15" s="195"/>
      <c r="AB15" s="195" t="s">
        <v>900</v>
      </c>
      <c r="AC15" s="195"/>
      <c r="AD15" s="195" t="s">
        <v>901</v>
      </c>
      <c r="AE15" s="195"/>
      <c r="AF15" s="195" t="s">
        <v>902</v>
      </c>
      <c r="AH15" s="592" t="s">
        <v>1278</v>
      </c>
      <c r="AI15" s="195"/>
      <c r="AJ15" s="187"/>
      <c r="AK15" s="592" t="s">
        <v>1279</v>
      </c>
      <c r="AM15" s="592" t="s">
        <v>2413</v>
      </c>
    </row>
    <row r="16" spans="1:39" s="489" customFormat="1" ht="21.9" customHeight="1" thickTop="1" thickBot="1">
      <c r="A16" s="187"/>
      <c r="B16" s="187"/>
      <c r="C16" s="667" t="s">
        <v>1938</v>
      </c>
      <c r="D16" s="654"/>
      <c r="E16" s="655">
        <f>SUM(Data!$H$276:$K$276)</f>
        <v>51666666.666666672</v>
      </c>
      <c r="F16" s="656"/>
      <c r="G16" s="657">
        <f>INDEX(calcQ1RevenueY1Q1,,xxIndexTeam)*4</f>
        <v>9375000</v>
      </c>
      <c r="H16" s="657"/>
      <c r="I16" s="657">
        <f>INDEX(calcQ2RevenueY1Q2,,xxIndexTeam)*4</f>
        <v>11458333.333333332</v>
      </c>
      <c r="J16" s="657"/>
      <c r="K16" s="657">
        <f>INDEX(calcQ3RevenueY1Q3,,xxIndexTeam)*4</f>
        <v>17708333.333333336</v>
      </c>
      <c r="L16" s="657"/>
      <c r="M16" s="657">
        <f>INDEX(calcQ4RevenueY1Q4,,xxIndexTeam)*4</f>
        <v>26041666.666666664</v>
      </c>
      <c r="N16" s="657"/>
      <c r="O16" s="668">
        <f>SUM(G16:M16)</f>
        <v>64583333.333333336</v>
      </c>
      <c r="P16" s="654"/>
      <c r="Q16" s="654"/>
      <c r="R16" s="668">
        <f>INDEX(calcY2Q1RevenueY2Q1,,xxIndexTeam)*4+INDEX(calcY2Q2RevenueY2Q2,,xxIndexTeam)*4+INDEX(calcY2Q3RevenueY2Q3,,xxIndexTeam)*4+INDEX(calcY2Q4RevenueY2Q4,,xxIndexTeam)*4</f>
        <v>80729166.666666657</v>
      </c>
      <c r="S16" s="654"/>
      <c r="T16" s="669">
        <f>INDEX(calcY5Q1RevenueY5Q1,,xxIndexTeam)*4+INDEX(calcY5Q2RevenueY5Q2,,xxIndexTeam)*4+INDEX(calcY5Q3RevenueY5Q3,,xxIndexTeam)*4+INDEX(calcY5Q4RevenueY5Q4,,xxIndexTeam)*4</f>
        <v>100235351.5625</v>
      </c>
      <c r="U16" s="592"/>
      <c r="V16" s="490"/>
      <c r="Z16" s="587">
        <v>9375000</v>
      </c>
      <c r="AA16" s="587"/>
      <c r="AB16" s="587">
        <v>11458333.333333332</v>
      </c>
      <c r="AC16" s="587"/>
      <c r="AD16" s="587">
        <v>17708333.333333336</v>
      </c>
      <c r="AE16" s="587"/>
      <c r="AF16" s="587">
        <v>26041666.666666664</v>
      </c>
      <c r="AG16" s="587"/>
      <c r="AH16" s="608">
        <v>64583333.333333336</v>
      </c>
      <c r="AI16" s="195"/>
      <c r="AJ16" s="195"/>
      <c r="AK16" s="608">
        <v>80729166.666666657</v>
      </c>
      <c r="AM16" s="608">
        <v>100235351.5625</v>
      </c>
    </row>
    <row r="17" spans="1:39" s="489" customFormat="1" ht="21.9" customHeight="1" thickTop="1">
      <c r="A17" s="187"/>
      <c r="B17" s="187"/>
      <c r="C17" s="187" t="s">
        <v>140</v>
      </c>
      <c r="D17" s="187"/>
      <c r="E17" s="517">
        <f>INDEX(obalTargetRev,,xxIndexTeam)</f>
        <v>97519391.714228541</v>
      </c>
      <c r="F17" s="505"/>
      <c r="G17" s="724">
        <f>INDEX(finQ1Rev,,xxIndexTeam)</f>
        <v>30955843.466136772</v>
      </c>
      <c r="H17" s="724"/>
      <c r="I17" s="724">
        <f>INDEX(finQ2Rev,,xxIndexTeam)</f>
        <v>33831624.25685782</v>
      </c>
      <c r="J17" s="724"/>
      <c r="K17" s="724">
        <f>INDEX(finQ3Rev,,xxIndexTeam)</f>
        <v>38275308.995502166</v>
      </c>
      <c r="L17" s="724"/>
      <c r="M17" s="724">
        <f>INDEX(finQ4Rev,,xxIndexTeam)</f>
        <v>44809163.697226644</v>
      </c>
      <c r="N17" s="491"/>
      <c r="O17" s="518">
        <f>INDEX(FinAnnualRev,,xxIndexTeam)</f>
        <v>147871940.41572341</v>
      </c>
      <c r="P17" s="187"/>
      <c r="Q17" s="187"/>
      <c r="R17" s="518">
        <f>INDEX(FinY2AnnualRev,,xxIndexTeam)</f>
        <v>221091472.98381251</v>
      </c>
      <c r="S17" s="187"/>
      <c r="T17" s="518">
        <f>INDEX(FinY5AnnualRev,,xxIndexTeam)</f>
        <v>498050988.59179169</v>
      </c>
      <c r="U17" s="587"/>
      <c r="V17" s="490" t="b">
        <v>0</v>
      </c>
      <c r="Z17" s="516">
        <v>30955843.466136772</v>
      </c>
      <c r="AA17" s="516"/>
      <c r="AB17" s="516">
        <v>33831624.25685782</v>
      </c>
      <c r="AC17" s="516"/>
      <c r="AD17" s="516">
        <v>38275308.995502166</v>
      </c>
      <c r="AE17" s="516"/>
      <c r="AF17" s="516">
        <v>44809163.697226644</v>
      </c>
      <c r="AG17" s="491"/>
      <c r="AH17" s="518">
        <v>147871940.41572341</v>
      </c>
      <c r="AI17" s="187"/>
      <c r="AJ17" s="187"/>
      <c r="AK17" s="518">
        <v>221091472.98381251</v>
      </c>
      <c r="AM17" s="518">
        <v>498050988.59179169</v>
      </c>
    </row>
    <row r="18" spans="1:39" s="489" customFormat="1" ht="5.4" customHeight="1">
      <c r="A18" s="187"/>
      <c r="B18" s="187"/>
      <c r="C18" s="187"/>
      <c r="D18" s="187"/>
      <c r="E18" s="519"/>
      <c r="F18" s="505"/>
      <c r="G18" s="587"/>
      <c r="H18" s="587"/>
      <c r="I18" s="587"/>
      <c r="J18" s="587"/>
      <c r="K18" s="587"/>
      <c r="L18" s="587"/>
      <c r="M18" s="587"/>
      <c r="N18" s="491"/>
      <c r="O18" s="606"/>
      <c r="P18" s="187"/>
      <c r="Q18" s="187"/>
      <c r="R18" s="606"/>
      <c r="S18" s="187"/>
      <c r="T18" s="606"/>
      <c r="U18" s="491"/>
      <c r="V18" s="490" t="b">
        <v>0</v>
      </c>
      <c r="Z18" s="491"/>
      <c r="AA18" s="491"/>
      <c r="AB18" s="491"/>
      <c r="AC18" s="491"/>
      <c r="AD18" s="491"/>
      <c r="AE18" s="491"/>
      <c r="AF18" s="491"/>
      <c r="AG18" s="491"/>
      <c r="AH18" s="606"/>
      <c r="AI18" s="187"/>
      <c r="AJ18" s="187"/>
      <c r="AK18" s="606"/>
      <c r="AM18" s="606"/>
    </row>
    <row r="19" spans="1:39" s="492" customFormat="1" ht="21.9" customHeight="1">
      <c r="A19" s="463"/>
      <c r="B19" s="463"/>
      <c r="C19" s="187" t="s">
        <v>237</v>
      </c>
      <c r="D19" s="463"/>
      <c r="E19" s="521">
        <f>tlOutputTimelineY0Revenue-tlOutputTimelineY0COGs</f>
        <v>78015513.371382833</v>
      </c>
      <c r="F19" s="506"/>
      <c r="G19" s="516">
        <f>tlOutputTimelineQ1Revenue-tlOutputTimelineQ1COGs</f>
        <v>24764674.772909418</v>
      </c>
      <c r="H19" s="516"/>
      <c r="I19" s="516">
        <f>tlOutputTimelineQ2Revenue-tlOutputTimelineQ2COGs</f>
        <v>27065299.405486256</v>
      </c>
      <c r="J19" s="516"/>
      <c r="K19" s="516">
        <f>tlOutputTimelineQ3Revenue-tlOutputTimelineQ3COGs</f>
        <v>30620247.196401734</v>
      </c>
      <c r="L19" s="516"/>
      <c r="M19" s="516">
        <f>tlOutputTimelineQ4Revenue-tlOutputTimelineQ4COGs</f>
        <v>35847330.957781315</v>
      </c>
      <c r="N19" s="491"/>
      <c r="O19" s="518">
        <f>tlOutputTimelineY1Revenue-tlOutputTimelineY1COGs</f>
        <v>118297552.33257873</v>
      </c>
      <c r="P19" s="187"/>
      <c r="Q19" s="187"/>
      <c r="R19" s="518">
        <f>tlOutputTimelineY2Revenue-tlOutputTimelineY2COGs</f>
        <v>176873178.38705003</v>
      </c>
      <c r="S19" s="187"/>
      <c r="T19" s="518">
        <f>tlOutputTimelineY5Revenue-tlOutputTimelineY5COGs</f>
        <v>398440790.87343335</v>
      </c>
      <c r="U19" s="491"/>
      <c r="V19" s="490" t="b">
        <v>0</v>
      </c>
      <c r="Z19" s="516">
        <v>24764674.772909418</v>
      </c>
      <c r="AA19" s="516"/>
      <c r="AB19" s="516">
        <v>27065299.405486256</v>
      </c>
      <c r="AC19" s="516"/>
      <c r="AD19" s="516">
        <v>30620247.196401734</v>
      </c>
      <c r="AE19" s="516"/>
      <c r="AF19" s="516">
        <v>35847330.957781315</v>
      </c>
      <c r="AG19" s="491"/>
      <c r="AH19" s="518">
        <v>118297552.33257873</v>
      </c>
      <c r="AI19" s="187"/>
      <c r="AJ19" s="187"/>
      <c r="AK19" s="518">
        <v>176873178.38705003</v>
      </c>
      <c r="AM19" s="518">
        <v>398440790.87343335</v>
      </c>
    </row>
    <row r="20" spans="1:39" s="496" customFormat="1" ht="18.600000000000001" customHeight="1">
      <c r="A20" s="493"/>
      <c r="B20" s="493"/>
      <c r="C20" s="494" t="s">
        <v>239</v>
      </c>
      <c r="D20" s="493"/>
      <c r="E20" s="520">
        <f>E19/E17</f>
        <v>0.8</v>
      </c>
      <c r="F20" s="507"/>
      <c r="G20" s="495">
        <f>G19/G17</f>
        <v>0.8</v>
      </c>
      <c r="H20" s="495"/>
      <c r="I20" s="495">
        <f>I19/I17</f>
        <v>0.8</v>
      </c>
      <c r="J20" s="495"/>
      <c r="K20" s="495">
        <f>K19/K17</f>
        <v>0.8</v>
      </c>
      <c r="L20" s="495"/>
      <c r="M20" s="495">
        <f>M19/M17</f>
        <v>0.8</v>
      </c>
      <c r="N20" s="495"/>
      <c r="O20" s="607">
        <f>O19/O17</f>
        <v>0.8</v>
      </c>
      <c r="P20" s="493"/>
      <c r="Q20" s="493"/>
      <c r="R20" s="607">
        <f>R19/R17</f>
        <v>0.80000000000000016</v>
      </c>
      <c r="S20" s="493"/>
      <c r="T20" s="607">
        <f>T19/T17</f>
        <v>0.8</v>
      </c>
      <c r="U20" s="491"/>
      <c r="V20" s="490" t="b">
        <v>0</v>
      </c>
      <c r="Z20" s="495">
        <v>0.8</v>
      </c>
      <c r="AA20" s="495"/>
      <c r="AB20" s="495">
        <v>0.8</v>
      </c>
      <c r="AC20" s="495"/>
      <c r="AD20" s="495">
        <v>0.8</v>
      </c>
      <c r="AE20" s="495"/>
      <c r="AF20" s="495">
        <v>0.8</v>
      </c>
      <c r="AG20" s="495"/>
      <c r="AH20" s="607">
        <v>0.8</v>
      </c>
      <c r="AI20" s="493"/>
      <c r="AJ20" s="493"/>
      <c r="AK20" s="607">
        <v>0.80000000000000016</v>
      </c>
      <c r="AM20" s="607">
        <v>0.8</v>
      </c>
    </row>
    <row r="21" spans="1:39" s="489" customFormat="1" ht="21.9" customHeight="1">
      <c r="A21" s="187"/>
      <c r="B21" s="187"/>
      <c r="C21" s="605" t="s">
        <v>425</v>
      </c>
      <c r="D21" s="195"/>
      <c r="E21" s="589">
        <f>tlOutputTimelineQ1MSExp+tlOutputTimelineQ1RDExp+tlOutputTimelineQ1GAExp</f>
        <v>30646285.031475402</v>
      </c>
      <c r="F21" s="586"/>
      <c r="G21" s="590">
        <f>tlOutputTimelineQ1MSExp+tlOutputTimelineQ1RDExp+tlOutputTimelineQ1GAExp</f>
        <v>30646285.031475402</v>
      </c>
      <c r="H21" s="590"/>
      <c r="I21" s="590">
        <f>tlOutputTimelineQ2MSExp+tlOutputTimelineQ2RDExp+tlOutputTimelineQ2GAExp</f>
        <v>33493308.014289245</v>
      </c>
      <c r="J21" s="590"/>
      <c r="K21" s="590">
        <f>tlOutputTimelineQ3MSExp+tlOutputTimelineQ3RDExp+tlOutputTimelineQ3GAExp</f>
        <v>37892555.905547149</v>
      </c>
      <c r="L21" s="590"/>
      <c r="M21" s="590">
        <f>tlOutputTimelineQ4MSExp+tlOutputTimelineQ4RDExp+tlOutputTimelineQ4GAExp</f>
        <v>44361072.06025438</v>
      </c>
      <c r="N21" s="587"/>
      <c r="O21" s="604">
        <f>tlOutputTimelineY1MSExp+tlOutputTimelineY1RDExp+tlOutputTimelineY1GAExp</f>
        <v>146393221.01156616</v>
      </c>
      <c r="P21" s="195"/>
      <c r="Q21" s="195"/>
      <c r="R21" s="604">
        <f>tlOutputTimelineY2MSExp+tlOutputTimelineY2RDExp+tlOutputTimelineY2GAExp</f>
        <v>215246846.85739619</v>
      </c>
      <c r="S21" s="195"/>
      <c r="T21" s="604">
        <f>tlOutputTimelineY5MSExp+tlOutputTimelineY5RDExp+tlOutputTimelineY5GAExp</f>
        <v>376681982.00044328</v>
      </c>
      <c r="U21" s="587"/>
      <c r="V21" s="497" t="b">
        <v>0</v>
      </c>
      <c r="Z21" s="590">
        <v>30646285.031475402</v>
      </c>
      <c r="AA21" s="590"/>
      <c r="AB21" s="590">
        <v>33493308.014289245</v>
      </c>
      <c r="AC21" s="590"/>
      <c r="AD21" s="590">
        <v>37892555.905547149</v>
      </c>
      <c r="AE21" s="590"/>
      <c r="AF21" s="590">
        <v>44361072.06025438</v>
      </c>
      <c r="AG21" s="587"/>
      <c r="AH21" s="604">
        <v>146393221.01156616</v>
      </c>
      <c r="AI21" s="195"/>
      <c r="AJ21" s="195"/>
      <c r="AK21" s="604">
        <v>215246846.85739619</v>
      </c>
      <c r="AM21" s="604">
        <v>457652600.97722107</v>
      </c>
    </row>
    <row r="22" spans="1:39" s="492" customFormat="1" ht="21.9" customHeight="1">
      <c r="A22" s="463"/>
      <c r="B22" s="463"/>
      <c r="C22" s="603" t="s">
        <v>426</v>
      </c>
      <c r="D22" s="592"/>
      <c r="E22" s="585">
        <f>INDEX(obalTargetStandaloneOpProf,,xxIndexTeam)</f>
        <v>-18528684.425703421</v>
      </c>
      <c r="F22" s="593"/>
      <c r="G22" s="587">
        <f>G19-G21</f>
        <v>-5881610.2585659847</v>
      </c>
      <c r="H22" s="587"/>
      <c r="I22" s="587">
        <f>I19-I21</f>
        <v>-6428008.6088029891</v>
      </c>
      <c r="J22" s="587"/>
      <c r="K22" s="587">
        <f>K19-K21</f>
        <v>-7272308.7091454156</v>
      </c>
      <c r="L22" s="587"/>
      <c r="M22" s="587">
        <f>M19-M21</f>
        <v>-8513741.1024730653</v>
      </c>
      <c r="N22" s="587"/>
      <c r="O22" s="608">
        <f>O19-O21</f>
        <v>-28095668.678987429</v>
      </c>
      <c r="P22" s="195"/>
      <c r="Q22" s="195"/>
      <c r="R22" s="608">
        <f>R19-R21</f>
        <v>-38373668.470346153</v>
      </c>
      <c r="S22" s="195"/>
      <c r="T22" s="608">
        <f>T19-T21</f>
        <v>21758808.872990072</v>
      </c>
      <c r="U22" s="587"/>
      <c r="V22" s="490" t="b">
        <v>0</v>
      </c>
      <c r="Z22" s="587">
        <v>-5881610.2585659847</v>
      </c>
      <c r="AA22" s="587"/>
      <c r="AB22" s="587">
        <v>-6428008.6088029891</v>
      </c>
      <c r="AC22" s="587"/>
      <c r="AD22" s="587">
        <v>-7272308.7091454156</v>
      </c>
      <c r="AE22" s="587"/>
      <c r="AF22" s="587">
        <v>-8513741.1024730653</v>
      </c>
      <c r="AG22" s="587"/>
      <c r="AH22" s="608">
        <v>-28095668.678987429</v>
      </c>
      <c r="AI22" s="195"/>
      <c r="AJ22" s="195"/>
      <c r="AK22" s="608">
        <v>-38373668.470346153</v>
      </c>
      <c r="AM22" s="608">
        <v>-59211810.10378772</v>
      </c>
    </row>
    <row r="23" spans="1:39" s="496" customFormat="1" ht="21.9" customHeight="1">
      <c r="A23" s="493"/>
      <c r="B23" s="493"/>
      <c r="C23" s="594" t="s">
        <v>965</v>
      </c>
      <c r="D23" s="597"/>
      <c r="E23" s="598">
        <f>E22/E17</f>
        <v>-0.18999999999999997</v>
      </c>
      <c r="F23" s="595"/>
      <c r="G23" s="726">
        <f>G22/G17</f>
        <v>-0.18999999999999995</v>
      </c>
      <c r="H23" s="726"/>
      <c r="I23" s="726">
        <f>I22/I17</f>
        <v>-0.19000000000000009</v>
      </c>
      <c r="J23" s="726"/>
      <c r="K23" s="726">
        <f>K22/K17</f>
        <v>-0.19000000000000011</v>
      </c>
      <c r="L23" s="726"/>
      <c r="M23" s="726">
        <f>M22/M17</f>
        <v>-0.19000000000000006</v>
      </c>
      <c r="N23" s="596"/>
      <c r="O23" s="600">
        <f>O22/O17</f>
        <v>-0.18999999999999986</v>
      </c>
      <c r="P23" s="597"/>
      <c r="Q23" s="597"/>
      <c r="R23" s="600">
        <f>R22/R17</f>
        <v>-0.17356466964764275</v>
      </c>
      <c r="S23" s="597"/>
      <c r="T23" s="600">
        <f>T22/T17</f>
        <v>4.3687914232459928E-2</v>
      </c>
      <c r="U23" s="587"/>
      <c r="V23" s="490" t="b">
        <v>0</v>
      </c>
      <c r="Z23" s="599">
        <v>-0.18999999999999995</v>
      </c>
      <c r="AA23" s="599"/>
      <c r="AB23" s="599">
        <v>-0.19000000000000009</v>
      </c>
      <c r="AC23" s="599"/>
      <c r="AD23" s="599">
        <v>-0.19000000000000011</v>
      </c>
      <c r="AE23" s="599"/>
      <c r="AF23" s="599">
        <v>-0.19000000000000006</v>
      </c>
      <c r="AG23" s="596"/>
      <c r="AH23" s="600">
        <v>-0.18999999999999986</v>
      </c>
      <c r="AI23" s="597"/>
      <c r="AJ23" s="597"/>
      <c r="AK23" s="600">
        <v>-0.17356466964764275</v>
      </c>
      <c r="AM23" s="600">
        <v>-0.11888704462008086</v>
      </c>
    </row>
    <row r="24" spans="1:39" s="489" customFormat="1" ht="21.9" customHeight="1">
      <c r="A24" s="187"/>
      <c r="B24" s="187"/>
      <c r="C24" s="647" t="s">
        <v>466</v>
      </c>
      <c r="D24" s="195"/>
      <c r="E24" s="585"/>
      <c r="F24" s="586"/>
      <c r="G24" s="587"/>
      <c r="H24" s="587"/>
      <c r="I24" s="587"/>
      <c r="J24" s="587"/>
      <c r="K24" s="587"/>
      <c r="L24" s="587"/>
      <c r="M24" s="587"/>
      <c r="N24" s="587"/>
      <c r="O24" s="588"/>
      <c r="P24" s="195"/>
      <c r="Q24" s="195"/>
      <c r="R24" s="588"/>
      <c r="S24" s="195"/>
      <c r="T24" s="588"/>
      <c r="U24" s="651"/>
      <c r="V24" s="490" t="b">
        <v>0</v>
      </c>
      <c r="Z24" s="587"/>
      <c r="AA24" s="587"/>
      <c r="AB24" s="587"/>
      <c r="AC24" s="587"/>
      <c r="AD24" s="587"/>
      <c r="AE24" s="587"/>
      <c r="AF24" s="587"/>
      <c r="AG24" s="587"/>
      <c r="AH24" s="588"/>
      <c r="AI24" s="195"/>
      <c r="AJ24" s="195"/>
      <c r="AK24" s="588"/>
      <c r="AM24" s="588"/>
    </row>
    <row r="25" spans="1:39" s="489" customFormat="1" ht="21.9" customHeight="1" thickBot="1">
      <c r="A25" s="187"/>
      <c r="B25" s="187"/>
      <c r="C25" s="648" t="s">
        <v>1253</v>
      </c>
      <c r="D25" s="195"/>
      <c r="E25" s="805">
        <v>0</v>
      </c>
      <c r="F25" s="586"/>
      <c r="G25" s="725">
        <f>INDEX(finQ1HarmExp,,xxIndexTeam)</f>
        <v>0</v>
      </c>
      <c r="H25" s="725"/>
      <c r="I25" s="725">
        <f>INDEX(finQ2HarmExp,,xxIndexTeam)</f>
        <v>0</v>
      </c>
      <c r="J25" s="725"/>
      <c r="K25" s="725">
        <f>INDEX(finQ3HarmExp,,xxIndexTeam)</f>
        <v>0</v>
      </c>
      <c r="L25" s="725"/>
      <c r="M25" s="725">
        <f>INDEX(finQ4HarmExp,,xxIndexTeam)</f>
        <v>0</v>
      </c>
      <c r="N25" s="587"/>
      <c r="O25" s="588">
        <f>INDEX(finAnnualHarmExp,,xxIndexTeam)</f>
        <v>0</v>
      </c>
      <c r="P25" s="195"/>
      <c r="Q25" s="195"/>
      <c r="R25" s="588">
        <f>INDEX(finY2AnnualHarmExp,,xxIndexTeam)</f>
        <v>0</v>
      </c>
      <c r="S25" s="195"/>
      <c r="T25" s="804"/>
      <c r="U25" s="764"/>
      <c r="V25" s="490" t="b">
        <v>0</v>
      </c>
      <c r="Z25" s="587">
        <v>0</v>
      </c>
      <c r="AA25" s="587"/>
      <c r="AB25" s="587">
        <v>0</v>
      </c>
      <c r="AC25" s="587"/>
      <c r="AD25" s="587">
        <v>0</v>
      </c>
      <c r="AE25" s="587"/>
      <c r="AF25" s="587">
        <v>0</v>
      </c>
      <c r="AG25" s="587"/>
      <c r="AH25" s="588">
        <v>0</v>
      </c>
      <c r="AI25" s="195"/>
      <c r="AJ25" s="195"/>
      <c r="AK25" s="588">
        <v>0</v>
      </c>
      <c r="AM25" s="588"/>
    </row>
    <row r="26" spans="1:39" s="489" customFormat="1" ht="21.9" customHeight="1" thickTop="1" thickBot="1">
      <c r="A26" s="187"/>
      <c r="B26" s="187"/>
      <c r="C26" s="653" t="s">
        <v>466</v>
      </c>
      <c r="D26" s="654"/>
      <c r="E26" s="806">
        <v>0</v>
      </c>
      <c r="F26" s="656"/>
      <c r="G26" s="657">
        <f>INDEX(finQ1IntegrationBudget,,xxIndexTeam)</f>
        <v>0</v>
      </c>
      <c r="H26" s="657"/>
      <c r="I26" s="657">
        <f>INDEX(finQ2IntegrationBudget,,xxIndexTeam)</f>
        <v>0</v>
      </c>
      <c r="J26" s="657"/>
      <c r="K26" s="657">
        <f>INDEX(finQ3IntegrationBudget,,xxIndexTeam)</f>
        <v>0</v>
      </c>
      <c r="L26" s="657"/>
      <c r="M26" s="657">
        <f>INDEX(finQ4IntegrationBudget,,xxIndexTeam)</f>
        <v>0</v>
      </c>
      <c r="N26" s="657"/>
      <c r="O26" s="658">
        <f>INDEX(finY1IntegrationBudget,,xxIndexTeam)</f>
        <v>0</v>
      </c>
      <c r="P26" s="654"/>
      <c r="Q26" s="654"/>
      <c r="R26" s="659">
        <f>INDEX(finY2IntegrationBudget,,xxIndexTeam)</f>
        <v>0</v>
      </c>
      <c r="S26" s="195"/>
      <c r="T26" s="804"/>
      <c r="U26" s="764"/>
      <c r="V26" s="490" t="b">
        <v>0</v>
      </c>
      <c r="Z26" s="590">
        <v>0</v>
      </c>
      <c r="AA26" s="590"/>
      <c r="AB26" s="590">
        <v>0</v>
      </c>
      <c r="AC26" s="590"/>
      <c r="AD26" s="590">
        <v>0</v>
      </c>
      <c r="AE26" s="590"/>
      <c r="AF26" s="590">
        <v>0</v>
      </c>
      <c r="AG26" s="587"/>
      <c r="AH26" s="591">
        <v>0</v>
      </c>
      <c r="AI26" s="195"/>
      <c r="AJ26" s="195"/>
      <c r="AK26" s="591">
        <v>0</v>
      </c>
      <c r="AM26" s="591"/>
    </row>
    <row r="27" spans="1:39" s="492" customFormat="1" ht="21.9" customHeight="1" thickTop="1">
      <c r="A27" s="463"/>
      <c r="B27" s="463"/>
      <c r="C27" s="649" t="s">
        <v>469</v>
      </c>
      <c r="D27" s="592"/>
      <c r="E27" s="807">
        <f>SUM(E25:E26)</f>
        <v>0</v>
      </c>
      <c r="F27" s="593"/>
      <c r="G27" s="587">
        <f>SUM(G25:G26)</f>
        <v>0</v>
      </c>
      <c r="H27" s="587"/>
      <c r="I27" s="587">
        <f>SUM(I25:I26)</f>
        <v>0</v>
      </c>
      <c r="J27" s="587"/>
      <c r="K27" s="587">
        <f>SUM(K25:K26)</f>
        <v>0</v>
      </c>
      <c r="L27" s="587"/>
      <c r="M27" s="587">
        <f>SUM(M25:M26)</f>
        <v>0</v>
      </c>
      <c r="N27" s="587"/>
      <c r="O27" s="588">
        <f>SUM(O25:O26)</f>
        <v>0</v>
      </c>
      <c r="P27" s="195"/>
      <c r="Q27" s="195"/>
      <c r="R27" s="588">
        <f>SUM(R25:R26)</f>
        <v>0</v>
      </c>
      <c r="S27" s="195"/>
      <c r="T27" s="804"/>
      <c r="U27" s="764"/>
      <c r="V27" s="490" t="b">
        <v>0</v>
      </c>
      <c r="Z27" s="587">
        <v>0</v>
      </c>
      <c r="AA27" s="587"/>
      <c r="AB27" s="587">
        <v>0</v>
      </c>
      <c r="AC27" s="587"/>
      <c r="AD27" s="587">
        <v>0</v>
      </c>
      <c r="AE27" s="587"/>
      <c r="AF27" s="587">
        <v>0</v>
      </c>
      <c r="AG27" s="587"/>
      <c r="AH27" s="588">
        <v>0</v>
      </c>
      <c r="AI27" s="195"/>
      <c r="AJ27" s="195"/>
      <c r="AK27" s="588">
        <v>0</v>
      </c>
      <c r="AM27" s="588"/>
    </row>
    <row r="28" spans="1:39" s="489" customFormat="1" ht="5.4" customHeight="1">
      <c r="A28" s="187"/>
      <c r="B28" s="187"/>
      <c r="C28" s="648"/>
      <c r="D28" s="195"/>
      <c r="E28" s="585"/>
      <c r="F28" s="586"/>
      <c r="G28" s="587"/>
      <c r="H28" s="587"/>
      <c r="I28" s="587"/>
      <c r="J28" s="587"/>
      <c r="K28" s="587"/>
      <c r="L28" s="587"/>
      <c r="M28" s="587"/>
      <c r="N28" s="587"/>
      <c r="O28" s="588"/>
      <c r="P28" s="195"/>
      <c r="Q28" s="195"/>
      <c r="R28" s="588"/>
      <c r="S28" s="195"/>
      <c r="T28" s="588"/>
      <c r="U28" s="764"/>
      <c r="V28" s="490" t="b">
        <v>0</v>
      </c>
      <c r="Z28" s="587"/>
      <c r="AA28" s="587"/>
      <c r="AB28" s="587"/>
      <c r="AC28" s="587"/>
      <c r="AD28" s="587"/>
      <c r="AE28" s="587"/>
      <c r="AF28" s="587"/>
      <c r="AG28" s="587"/>
      <c r="AH28" s="588"/>
      <c r="AI28" s="195"/>
      <c r="AJ28" s="195"/>
      <c r="AK28" s="588"/>
      <c r="AM28" s="588"/>
    </row>
    <row r="29" spans="1:39" s="492" customFormat="1" ht="21.9" customHeight="1">
      <c r="A29" s="463"/>
      <c r="B29" s="463"/>
      <c r="C29" s="649" t="s">
        <v>1148</v>
      </c>
      <c r="D29" s="592"/>
      <c r="E29" s="589">
        <f>E22-E27</f>
        <v>-18528684.425703421</v>
      </c>
      <c r="F29" s="586"/>
      <c r="G29" s="587">
        <f>G22-G27</f>
        <v>-5881610.2585659847</v>
      </c>
      <c r="H29" s="587"/>
      <c r="I29" s="587">
        <f>I22-I27</f>
        <v>-6428008.6088029891</v>
      </c>
      <c r="J29" s="587"/>
      <c r="K29" s="587">
        <f>K22-K27</f>
        <v>-7272308.7091454156</v>
      </c>
      <c r="L29" s="587"/>
      <c r="M29" s="587">
        <f>M22-M27</f>
        <v>-8513741.1024730653</v>
      </c>
      <c r="N29" s="587"/>
      <c r="O29" s="591">
        <f>O22-O27</f>
        <v>-28095668.678987429</v>
      </c>
      <c r="P29" s="195"/>
      <c r="Q29" s="195"/>
      <c r="R29" s="591">
        <f>R22-R27</f>
        <v>-38373668.470346153</v>
      </c>
      <c r="S29" s="195"/>
      <c r="T29" s="591">
        <f>T22-T27</f>
        <v>21758808.872990072</v>
      </c>
      <c r="U29" s="764"/>
      <c r="V29" s="490" t="b">
        <v>0</v>
      </c>
      <c r="Z29" s="590">
        <v>-5881610.2585659847</v>
      </c>
      <c r="AA29" s="590"/>
      <c r="AB29" s="590">
        <v>-6428008.6088029891</v>
      </c>
      <c r="AC29" s="590"/>
      <c r="AD29" s="590">
        <v>-7272308.7091454156</v>
      </c>
      <c r="AE29" s="590"/>
      <c r="AF29" s="590">
        <v>-8513741.1024730653</v>
      </c>
      <c r="AG29" s="587"/>
      <c r="AH29" s="591">
        <v>-28095668.678987429</v>
      </c>
      <c r="AI29" s="195"/>
      <c r="AJ29" s="195"/>
      <c r="AK29" s="591">
        <v>-38373668.470346153</v>
      </c>
      <c r="AM29" s="591">
        <v>-59211810.10378772</v>
      </c>
    </row>
    <row r="30" spans="1:39" s="489" customFormat="1" ht="21.9" customHeight="1">
      <c r="A30" s="187"/>
      <c r="B30" s="187"/>
      <c r="C30" s="594" t="s">
        <v>1936</v>
      </c>
      <c r="D30" s="195"/>
      <c r="E30" s="650">
        <f>E29/E17</f>
        <v>-0.18999999999999997</v>
      </c>
      <c r="F30" s="595"/>
      <c r="G30" s="726">
        <f>G29/G17</f>
        <v>-0.18999999999999995</v>
      </c>
      <c r="H30" s="726"/>
      <c r="I30" s="726">
        <f>I29/I17</f>
        <v>-0.19000000000000009</v>
      </c>
      <c r="J30" s="726"/>
      <c r="K30" s="726">
        <f>K29/K17</f>
        <v>-0.19000000000000011</v>
      </c>
      <c r="L30" s="726"/>
      <c r="M30" s="726">
        <f>M29/M17</f>
        <v>-0.19000000000000006</v>
      </c>
      <c r="N30" s="596"/>
      <c r="O30" s="652">
        <f>O29/O17</f>
        <v>-0.18999999999999986</v>
      </c>
      <c r="P30" s="195"/>
      <c r="Q30" s="195"/>
      <c r="R30" s="652">
        <f>R29/R17</f>
        <v>-0.17356466964764275</v>
      </c>
      <c r="S30" s="195"/>
      <c r="T30" s="652">
        <f>T29/T17</f>
        <v>4.3687914232459928E-2</v>
      </c>
      <c r="U30" s="764"/>
      <c r="V30" s="490" t="b">
        <v>0</v>
      </c>
      <c r="Z30" s="651">
        <v>-0.18999999999999995</v>
      </c>
      <c r="AA30" s="651"/>
      <c r="AB30" s="651">
        <v>-0.19000000000000009</v>
      </c>
      <c r="AC30" s="651"/>
      <c r="AD30" s="651">
        <v>-0.19000000000000011</v>
      </c>
      <c r="AE30" s="651"/>
      <c r="AF30" s="651">
        <v>-0.19000000000000006</v>
      </c>
      <c r="AG30" s="596"/>
      <c r="AH30" s="652">
        <v>-0.18999999999999986</v>
      </c>
      <c r="AI30" s="195"/>
      <c r="AJ30" s="195"/>
      <c r="AK30" s="652">
        <v>-0.17356466964764275</v>
      </c>
      <c r="AM30" s="652">
        <v>-0.11888704462008086</v>
      </c>
    </row>
    <row r="31" spans="1:39" s="115" customFormat="1" ht="21.9" customHeight="1">
      <c r="A31" s="114"/>
      <c r="B31" s="114"/>
      <c r="C31" s="208"/>
      <c r="D31" s="114"/>
      <c r="E31" s="114"/>
      <c r="F31" s="114"/>
      <c r="G31" s="209"/>
      <c r="H31" s="206"/>
      <c r="I31" s="209"/>
      <c r="J31" s="114"/>
      <c r="K31" s="114"/>
      <c r="L31" s="114"/>
      <c r="M31" s="114"/>
      <c r="N31" s="114"/>
      <c r="O31" s="114"/>
      <c r="P31" s="114"/>
      <c r="Q31" s="114"/>
      <c r="R31" s="114"/>
      <c r="S31" s="114"/>
      <c r="T31" s="114"/>
      <c r="U31" s="651"/>
      <c r="V31" s="114" t="s">
        <v>155</v>
      </c>
    </row>
    <row r="32" spans="1:39" s="115" customFormat="1" ht="21.9" customHeight="1">
      <c r="A32" s="114"/>
      <c r="B32" s="114"/>
      <c r="C32" s="208"/>
      <c r="D32" s="114"/>
      <c r="E32" s="114"/>
      <c r="F32" s="114"/>
      <c r="G32" s="209"/>
      <c r="H32" s="206"/>
      <c r="I32" s="209"/>
      <c r="J32" s="114"/>
      <c r="K32" s="114"/>
      <c r="L32" s="114"/>
      <c r="M32" s="114"/>
      <c r="N32" s="114"/>
      <c r="O32" s="114"/>
      <c r="P32" s="114"/>
      <c r="Q32" s="114"/>
      <c r="R32" s="114"/>
      <c r="S32" s="114"/>
      <c r="T32" s="114"/>
      <c r="U32" s="114"/>
      <c r="V32" s="114"/>
    </row>
    <row r="33" spans="1:22" s="115" customFormat="1" ht="21.9" customHeight="1">
      <c r="A33" s="114"/>
      <c r="B33" s="114"/>
      <c r="C33" s="208"/>
      <c r="D33" s="114"/>
      <c r="E33" s="114"/>
      <c r="F33" s="114"/>
      <c r="G33" s="209"/>
      <c r="H33" s="206"/>
      <c r="I33" s="209"/>
      <c r="J33" s="114"/>
      <c r="K33" s="114"/>
      <c r="L33" s="114"/>
      <c r="M33" s="114"/>
      <c r="N33" s="114"/>
      <c r="O33" s="114"/>
      <c r="P33" s="114"/>
      <c r="Q33" s="114"/>
      <c r="R33" s="114"/>
      <c r="S33" s="114"/>
      <c r="T33" s="114"/>
      <c r="U33" s="114"/>
      <c r="V33" s="114"/>
    </row>
    <row r="34" spans="1:22" s="114" customFormat="1"/>
    <row r="35" spans="1:22" s="114" customFormat="1"/>
    <row r="36" spans="1:22" s="114" customFormat="1"/>
    <row r="37" spans="1:22" s="114" customFormat="1"/>
    <row r="38" spans="1:22" s="114" customFormat="1"/>
    <row r="39" spans="1:22" s="114" customFormat="1"/>
    <row r="40" spans="1:22" s="114" customFormat="1"/>
    <row r="41" spans="1:22" s="114" customFormat="1"/>
    <row r="42" spans="1:22" s="114" customFormat="1"/>
    <row r="43" spans="1:22" s="114" customFormat="1"/>
    <row r="44" spans="1:22" s="114" customFormat="1"/>
    <row r="45" spans="1:22" s="114" customFormat="1"/>
    <row r="46" spans="1:22" s="114" customFormat="1"/>
    <row r="47" spans="1:22" s="114" customFormat="1"/>
    <row r="48" spans="1:22" s="114" customFormat="1"/>
    <row r="49" s="114" customFormat="1"/>
    <row r="50" s="114" customFormat="1"/>
    <row r="51" s="114" customFormat="1"/>
    <row r="52" s="114" customFormat="1"/>
    <row r="53" s="114" customFormat="1"/>
    <row r="54" s="114" customFormat="1"/>
    <row r="55" s="114" customFormat="1"/>
    <row r="56" s="114" customFormat="1"/>
    <row r="57" s="114" customFormat="1"/>
    <row r="58" s="114" customFormat="1"/>
    <row r="59" s="114" customFormat="1"/>
    <row r="60" s="114" customFormat="1"/>
    <row r="61" s="114" customFormat="1"/>
    <row r="62" s="114" customFormat="1"/>
    <row r="63" s="114" customFormat="1"/>
    <row r="64" s="114" customFormat="1"/>
    <row r="65" spans="21:21" s="114" customFormat="1"/>
    <row r="66" spans="21:21">
      <c r="U66" s="114"/>
    </row>
    <row r="67" spans="21:21">
      <c r="U67" s="114"/>
    </row>
    <row r="68" spans="21:21">
      <c r="U68" s="114"/>
    </row>
    <row r="69" spans="21:21">
      <c r="U69" s="114"/>
    </row>
    <row r="70" spans="21:21">
      <c r="U70" s="114"/>
    </row>
    <row r="71" spans="21:21">
      <c r="U71" s="114"/>
    </row>
    <row r="72" spans="21:21">
      <c r="U72" s="114"/>
    </row>
    <row r="73" spans="21:21">
      <c r="U73" s="114"/>
    </row>
    <row r="74" spans="21:21">
      <c r="U74" s="114"/>
    </row>
    <row r="75" spans="21:21">
      <c r="U75" s="114"/>
    </row>
    <row r="76" spans="21:21">
      <c r="U76" s="114"/>
    </row>
    <row r="77" spans="21:21">
      <c r="U77" s="114"/>
    </row>
    <row r="78" spans="21:21">
      <c r="U78" s="114"/>
    </row>
    <row r="79" spans="21:21">
      <c r="U79" s="114"/>
    </row>
    <row r="80" spans="21:21">
      <c r="U80" s="114"/>
    </row>
    <row r="81" spans="21:21">
      <c r="U81" s="114"/>
    </row>
    <row r="82" spans="21:21">
      <c r="U82" s="114"/>
    </row>
    <row r="83" spans="21:21">
      <c r="U83" s="114"/>
    </row>
    <row r="84" spans="21:21">
      <c r="U84" s="114"/>
    </row>
    <row r="85" spans="21:21">
      <c r="U85" s="114"/>
    </row>
    <row r="86" spans="21:21">
      <c r="U86" s="114"/>
    </row>
    <row r="87" spans="21:21">
      <c r="U87" s="114"/>
    </row>
    <row r="88" spans="21:21">
      <c r="U88" s="114"/>
    </row>
    <row r="89" spans="21:21">
      <c r="U89" s="114"/>
    </row>
    <row r="90" spans="21:21">
      <c r="U90" s="114"/>
    </row>
    <row r="91" spans="21:21">
      <c r="U91" s="114"/>
    </row>
    <row r="92" spans="21:21">
      <c r="U92" s="114"/>
    </row>
    <row r="93" spans="21:21">
      <c r="U93" s="114"/>
    </row>
    <row r="94" spans="21:21">
      <c r="U94" s="114"/>
    </row>
    <row r="95" spans="21:21">
      <c r="U95" s="114"/>
    </row>
    <row r="96" spans="21:21">
      <c r="U96" s="114"/>
    </row>
    <row r="97" spans="21:21">
      <c r="U97" s="114"/>
    </row>
    <row r="98" spans="21:21">
      <c r="U98" s="114"/>
    </row>
    <row r="99" spans="21:21">
      <c r="U99" s="114"/>
    </row>
    <row r="100" spans="21:21">
      <c r="U100" s="114"/>
    </row>
    <row r="101" spans="21:21">
      <c r="U101" s="114"/>
    </row>
    <row r="102" spans="21:21">
      <c r="U102" s="114"/>
    </row>
    <row r="103" spans="21:21">
      <c r="U103" s="114"/>
    </row>
    <row r="104" spans="21:21">
      <c r="U104" s="114"/>
    </row>
    <row r="105" spans="21:21">
      <c r="U105" s="114"/>
    </row>
    <row r="106" spans="21:21">
      <c r="U106" s="114"/>
    </row>
    <row r="107" spans="21:21">
      <c r="U107" s="114"/>
    </row>
    <row r="108" spans="21:21">
      <c r="U108" s="114"/>
    </row>
    <row r="109" spans="21:21">
      <c r="U109" s="114"/>
    </row>
    <row r="110" spans="21:21">
      <c r="U110" s="114"/>
    </row>
    <row r="111" spans="21:21">
      <c r="U111" s="114"/>
    </row>
    <row r="112" spans="21:21">
      <c r="U112" s="114"/>
    </row>
    <row r="113" spans="21:21">
      <c r="U113" s="114"/>
    </row>
    <row r="114" spans="21:21">
      <c r="U114" s="114"/>
    </row>
    <row r="115" spans="21:21">
      <c r="U115" s="114"/>
    </row>
    <row r="116" spans="21:21">
      <c r="U116" s="114"/>
    </row>
    <row r="117" spans="21:21">
      <c r="U117" s="114"/>
    </row>
    <row r="118" spans="21:21">
      <c r="U118" s="114"/>
    </row>
    <row r="119" spans="21:21">
      <c r="U119" s="114"/>
    </row>
    <row r="120" spans="21:21">
      <c r="U120" s="114"/>
    </row>
    <row r="121" spans="21:21">
      <c r="U121" s="114"/>
    </row>
    <row r="122" spans="21:21">
      <c r="U122" s="114"/>
    </row>
    <row r="123" spans="21:21">
      <c r="U123" s="114"/>
    </row>
    <row r="124" spans="21:21">
      <c r="U124" s="114"/>
    </row>
    <row r="125" spans="21:21">
      <c r="U125" s="114"/>
    </row>
    <row r="126" spans="21:21">
      <c r="U126" s="114"/>
    </row>
    <row r="127" spans="21:21">
      <c r="U127" s="114"/>
    </row>
    <row r="128" spans="21:21">
      <c r="U128" s="114"/>
    </row>
    <row r="129" spans="21:21">
      <c r="U129" s="114"/>
    </row>
    <row r="130" spans="21:21">
      <c r="U130" s="114"/>
    </row>
    <row r="131" spans="21:21">
      <c r="U131" s="114"/>
    </row>
    <row r="132" spans="21:21">
      <c r="U132" s="114"/>
    </row>
    <row r="133" spans="21:21">
      <c r="U133" s="114"/>
    </row>
    <row r="134" spans="21:21">
      <c r="U134" s="114"/>
    </row>
    <row r="135" spans="21:21">
      <c r="U135" s="114"/>
    </row>
    <row r="136" spans="21:21">
      <c r="U136" s="114"/>
    </row>
    <row r="137" spans="21:21">
      <c r="U137" s="114"/>
    </row>
    <row r="138" spans="21:21">
      <c r="U138" s="114"/>
    </row>
    <row r="139" spans="21:21">
      <c r="U139" s="114"/>
    </row>
    <row r="140" spans="21:21">
      <c r="U140" s="114"/>
    </row>
    <row r="141" spans="21:21">
      <c r="U141" s="114"/>
    </row>
    <row r="142" spans="21:21">
      <c r="U142" s="114"/>
    </row>
    <row r="143" spans="21:21">
      <c r="U143" s="114"/>
    </row>
    <row r="144" spans="21:21">
      <c r="U144" s="114"/>
    </row>
    <row r="145" spans="21:21">
      <c r="U145" s="114"/>
    </row>
    <row r="146" spans="21:21">
      <c r="U146" s="114"/>
    </row>
    <row r="147" spans="21:21">
      <c r="U147" s="114"/>
    </row>
    <row r="148" spans="21:21">
      <c r="U148" s="114"/>
    </row>
    <row r="149" spans="21:21">
      <c r="U149" s="114"/>
    </row>
    <row r="150" spans="21:21">
      <c r="U150" s="114"/>
    </row>
    <row r="151" spans="21:21">
      <c r="U151" s="114"/>
    </row>
    <row r="152" spans="21:21">
      <c r="U152" s="114"/>
    </row>
    <row r="153" spans="21:21">
      <c r="U153" s="114"/>
    </row>
    <row r="154" spans="21:21">
      <c r="U154" s="114"/>
    </row>
    <row r="155" spans="21:21">
      <c r="U155" s="114"/>
    </row>
    <row r="156" spans="21:21">
      <c r="U156" s="114"/>
    </row>
    <row r="157" spans="21:21">
      <c r="U157" s="114"/>
    </row>
    <row r="158" spans="21:21">
      <c r="U158" s="114"/>
    </row>
    <row r="159" spans="21:21">
      <c r="U159" s="114"/>
    </row>
    <row r="160" spans="21:21">
      <c r="U160" s="114"/>
    </row>
    <row r="161" spans="21:21">
      <c r="U161" s="114"/>
    </row>
    <row r="162" spans="21:21">
      <c r="U162" s="114"/>
    </row>
    <row r="163" spans="21:21">
      <c r="U163" s="114"/>
    </row>
    <row r="164" spans="21:21">
      <c r="U164" s="114"/>
    </row>
    <row r="165" spans="21:21">
      <c r="U165" s="114"/>
    </row>
    <row r="166" spans="21:21">
      <c r="U166" s="114"/>
    </row>
    <row r="167" spans="21:21">
      <c r="U167" s="114"/>
    </row>
    <row r="168" spans="21:21">
      <c r="U168" s="114"/>
    </row>
    <row r="169" spans="21:21">
      <c r="U169" s="114"/>
    </row>
    <row r="170" spans="21:21">
      <c r="U170" s="114"/>
    </row>
    <row r="171" spans="21:21">
      <c r="U171" s="114"/>
    </row>
    <row r="172" spans="21:21">
      <c r="U172" s="114"/>
    </row>
    <row r="173" spans="21:21">
      <c r="U173" s="114"/>
    </row>
    <row r="174" spans="21:21">
      <c r="U174" s="114"/>
    </row>
    <row r="175" spans="21:21">
      <c r="U175" s="114"/>
    </row>
    <row r="176" spans="21:21">
      <c r="U176" s="114"/>
    </row>
    <row r="177" spans="21:21">
      <c r="U177" s="114"/>
    </row>
    <row r="178" spans="21:21">
      <c r="U178" s="114"/>
    </row>
    <row r="179" spans="21:21">
      <c r="U179" s="114"/>
    </row>
    <row r="180" spans="21:21">
      <c r="U180" s="114"/>
    </row>
    <row r="181" spans="21:21">
      <c r="U181" s="114"/>
    </row>
    <row r="182" spans="21:21">
      <c r="U182" s="114"/>
    </row>
    <row r="183" spans="21:21">
      <c r="U183" s="114"/>
    </row>
    <row r="184" spans="21:21">
      <c r="U184" s="114"/>
    </row>
    <row r="185" spans="21:21">
      <c r="U185" s="114"/>
    </row>
    <row r="186" spans="21:21">
      <c r="U186" s="114"/>
    </row>
    <row r="187" spans="21:21">
      <c r="U187" s="114"/>
    </row>
    <row r="188" spans="21:21">
      <c r="U188" s="114"/>
    </row>
    <row r="189" spans="21:21">
      <c r="U189" s="114"/>
    </row>
    <row r="190" spans="21:21">
      <c r="U190" s="114"/>
    </row>
    <row r="191" spans="21:21">
      <c r="U191" s="114"/>
    </row>
    <row r="192" spans="21:21">
      <c r="U192" s="114"/>
    </row>
    <row r="193" spans="21:21">
      <c r="U193" s="114"/>
    </row>
    <row r="194" spans="21:21">
      <c r="U194" s="114"/>
    </row>
    <row r="195" spans="21:21">
      <c r="U195" s="114"/>
    </row>
    <row r="196" spans="21:21">
      <c r="U196" s="114"/>
    </row>
    <row r="197" spans="21:21">
      <c r="U197" s="114"/>
    </row>
    <row r="198" spans="21:21">
      <c r="U198" s="114"/>
    </row>
    <row r="199" spans="21:21">
      <c r="U199" s="114"/>
    </row>
    <row r="200" spans="21:21">
      <c r="U200" s="114"/>
    </row>
    <row r="201" spans="21:21">
      <c r="U201" s="114"/>
    </row>
    <row r="202" spans="21:21">
      <c r="U202" s="114"/>
    </row>
    <row r="203" spans="21:21">
      <c r="U203" s="114"/>
    </row>
    <row r="204" spans="21:21">
      <c r="U204" s="114"/>
    </row>
    <row r="205" spans="21:21">
      <c r="U205" s="114"/>
    </row>
    <row r="206" spans="21:21">
      <c r="U206" s="114"/>
    </row>
    <row r="207" spans="21:21">
      <c r="U207" s="114"/>
    </row>
    <row r="208" spans="21:21">
      <c r="U208" s="114"/>
    </row>
    <row r="209" spans="21:21">
      <c r="U209" s="114"/>
    </row>
    <row r="210" spans="21:21">
      <c r="U210" s="114"/>
    </row>
    <row r="211" spans="21:21">
      <c r="U211" s="114"/>
    </row>
    <row r="212" spans="21:21">
      <c r="U212" s="114"/>
    </row>
    <row r="213" spans="21:21">
      <c r="U213" s="114"/>
    </row>
    <row r="214" spans="21:21">
      <c r="U214" s="114"/>
    </row>
    <row r="215" spans="21:21">
      <c r="U215" s="114"/>
    </row>
    <row r="216" spans="21:21">
      <c r="U216" s="114"/>
    </row>
    <row r="217" spans="21:21">
      <c r="U217" s="114"/>
    </row>
    <row r="218" spans="21:21">
      <c r="U218" s="114"/>
    </row>
    <row r="219" spans="21:21">
      <c r="U219" s="114"/>
    </row>
    <row r="220" spans="21:21">
      <c r="U220" s="114"/>
    </row>
    <row r="221" spans="21:21">
      <c r="U221" s="114"/>
    </row>
    <row r="222" spans="21:21">
      <c r="U222" s="114"/>
    </row>
    <row r="223" spans="21:21">
      <c r="U223" s="114"/>
    </row>
    <row r="224" spans="21:21">
      <c r="U224" s="114"/>
    </row>
    <row r="225" spans="21:21">
      <c r="U225" s="114"/>
    </row>
    <row r="226" spans="21:21">
      <c r="U226" s="114"/>
    </row>
    <row r="227" spans="21:21">
      <c r="U227" s="114"/>
    </row>
    <row r="228" spans="21:21">
      <c r="U228" s="114"/>
    </row>
    <row r="229" spans="21:21">
      <c r="U229" s="114"/>
    </row>
    <row r="230" spans="21:21">
      <c r="U230" s="114"/>
    </row>
    <row r="231" spans="21:21">
      <c r="U231" s="114"/>
    </row>
    <row r="232" spans="21:21">
      <c r="U232" s="114"/>
    </row>
    <row r="233" spans="21:21">
      <c r="U233" s="114"/>
    </row>
    <row r="234" spans="21:21">
      <c r="U234" s="114"/>
    </row>
    <row r="235" spans="21:21">
      <c r="U235" s="114"/>
    </row>
    <row r="236" spans="21:21">
      <c r="U236" s="114"/>
    </row>
    <row r="237" spans="21:21">
      <c r="U237" s="114"/>
    </row>
    <row r="238" spans="21:21">
      <c r="U238" s="114"/>
    </row>
    <row r="239" spans="21:21">
      <c r="U239" s="114"/>
    </row>
    <row r="240" spans="21:21">
      <c r="U240" s="114"/>
    </row>
    <row r="241" spans="21:21">
      <c r="U241" s="114"/>
    </row>
    <row r="242" spans="21:21">
      <c r="U242" s="114"/>
    </row>
    <row r="243" spans="21:21">
      <c r="U243" s="114"/>
    </row>
    <row r="244" spans="21:21">
      <c r="U244" s="114"/>
    </row>
    <row r="245" spans="21:21">
      <c r="U245" s="114"/>
    </row>
    <row r="246" spans="21:21">
      <c r="U246" s="114"/>
    </row>
    <row r="247" spans="21:21">
      <c r="U247" s="114"/>
    </row>
    <row r="248" spans="21:21">
      <c r="U248" s="114"/>
    </row>
    <row r="249" spans="21:21">
      <c r="U249" s="114"/>
    </row>
    <row r="250" spans="21:21">
      <c r="U250" s="114"/>
    </row>
    <row r="251" spans="21:21">
      <c r="U251" s="114"/>
    </row>
    <row r="252" spans="21:21">
      <c r="U252" s="114"/>
    </row>
    <row r="253" spans="21:21">
      <c r="U253" s="114"/>
    </row>
    <row r="254" spans="21:21">
      <c r="U254" s="114"/>
    </row>
    <row r="255" spans="21:21">
      <c r="U255" s="114"/>
    </row>
    <row r="256" spans="21:21">
      <c r="U256" s="114"/>
    </row>
    <row r="257" spans="21:21">
      <c r="U257" s="114"/>
    </row>
    <row r="258" spans="21:21">
      <c r="U258" s="114"/>
    </row>
    <row r="259" spans="21:21">
      <c r="U259" s="114"/>
    </row>
    <row r="260" spans="21:21">
      <c r="U260" s="114"/>
    </row>
    <row r="261" spans="21:21">
      <c r="U261" s="114"/>
    </row>
    <row r="262" spans="21:21">
      <c r="U262" s="114"/>
    </row>
    <row r="263" spans="21:21">
      <c r="U263" s="114"/>
    </row>
    <row r="264" spans="21:21">
      <c r="U264" s="114"/>
    </row>
    <row r="265" spans="21:21">
      <c r="U265" s="114"/>
    </row>
    <row r="266" spans="21:21">
      <c r="U266" s="114"/>
    </row>
    <row r="267" spans="21:21">
      <c r="U267" s="114"/>
    </row>
    <row r="268" spans="21:21">
      <c r="U268" s="114"/>
    </row>
    <row r="269" spans="21:21">
      <c r="U269" s="114"/>
    </row>
    <row r="270" spans="21:21">
      <c r="U270" s="114"/>
    </row>
    <row r="271" spans="21:21">
      <c r="U271" s="114"/>
    </row>
    <row r="272" spans="21:21">
      <c r="U272" s="114"/>
    </row>
    <row r="273" spans="21:21">
      <c r="U273" s="114"/>
    </row>
    <row r="274" spans="21:21">
      <c r="U274" s="114"/>
    </row>
    <row r="275" spans="21:21">
      <c r="U275" s="114"/>
    </row>
    <row r="276" spans="21:21">
      <c r="U276" s="114"/>
    </row>
    <row r="277" spans="21:21">
      <c r="U277" s="114"/>
    </row>
    <row r="278" spans="21:21">
      <c r="U278" s="114"/>
    </row>
    <row r="279" spans="21:21">
      <c r="U279" s="114"/>
    </row>
    <row r="280" spans="21:21">
      <c r="U280" s="114"/>
    </row>
    <row r="281" spans="21:21">
      <c r="U281" s="114"/>
    </row>
  </sheetData>
  <sheetProtection selectLockedCells="1"/>
  <mergeCells count="1">
    <mergeCell ref="C1:C2"/>
  </mergeCells>
  <conditionalFormatting sqref="AA23:AG23 AA30:AG30 Z16:AH18 AK16:AK18 AK24:AK25 Z24:AH25 AK20 Z20:AH20 Z22:AH22 AK22 Z27:AH29 AK27:AK29">
    <cfRule type="expression" dxfId="232" priority="71">
      <formula>#REF!&lt;#REF!</formula>
    </cfRule>
    <cfRule type="expression" dxfId="231" priority="72">
      <formula>#REF!&gt;#REF!</formula>
    </cfRule>
  </conditionalFormatting>
  <conditionalFormatting sqref="G16 K16:K17 I16:I17 K23 I23 K30 I30">
    <cfRule type="expression" dxfId="230" priority="69">
      <formula>G16&gt;Z16</formula>
    </cfRule>
    <cfRule type="expression" dxfId="229" priority="70">
      <formula>G16&lt;Z16</formula>
    </cfRule>
  </conditionalFormatting>
  <conditionalFormatting sqref="M16">
    <cfRule type="expression" dxfId="228" priority="61">
      <formula>M16&gt;AF16</formula>
    </cfRule>
    <cfRule type="expression" dxfId="227" priority="62">
      <formula>M16&lt;AF16</formula>
    </cfRule>
  </conditionalFormatting>
  <conditionalFormatting sqref="G17">
    <cfRule type="expression" dxfId="226" priority="59">
      <formula>G17&gt;Z17</formula>
    </cfRule>
    <cfRule type="expression" dxfId="225" priority="60">
      <formula>G17&lt;Z17</formula>
    </cfRule>
  </conditionalFormatting>
  <conditionalFormatting sqref="M17">
    <cfRule type="expression" dxfId="224" priority="57">
      <formula>M17&gt;AF17</formula>
    </cfRule>
    <cfRule type="expression" dxfId="223" priority="58">
      <formula>M17&lt;AF17</formula>
    </cfRule>
  </conditionalFormatting>
  <conditionalFormatting sqref="G23">
    <cfRule type="expression" dxfId="222" priority="47">
      <formula>G23&gt;Z23</formula>
    </cfRule>
    <cfRule type="expression" dxfId="221" priority="48">
      <formula>G23&lt;Z23</formula>
    </cfRule>
  </conditionalFormatting>
  <conditionalFormatting sqref="M23">
    <cfRule type="expression" dxfId="220" priority="45">
      <formula>M23&gt;AF23</formula>
    </cfRule>
    <cfRule type="expression" dxfId="219" priority="46">
      <formula>M23&lt;AF23</formula>
    </cfRule>
  </conditionalFormatting>
  <conditionalFormatting sqref="G30">
    <cfRule type="expression" dxfId="218" priority="43">
      <formula>G30&gt;Z30</formula>
    </cfRule>
    <cfRule type="expression" dxfId="217" priority="44">
      <formula>G30&lt;Z30</formula>
    </cfRule>
  </conditionalFormatting>
  <conditionalFormatting sqref="M30">
    <cfRule type="expression" dxfId="216" priority="41">
      <formula>M30&gt;AF30</formula>
    </cfRule>
    <cfRule type="expression" dxfId="215" priority="42">
      <formula>M30&lt;AF30</formula>
    </cfRule>
  </conditionalFormatting>
  <conditionalFormatting sqref="M11">
    <cfRule type="expression" dxfId="214" priority="36">
      <formula>$E$9="Q1"</formula>
    </cfRule>
  </conditionalFormatting>
  <conditionalFormatting sqref="K25 I25">
    <cfRule type="expression" dxfId="213" priority="29">
      <formula>I25&gt;AB25</formula>
    </cfRule>
    <cfRule type="expression" dxfId="212" priority="30">
      <formula>I25&lt;AB25</formula>
    </cfRule>
  </conditionalFormatting>
  <conditionalFormatting sqref="G25">
    <cfRule type="expression" dxfId="211" priority="23">
      <formula>G25&gt;Z25</formula>
    </cfRule>
    <cfRule type="expression" dxfId="210" priority="24">
      <formula>G25&lt;Z25</formula>
    </cfRule>
  </conditionalFormatting>
  <conditionalFormatting sqref="M25">
    <cfRule type="expression" dxfId="209" priority="21">
      <formula>M25&gt;AF25</formula>
    </cfRule>
    <cfRule type="expression" dxfId="208" priority="22">
      <formula>M25&lt;AF25</formula>
    </cfRule>
  </conditionalFormatting>
  <conditionalFormatting sqref="AM16:AM18 AM24:AM25 AM20 AM22 AM27:AM29">
    <cfRule type="expression" dxfId="207" priority="19">
      <formula>#REF!&lt;#REF!</formula>
    </cfRule>
    <cfRule type="expression" dxfId="206" priority="20">
      <formula>#REF!&gt;#REF!</formula>
    </cfRule>
  </conditionalFormatting>
  <conditionalFormatting sqref="Z19:AH19 AK19">
    <cfRule type="expression" dxfId="205" priority="17">
      <formula>#REF!&lt;#REF!</formula>
    </cfRule>
    <cfRule type="expression" dxfId="204" priority="18">
      <formula>#REF!&gt;#REF!</formula>
    </cfRule>
  </conditionalFormatting>
  <conditionalFormatting sqref="AM19">
    <cfRule type="expression" dxfId="203" priority="15">
      <formula>#REF!&lt;#REF!</formula>
    </cfRule>
    <cfRule type="expression" dxfId="202" priority="16">
      <formula>#REF!&gt;#REF!</formula>
    </cfRule>
  </conditionalFormatting>
  <conditionalFormatting sqref="Z21:AH21 AK21">
    <cfRule type="expression" dxfId="201" priority="13">
      <formula>#REF!&lt;#REF!</formula>
    </cfRule>
    <cfRule type="expression" dxfId="200" priority="14">
      <formula>#REF!&gt;#REF!</formula>
    </cfRule>
  </conditionalFormatting>
  <conditionalFormatting sqref="AM21">
    <cfRule type="expression" dxfId="199" priority="11">
      <formula>#REF!&lt;#REF!</formula>
    </cfRule>
    <cfRule type="expression" dxfId="198" priority="12">
      <formula>#REF!&gt;#REF!</formula>
    </cfRule>
  </conditionalFormatting>
  <conditionalFormatting sqref="K26 I26">
    <cfRule type="expression" dxfId="197" priority="9">
      <formula>I26&gt;AB26</formula>
    </cfRule>
    <cfRule type="expression" dxfId="196" priority="10">
      <formula>I26&lt;AB26</formula>
    </cfRule>
  </conditionalFormatting>
  <conditionalFormatting sqref="G26">
    <cfRule type="expression" dxfId="195" priority="7">
      <formula>G26&gt;Z26</formula>
    </cfRule>
    <cfRule type="expression" dxfId="194" priority="8">
      <formula>G26&lt;Z26</formula>
    </cfRule>
  </conditionalFormatting>
  <conditionalFormatting sqref="M26">
    <cfRule type="expression" dxfId="193" priority="5">
      <formula>M26&gt;AF26</formula>
    </cfRule>
    <cfRule type="expression" dxfId="192" priority="6">
      <formula>M26&lt;AF26</formula>
    </cfRule>
  </conditionalFormatting>
  <conditionalFormatting sqref="AK26 Z26:AH26">
    <cfRule type="expression" dxfId="191" priority="3">
      <formula>#REF!&lt;#REF!</formula>
    </cfRule>
    <cfRule type="expression" dxfId="190" priority="4">
      <formula>#REF!&gt;#REF!</formula>
    </cfRule>
  </conditionalFormatting>
  <conditionalFormatting sqref="AM26">
    <cfRule type="expression" dxfId="189" priority="1">
      <formula>#REF!&lt;#REF!</formula>
    </cfRule>
    <cfRule type="expression" dxfId="188" priority="2">
      <formula>#REF!&gt;#REF!</formula>
    </cfRule>
  </conditionalFormatting>
  <dataValidations count="3">
    <dataValidation type="list" allowBlank="1" showInputMessage="1" showErrorMessage="1" sqref="E9 E11">
      <formula1>"Choose,Q1,Q2,Q3,Q4,Delay"</formula1>
    </dataValidation>
    <dataValidation type="list" allowBlank="1" showInputMessage="1" showErrorMessage="1" sqref="M11">
      <formula1>"Choose,Yes,No"</formula1>
    </dataValidation>
    <dataValidation type="list" allowBlank="1" showInputMessage="1" showErrorMessage="1" sqref="E13">
      <formula1>"Choose,Q1,Q2,Q3,Q4,Delay,Keep Separate"</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Data!$C$85:$C$88</xm:f>
          </x14:formula1>
          <xm:sqref>M9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4"/>
  </sheetPr>
  <dimension ref="A1:AM279"/>
  <sheetViews>
    <sheetView workbookViewId="0">
      <selection activeCell="O12" sqref="O12"/>
    </sheetView>
  </sheetViews>
  <sheetFormatPr defaultColWidth="8.81640625" defaultRowHeight="16.2"/>
  <cols>
    <col min="1" max="2" width="1.7265625" style="112" customWidth="1"/>
    <col min="3" max="3" width="30.453125" style="112" customWidth="1"/>
    <col min="4" max="4" width="1.7265625" style="112" customWidth="1"/>
    <col min="5" max="5" width="11.90625" style="112" customWidth="1"/>
    <col min="6" max="6" width="1.7265625" style="112" customWidth="1"/>
    <col min="7" max="7" width="11.90625" style="112" customWidth="1"/>
    <col min="8" max="8" width="1.7265625" style="112" customWidth="1"/>
    <col min="9" max="9" width="11.90625" style="112" customWidth="1"/>
    <col min="10" max="10" width="1.7265625" style="112" customWidth="1"/>
    <col min="11" max="11" width="11.90625" style="112" customWidth="1"/>
    <col min="12" max="12" width="1.7265625" style="112" customWidth="1"/>
    <col min="13" max="13" width="11.90625" style="112" customWidth="1"/>
    <col min="14" max="14" width="1.7265625" style="112" customWidth="1"/>
    <col min="15" max="15" width="11.453125" style="112" customWidth="1"/>
    <col min="16" max="17" width="1.7265625" style="112" customWidth="1"/>
    <col min="18" max="18" width="11.453125" style="112" customWidth="1"/>
    <col min="19" max="19" width="8.81640625" style="112"/>
    <col min="20" max="20" width="11.81640625" style="112" customWidth="1"/>
    <col min="21" max="21" width="8.81640625" style="112"/>
    <col min="22" max="22" width="8.90625" style="112" bestFit="1" customWidth="1"/>
    <col min="23" max="25" width="8.81640625" style="112"/>
    <col min="26" max="26" width="15" style="112" bestFit="1" customWidth="1"/>
    <col min="27" max="27" width="8.81640625" style="112"/>
    <col min="28" max="28" width="13.08984375" style="112" bestFit="1" customWidth="1"/>
    <col min="29" max="29" width="8.81640625" style="112"/>
    <col min="30" max="30" width="13.08984375" style="112" bestFit="1" customWidth="1"/>
    <col min="31" max="31" width="8.81640625" style="112"/>
    <col min="32" max="32" width="13.08984375" style="112" bestFit="1" customWidth="1"/>
    <col min="33" max="33" width="8.81640625" style="112"/>
    <col min="34" max="34" width="15.6328125" style="112" bestFit="1" customWidth="1"/>
    <col min="35" max="35" width="8.81640625" style="112"/>
    <col min="36" max="37" width="14.26953125" style="112" bestFit="1" customWidth="1"/>
    <col min="38" max="16384" width="8.81640625" style="112"/>
  </cols>
  <sheetData>
    <row r="1" spans="1:39" s="111" customFormat="1" ht="6" customHeight="1">
      <c r="C1" s="949"/>
    </row>
    <row r="2" spans="1:39" s="111" customFormat="1" ht="25.95" customHeight="1">
      <c r="C2" s="949"/>
      <c r="E2" s="182"/>
      <c r="I2" s="95"/>
      <c r="K2" s="672"/>
      <c r="O2" s="796" t="s">
        <v>1935</v>
      </c>
      <c r="V2" s="113" t="s">
        <v>3021</v>
      </c>
      <c r="W2" s="111" t="s">
        <v>152</v>
      </c>
    </row>
    <row r="3" spans="1:39" s="770" customFormat="1" ht="21" customHeight="1">
      <c r="A3" s="768"/>
      <c r="B3" s="768"/>
      <c r="C3" s="781" t="str">
        <f>DB_Dashboard1</f>
        <v>Financial Scorecard: Y5 Revenue0498050988.5917920CAGR00.3855958201441540Y1 Operating Margin0-0.19</v>
      </c>
      <c r="D3" s="768"/>
      <c r="E3" s="768"/>
      <c r="F3" s="768"/>
      <c r="G3" s="769"/>
      <c r="H3" s="768"/>
      <c r="I3" s="768"/>
      <c r="J3" s="768"/>
      <c r="K3" s="771"/>
      <c r="L3" s="768"/>
      <c r="M3" s="768"/>
    </row>
    <row r="4" spans="1:39" s="768" customFormat="1" ht="21" customHeight="1">
      <c r="C4" s="782" t="str">
        <f>DB_Dashboard2</f>
        <v>Non-Financial Scorecard: CSat0500Employee Engagement0500Trust050</v>
      </c>
    </row>
    <row r="5" spans="1:39" s="768" customFormat="1" ht="21" customHeight="1">
      <c r="C5" s="783" t="str">
        <f>DB_Dashboard1Y2</f>
        <v>Disruption &amp; Budget: Disruption00.50Y1 Budget Left0250000000Y2 Budget Left010000000</v>
      </c>
    </row>
    <row r="6" spans="1:39" s="192" customFormat="1" ht="24" customHeight="1">
      <c r="C6" s="192" t="s">
        <v>404</v>
      </c>
    </row>
    <row r="7" spans="1:39" s="114" customFormat="1" ht="8.4" customHeight="1"/>
    <row r="8" spans="1:39" s="114" customFormat="1" ht="12" customHeight="1" thickBot="1">
      <c r="E8" s="602" t="s">
        <v>1941</v>
      </c>
      <c r="O8" s="481"/>
    </row>
    <row r="9" spans="1:39" s="187" customFormat="1" ht="21.9" customHeight="1" thickTop="1" thickBot="1">
      <c r="C9" s="533" t="s">
        <v>3058</v>
      </c>
      <c r="D9" s="194"/>
      <c r="E9" s="445" t="s">
        <v>1665</v>
      </c>
      <c r="F9" s="194"/>
      <c r="G9" s="194"/>
      <c r="H9" s="194"/>
      <c r="I9" s="194"/>
      <c r="J9" s="194"/>
      <c r="K9" s="488"/>
      <c r="L9" s="114"/>
      <c r="M9" s="114"/>
      <c r="N9" s="114"/>
      <c r="O9" s="480"/>
      <c r="P9" s="195"/>
      <c r="Q9" s="195"/>
      <c r="R9" s="195"/>
      <c r="X9" s="440" t="s">
        <v>1665</v>
      </c>
      <c r="Y9" s="187" t="s">
        <v>1960</v>
      </c>
    </row>
    <row r="10" spans="1:39" s="114" customFormat="1" ht="8.4" customHeight="1" thickTop="1"/>
    <row r="11" spans="1:39" s="114" customFormat="1" ht="21" customHeight="1">
      <c r="C11" s="619" t="s">
        <v>1959</v>
      </c>
      <c r="E11" s="639"/>
      <c r="G11" s="533"/>
      <c r="M11" s="508"/>
      <c r="O11" s="481" t="s">
        <v>201</v>
      </c>
      <c r="V11" s="481"/>
      <c r="Y11" s="481"/>
    </row>
    <row r="12" spans="1:39" s="114" customFormat="1" ht="18" customHeight="1">
      <c r="C12" s="533" t="s">
        <v>507</v>
      </c>
      <c r="I12" s="187"/>
      <c r="M12" s="533" t="s">
        <v>508</v>
      </c>
      <c r="O12" s="480">
        <f>INDEX(calcFullStackExp,,xxIndexTeam)</f>
        <v>0</v>
      </c>
      <c r="X12" s="480"/>
      <c r="Y12" s="480"/>
    </row>
    <row r="13" spans="1:39" s="195" customFormat="1" ht="12.6" customHeight="1">
      <c r="C13" s="193"/>
      <c r="D13" s="194"/>
      <c r="E13" s="194"/>
      <c r="F13" s="194"/>
      <c r="G13" s="194"/>
      <c r="H13" s="194"/>
      <c r="I13" s="194"/>
      <c r="J13" s="194"/>
      <c r="K13" s="194"/>
      <c r="L13" s="194"/>
      <c r="M13" s="194"/>
      <c r="N13" s="194"/>
      <c r="O13" s="194"/>
    </row>
    <row r="14" spans="1:39" s="489" customFormat="1" ht="21.9" customHeight="1" thickBot="1">
      <c r="A14" s="187"/>
      <c r="B14" s="187"/>
      <c r="C14" s="666" t="s">
        <v>462</v>
      </c>
      <c r="D14" s="195"/>
      <c r="E14" s="592" t="s">
        <v>405</v>
      </c>
      <c r="F14" s="195"/>
      <c r="G14" s="195" t="s">
        <v>899</v>
      </c>
      <c r="H14" s="195"/>
      <c r="I14" s="195" t="s">
        <v>900</v>
      </c>
      <c r="J14" s="195"/>
      <c r="K14" s="195" t="s">
        <v>901</v>
      </c>
      <c r="L14" s="195"/>
      <c r="M14" s="195" t="s">
        <v>902</v>
      </c>
      <c r="O14" s="592" t="s">
        <v>1278</v>
      </c>
      <c r="P14" s="195"/>
      <c r="Q14" s="187"/>
      <c r="R14" s="592" t="s">
        <v>1279</v>
      </c>
      <c r="S14" s="187"/>
      <c r="T14" s="592" t="s">
        <v>2413</v>
      </c>
      <c r="U14" s="592"/>
      <c r="V14" s="490"/>
      <c r="Z14" s="195" t="s">
        <v>899</v>
      </c>
      <c r="AA14" s="195"/>
      <c r="AB14" s="195" t="s">
        <v>900</v>
      </c>
      <c r="AC14" s="195"/>
      <c r="AD14" s="195" t="s">
        <v>901</v>
      </c>
      <c r="AE14" s="195"/>
      <c r="AF14" s="195" t="s">
        <v>902</v>
      </c>
      <c r="AH14" s="592" t="s">
        <v>1278</v>
      </c>
      <c r="AI14" s="195"/>
      <c r="AJ14" s="187"/>
      <c r="AK14" s="592" t="s">
        <v>1279</v>
      </c>
      <c r="AM14" s="592" t="s">
        <v>2413</v>
      </c>
    </row>
    <row r="15" spans="1:39" s="489" customFormat="1" ht="21.9" customHeight="1" thickTop="1" thickBot="1">
      <c r="A15" s="187"/>
      <c r="B15" s="187"/>
      <c r="C15" s="667" t="s">
        <v>1938</v>
      </c>
      <c r="D15" s="654"/>
      <c r="E15" s="655">
        <f>SUM(Data!$H$276:$K$276)</f>
        <v>51666666.666666672</v>
      </c>
      <c r="F15" s="656"/>
      <c r="G15" s="657">
        <f>INDEX(calcQ1RevenueY1Q1,,xxIndexTeam)*4</f>
        <v>9375000</v>
      </c>
      <c r="H15" s="657"/>
      <c r="I15" s="657">
        <f>INDEX(calcQ2RevenueY1Q2,,xxIndexTeam)*4</f>
        <v>11458333.333333332</v>
      </c>
      <c r="J15" s="657"/>
      <c r="K15" s="657">
        <f>INDEX(calcQ3RevenueY1Q3,,xxIndexTeam)*4</f>
        <v>17708333.333333336</v>
      </c>
      <c r="L15" s="657"/>
      <c r="M15" s="657">
        <f>INDEX(calcQ4RevenueY1Q4,,xxIndexTeam)*4</f>
        <v>26041666.666666664</v>
      </c>
      <c r="N15" s="657"/>
      <c r="O15" s="668">
        <f>SUM(G15:M15)</f>
        <v>64583333.333333336</v>
      </c>
      <c r="P15" s="654"/>
      <c r="Q15" s="654"/>
      <c r="R15" s="668">
        <f>INDEX(calcY2Q1RevenueY2Q1,,xxIndexTeam)*4+INDEX(calcY2Q2RevenueY2Q2,,xxIndexTeam)*4+INDEX(calcY2Q3RevenueY2Q3,,xxIndexTeam)*4+INDEX(calcY2Q4RevenueY2Q4,,xxIndexTeam)*4</f>
        <v>80729166.666666657</v>
      </c>
      <c r="S15" s="654"/>
      <c r="T15" s="669">
        <f>INDEX(calcY5Q1RevenueY5Q1,,xxIndexTeam)*4+INDEX(calcY5Q2RevenueY5Q2,,xxIndexTeam)*4+INDEX(calcY5Q3RevenueY5Q3,,xxIndexTeam)*4+INDEX(calcY5Q4RevenueY5Q4,,xxIndexTeam)*4</f>
        <v>100235351.5625</v>
      </c>
      <c r="U15" s="587"/>
      <c r="V15" s="490"/>
      <c r="Z15" s="587">
        <v>9375000</v>
      </c>
      <c r="AA15" s="587"/>
      <c r="AB15" s="587">
        <v>11458333.333333332</v>
      </c>
      <c r="AC15" s="587"/>
      <c r="AD15" s="587">
        <v>17708333.333333336</v>
      </c>
      <c r="AE15" s="587"/>
      <c r="AF15" s="587">
        <v>26041666.666666664</v>
      </c>
      <c r="AG15" s="587"/>
      <c r="AH15" s="608">
        <v>64583333.333333336</v>
      </c>
      <c r="AI15" s="195"/>
      <c r="AJ15" s="195"/>
      <c r="AK15" s="608">
        <v>80729166.666666657</v>
      </c>
      <c r="AM15" s="608">
        <v>100235351.5625</v>
      </c>
    </row>
    <row r="16" spans="1:39" s="489" customFormat="1" ht="21.9" customHeight="1" thickTop="1">
      <c r="A16" s="187"/>
      <c r="B16" s="187"/>
      <c r="C16" s="187" t="s">
        <v>140</v>
      </c>
      <c r="D16" s="187"/>
      <c r="E16" s="517">
        <f>INDEX(obalTargetRev,,xxIndexTeam)</f>
        <v>97519391.714228541</v>
      </c>
      <c r="F16" s="505"/>
      <c r="G16" s="724">
        <f>INDEX(finQ1Rev,,xxIndexTeam)</f>
        <v>30955843.466136772</v>
      </c>
      <c r="H16" s="724"/>
      <c r="I16" s="724">
        <f>INDEX(finQ2Rev,,xxIndexTeam)</f>
        <v>33831624.25685782</v>
      </c>
      <c r="J16" s="724"/>
      <c r="K16" s="724">
        <f>INDEX(finQ3Rev,,xxIndexTeam)</f>
        <v>38275308.995502166</v>
      </c>
      <c r="L16" s="724"/>
      <c r="M16" s="724">
        <f>INDEX(finQ4Rev,,xxIndexTeam)</f>
        <v>44809163.697226644</v>
      </c>
      <c r="N16" s="491"/>
      <c r="O16" s="518">
        <f>INDEX(FinAnnualRev,,xxIndexTeam)</f>
        <v>147871940.41572341</v>
      </c>
      <c r="P16" s="187"/>
      <c r="Q16" s="187"/>
      <c r="R16" s="518">
        <f>INDEX(FinY2AnnualRev,,xxIndexTeam)</f>
        <v>221091472.98381251</v>
      </c>
      <c r="S16" s="187"/>
      <c r="T16" s="518">
        <f>INDEX(FinY5AnnualRev,,xxIndexTeam)</f>
        <v>498050988.59179169</v>
      </c>
      <c r="U16" s="491"/>
      <c r="V16" s="490" t="b">
        <v>0</v>
      </c>
      <c r="Z16" s="516">
        <v>30955843.466136772</v>
      </c>
      <c r="AA16" s="516"/>
      <c r="AB16" s="516">
        <v>33831624.25685782</v>
      </c>
      <c r="AC16" s="516"/>
      <c r="AD16" s="516">
        <v>38275308.995502166</v>
      </c>
      <c r="AE16" s="516"/>
      <c r="AF16" s="516">
        <v>44809163.697226644</v>
      </c>
      <c r="AG16" s="491"/>
      <c r="AH16" s="518">
        <v>147871940.41572341</v>
      </c>
      <c r="AI16" s="187"/>
      <c r="AJ16" s="187"/>
      <c r="AK16" s="518">
        <v>221091472.98381251</v>
      </c>
      <c r="AM16" s="518">
        <v>498050988.59179169</v>
      </c>
    </row>
    <row r="17" spans="1:39" s="489" customFormat="1" ht="5.4" customHeight="1">
      <c r="A17" s="187"/>
      <c r="B17" s="187"/>
      <c r="C17" s="187"/>
      <c r="D17" s="187"/>
      <c r="E17" s="519"/>
      <c r="F17" s="505"/>
      <c r="G17" s="587"/>
      <c r="H17" s="587"/>
      <c r="I17" s="587"/>
      <c r="J17" s="587"/>
      <c r="K17" s="587"/>
      <c r="L17" s="587"/>
      <c r="M17" s="587"/>
      <c r="N17" s="491"/>
      <c r="O17" s="606"/>
      <c r="P17" s="187"/>
      <c r="Q17" s="187"/>
      <c r="R17" s="606"/>
      <c r="S17" s="187"/>
      <c r="T17" s="606"/>
      <c r="U17" s="491"/>
      <c r="V17" s="490" t="b">
        <v>0</v>
      </c>
      <c r="Z17" s="491"/>
      <c r="AA17" s="491"/>
      <c r="AB17" s="491"/>
      <c r="AC17" s="491"/>
      <c r="AD17" s="491"/>
      <c r="AE17" s="491"/>
      <c r="AF17" s="491"/>
      <c r="AG17" s="491"/>
      <c r="AH17" s="606"/>
      <c r="AI17" s="187"/>
      <c r="AJ17" s="187"/>
      <c r="AK17" s="606"/>
      <c r="AM17" s="606"/>
    </row>
    <row r="18" spans="1:39" s="492" customFormat="1" ht="21.9" customHeight="1">
      <c r="A18" s="463"/>
      <c r="B18" s="463"/>
      <c r="C18" s="187" t="s">
        <v>237</v>
      </c>
      <c r="D18" s="463"/>
      <c r="E18" s="521">
        <f>tlOutputTimelineY0Revenue-tlOutputTimelineY0COGs</f>
        <v>78015513.371382833</v>
      </c>
      <c r="F18" s="506"/>
      <c r="G18" s="516">
        <f>tlOutputTimelineQ1Revenue-tlOutputTimelineQ1COGs</f>
        <v>24764674.772909418</v>
      </c>
      <c r="H18" s="516"/>
      <c r="I18" s="516">
        <f>tlOutputTimelineQ2Revenue-tlOutputTimelineQ2COGs</f>
        <v>27065299.405486256</v>
      </c>
      <c r="J18" s="516"/>
      <c r="K18" s="516">
        <f>tlOutputTimelineQ3Revenue-tlOutputTimelineQ3COGs</f>
        <v>30620247.196401734</v>
      </c>
      <c r="L18" s="516"/>
      <c r="M18" s="516">
        <f>tlOutputTimelineQ4Revenue-tlOutputTimelineQ4COGs</f>
        <v>35847330.957781315</v>
      </c>
      <c r="N18" s="491"/>
      <c r="O18" s="518">
        <f>tlOutputTimelineY1Revenue-tlOutputTimelineY1COGs</f>
        <v>118297552.33257873</v>
      </c>
      <c r="P18" s="187"/>
      <c r="Q18" s="187"/>
      <c r="R18" s="518">
        <f>tlOutputTimelineY2Revenue-tlOutputTimelineY2COGs</f>
        <v>176873178.38705003</v>
      </c>
      <c r="S18" s="187"/>
      <c r="T18" s="518">
        <f>tlOutputTimelineY5Revenue-tlOutputTimelineY5COGs</f>
        <v>398440790.87343335</v>
      </c>
      <c r="U18" s="491"/>
      <c r="V18" s="490" t="b">
        <v>0</v>
      </c>
      <c r="Z18" s="516">
        <v>24764674.772909418</v>
      </c>
      <c r="AA18" s="516"/>
      <c r="AB18" s="516">
        <v>27065299.405486256</v>
      </c>
      <c r="AC18" s="516"/>
      <c r="AD18" s="516">
        <v>30620247.196401734</v>
      </c>
      <c r="AE18" s="516"/>
      <c r="AF18" s="516">
        <v>35847330.957781315</v>
      </c>
      <c r="AG18" s="491"/>
      <c r="AH18" s="518">
        <v>118297552.33257873</v>
      </c>
      <c r="AI18" s="187"/>
      <c r="AJ18" s="187"/>
      <c r="AK18" s="518">
        <v>176873178.38705003</v>
      </c>
      <c r="AM18" s="518">
        <v>398440790.87343335</v>
      </c>
    </row>
    <row r="19" spans="1:39" s="496" customFormat="1" ht="18.600000000000001" customHeight="1">
      <c r="A19" s="493"/>
      <c r="B19" s="493"/>
      <c r="C19" s="494" t="s">
        <v>239</v>
      </c>
      <c r="D19" s="493"/>
      <c r="E19" s="520">
        <f>E18/E16</f>
        <v>0.8</v>
      </c>
      <c r="F19" s="507"/>
      <c r="G19" s="495">
        <f>G18/G16</f>
        <v>0.8</v>
      </c>
      <c r="H19" s="495"/>
      <c r="I19" s="495">
        <f>I18/I16</f>
        <v>0.8</v>
      </c>
      <c r="J19" s="495"/>
      <c r="K19" s="495">
        <f>K18/K16</f>
        <v>0.8</v>
      </c>
      <c r="L19" s="495"/>
      <c r="M19" s="495">
        <f>M18/M16</f>
        <v>0.8</v>
      </c>
      <c r="N19" s="495"/>
      <c r="O19" s="607">
        <f>O18/O16</f>
        <v>0.8</v>
      </c>
      <c r="P19" s="493"/>
      <c r="Q19" s="493"/>
      <c r="R19" s="607">
        <f>R18/R16</f>
        <v>0.80000000000000016</v>
      </c>
      <c r="S19" s="493"/>
      <c r="T19" s="607">
        <f>T18/T16</f>
        <v>0.8</v>
      </c>
      <c r="U19" s="495"/>
      <c r="V19" s="490" t="b">
        <v>0</v>
      </c>
      <c r="Z19" s="495">
        <v>0.8</v>
      </c>
      <c r="AA19" s="495"/>
      <c r="AB19" s="495">
        <v>0.8</v>
      </c>
      <c r="AC19" s="495"/>
      <c r="AD19" s="495">
        <v>0.8</v>
      </c>
      <c r="AE19" s="495"/>
      <c r="AF19" s="495">
        <v>0.8</v>
      </c>
      <c r="AG19" s="495"/>
      <c r="AH19" s="607">
        <v>0.8</v>
      </c>
      <c r="AI19" s="493"/>
      <c r="AJ19" s="493"/>
      <c r="AK19" s="607">
        <v>0.80000000000000016</v>
      </c>
      <c r="AM19" s="607">
        <v>0.8</v>
      </c>
    </row>
    <row r="20" spans="1:39" s="489" customFormat="1" ht="21.9" customHeight="1">
      <c r="A20" s="187"/>
      <c r="B20" s="187"/>
      <c r="C20" s="605" t="s">
        <v>425</v>
      </c>
      <c r="D20" s="195"/>
      <c r="E20" s="589">
        <f>tlOutputTimelineQ1MSExp+tlOutputTimelineQ1RDExp+tlOutputTimelineQ1GAExp</f>
        <v>30646285.031475402</v>
      </c>
      <c r="F20" s="586"/>
      <c r="G20" s="590">
        <f>tlOutputTimelineQ1MSExp+tlOutputTimelineQ1RDExp+tlOutputTimelineQ1GAExp</f>
        <v>30646285.031475402</v>
      </c>
      <c r="H20" s="590"/>
      <c r="I20" s="590">
        <f>tlOutputTimelineQ2MSExp+tlOutputTimelineQ2RDExp+tlOutputTimelineQ2GAExp</f>
        <v>33493308.014289245</v>
      </c>
      <c r="J20" s="590"/>
      <c r="K20" s="590">
        <f>tlOutputTimelineQ3MSExp+tlOutputTimelineQ3RDExp+tlOutputTimelineQ3GAExp</f>
        <v>37892555.905547149</v>
      </c>
      <c r="L20" s="590"/>
      <c r="M20" s="590">
        <f>tlOutputTimelineQ4MSExp+tlOutputTimelineQ4RDExp+tlOutputTimelineQ4GAExp</f>
        <v>44361072.06025438</v>
      </c>
      <c r="N20" s="587"/>
      <c r="O20" s="604">
        <f>tlOutputTimelineY1MSExp+tlOutputTimelineY1RDExp+tlOutputTimelineY1GAExp</f>
        <v>146393221.01156616</v>
      </c>
      <c r="P20" s="195"/>
      <c r="Q20" s="195"/>
      <c r="R20" s="604">
        <f>tlOutputTimelineY2MSExp+tlOutputTimelineY2RDExp+tlOutputTimelineY2GAExp</f>
        <v>215246846.85739619</v>
      </c>
      <c r="S20" s="195"/>
      <c r="T20" s="604">
        <f>tlOutputTimelineY5MSExp+tlOutputTimelineY5RDExp+tlOutputTimelineY5GAExp</f>
        <v>376681982.00044328</v>
      </c>
      <c r="U20" s="587"/>
      <c r="V20" s="497" t="b">
        <v>0</v>
      </c>
      <c r="Z20" s="590">
        <v>30646285.031475402</v>
      </c>
      <c r="AA20" s="590"/>
      <c r="AB20" s="590">
        <v>33493308.014289245</v>
      </c>
      <c r="AC20" s="590"/>
      <c r="AD20" s="590">
        <v>37892555.905547149</v>
      </c>
      <c r="AE20" s="590"/>
      <c r="AF20" s="590">
        <v>44361072.06025438</v>
      </c>
      <c r="AG20" s="587"/>
      <c r="AH20" s="604">
        <v>146393221.01156616</v>
      </c>
      <c r="AI20" s="195"/>
      <c r="AJ20" s="195"/>
      <c r="AK20" s="604">
        <v>215246846.85739619</v>
      </c>
      <c r="AM20" s="604">
        <v>457652600.97722107</v>
      </c>
    </row>
    <row r="21" spans="1:39" s="492" customFormat="1" ht="21.9" customHeight="1">
      <c r="A21" s="463"/>
      <c r="B21" s="463"/>
      <c r="C21" s="603" t="s">
        <v>426</v>
      </c>
      <c r="D21" s="592"/>
      <c r="E21" s="585">
        <f>INDEX(obalTargetStandaloneOpProf,,xxIndexTeam)</f>
        <v>-18528684.425703421</v>
      </c>
      <c r="F21" s="593"/>
      <c r="G21" s="587">
        <f>G18-G20</f>
        <v>-5881610.2585659847</v>
      </c>
      <c r="H21" s="587"/>
      <c r="I21" s="587">
        <f>I18-I20</f>
        <v>-6428008.6088029891</v>
      </c>
      <c r="J21" s="587"/>
      <c r="K21" s="587">
        <f>K18-K20</f>
        <v>-7272308.7091454156</v>
      </c>
      <c r="L21" s="587"/>
      <c r="M21" s="587">
        <f>M18-M20</f>
        <v>-8513741.1024730653</v>
      </c>
      <c r="N21" s="587"/>
      <c r="O21" s="608">
        <f>O18-O20</f>
        <v>-28095668.678987429</v>
      </c>
      <c r="P21" s="195"/>
      <c r="Q21" s="195"/>
      <c r="R21" s="608">
        <f>R18-R20</f>
        <v>-38373668.470346153</v>
      </c>
      <c r="S21" s="195"/>
      <c r="T21" s="608">
        <f>T18-T20</f>
        <v>21758808.872990072</v>
      </c>
      <c r="U21" s="587"/>
      <c r="V21" s="490" t="b">
        <v>0</v>
      </c>
      <c r="Z21" s="587">
        <v>-5881610.2585659847</v>
      </c>
      <c r="AA21" s="587"/>
      <c r="AB21" s="587">
        <v>-6428008.6088029891</v>
      </c>
      <c r="AC21" s="587"/>
      <c r="AD21" s="587">
        <v>-7272308.7091454156</v>
      </c>
      <c r="AE21" s="587"/>
      <c r="AF21" s="587">
        <v>-8513741.1024730653</v>
      </c>
      <c r="AG21" s="587"/>
      <c r="AH21" s="608">
        <v>-28095668.678987429</v>
      </c>
      <c r="AI21" s="195"/>
      <c r="AJ21" s="195"/>
      <c r="AK21" s="608">
        <v>-38373668.470346153</v>
      </c>
      <c r="AM21" s="608">
        <v>-59211810.10378772</v>
      </c>
    </row>
    <row r="22" spans="1:39" s="496" customFormat="1" ht="21.9" customHeight="1">
      <c r="A22" s="493"/>
      <c r="B22" s="493"/>
      <c r="C22" s="594" t="s">
        <v>965</v>
      </c>
      <c r="D22" s="597"/>
      <c r="E22" s="598">
        <f>E21/E16</f>
        <v>-0.18999999999999997</v>
      </c>
      <c r="F22" s="595"/>
      <c r="G22" s="726">
        <f>G21/G16</f>
        <v>-0.18999999999999995</v>
      </c>
      <c r="H22" s="726"/>
      <c r="I22" s="726">
        <f>I21/I16</f>
        <v>-0.19000000000000009</v>
      </c>
      <c r="J22" s="726"/>
      <c r="K22" s="726">
        <f>K21/K16</f>
        <v>-0.19000000000000011</v>
      </c>
      <c r="L22" s="726"/>
      <c r="M22" s="726">
        <f>M21/M16</f>
        <v>-0.19000000000000006</v>
      </c>
      <c r="N22" s="596"/>
      <c r="O22" s="600">
        <f>O21/O16</f>
        <v>-0.18999999999999986</v>
      </c>
      <c r="P22" s="597"/>
      <c r="Q22" s="597"/>
      <c r="R22" s="600">
        <f>R21/R16</f>
        <v>-0.17356466964764275</v>
      </c>
      <c r="S22" s="597"/>
      <c r="T22" s="600">
        <f>T21/T16</f>
        <v>4.3687914232459928E-2</v>
      </c>
      <c r="U22" s="651"/>
      <c r="V22" s="490" t="b">
        <v>0</v>
      </c>
      <c r="Z22" s="599">
        <v>-0.18999999999999995</v>
      </c>
      <c r="AA22" s="599"/>
      <c r="AB22" s="599">
        <v>-0.19000000000000009</v>
      </c>
      <c r="AC22" s="599"/>
      <c r="AD22" s="599">
        <v>-0.19000000000000011</v>
      </c>
      <c r="AE22" s="599"/>
      <c r="AF22" s="599">
        <v>-0.19000000000000006</v>
      </c>
      <c r="AG22" s="596"/>
      <c r="AH22" s="600">
        <v>-0.18999999999999986</v>
      </c>
      <c r="AI22" s="597"/>
      <c r="AJ22" s="597"/>
      <c r="AK22" s="600">
        <v>-0.17356466964764275</v>
      </c>
      <c r="AM22" s="600">
        <v>-0.11888704462008086</v>
      </c>
    </row>
    <row r="23" spans="1:39" s="489" customFormat="1" ht="21.9" customHeight="1">
      <c r="A23" s="187"/>
      <c r="B23" s="187"/>
      <c r="C23" s="647" t="s">
        <v>466</v>
      </c>
      <c r="D23" s="195"/>
      <c r="E23" s="585"/>
      <c r="F23" s="586"/>
      <c r="G23" s="587"/>
      <c r="H23" s="587"/>
      <c r="I23" s="587"/>
      <c r="J23" s="587"/>
      <c r="K23" s="587"/>
      <c r="L23" s="587"/>
      <c r="M23" s="587"/>
      <c r="N23" s="587"/>
      <c r="O23" s="588"/>
      <c r="P23" s="195"/>
      <c r="Q23" s="195"/>
      <c r="R23" s="588"/>
      <c r="S23" s="195"/>
      <c r="T23" s="588"/>
      <c r="U23" s="764"/>
      <c r="V23" s="490" t="b">
        <v>0</v>
      </c>
      <c r="Z23" s="587"/>
      <c r="AA23" s="587"/>
      <c r="AB23" s="587"/>
      <c r="AC23" s="587"/>
      <c r="AD23" s="587"/>
      <c r="AE23" s="587"/>
      <c r="AF23" s="587"/>
      <c r="AG23" s="587"/>
      <c r="AH23" s="588"/>
      <c r="AI23" s="195"/>
      <c r="AJ23" s="195"/>
      <c r="AK23" s="588"/>
      <c r="AM23" s="588"/>
    </row>
    <row r="24" spans="1:39" s="489" customFormat="1" ht="21.9" customHeight="1" thickBot="1">
      <c r="A24" s="187"/>
      <c r="B24" s="187"/>
      <c r="C24" s="648" t="s">
        <v>1253</v>
      </c>
      <c r="D24" s="195"/>
      <c r="E24" s="805">
        <v>0</v>
      </c>
      <c r="F24" s="586"/>
      <c r="G24" s="725">
        <f>INDEX(finQ1HarmExp,,xxIndexTeam)</f>
        <v>0</v>
      </c>
      <c r="H24" s="725"/>
      <c r="I24" s="725">
        <f>INDEX(finQ2HarmExp,,xxIndexTeam)</f>
        <v>0</v>
      </c>
      <c r="J24" s="725"/>
      <c r="K24" s="725">
        <f>INDEX(finQ3HarmExp,,xxIndexTeam)</f>
        <v>0</v>
      </c>
      <c r="L24" s="725"/>
      <c r="M24" s="725">
        <f>INDEX(finQ4HarmExp,,xxIndexTeam)</f>
        <v>0</v>
      </c>
      <c r="N24" s="587"/>
      <c r="O24" s="588">
        <f>INDEX(finAnnualHarmExp,,xxIndexTeam)</f>
        <v>0</v>
      </c>
      <c r="P24" s="195"/>
      <c r="Q24" s="195"/>
      <c r="R24" s="588">
        <f>INDEX(finY2AnnualHarmExp,,xxIndexTeam)</f>
        <v>0</v>
      </c>
      <c r="S24" s="195"/>
      <c r="T24" s="804"/>
      <c r="U24" s="764"/>
      <c r="V24" s="490" t="b">
        <v>0</v>
      </c>
      <c r="Z24" s="587">
        <v>0</v>
      </c>
      <c r="AA24" s="587"/>
      <c r="AB24" s="587">
        <v>0</v>
      </c>
      <c r="AC24" s="587"/>
      <c r="AD24" s="587">
        <v>0</v>
      </c>
      <c r="AE24" s="587"/>
      <c r="AF24" s="587">
        <v>0</v>
      </c>
      <c r="AG24" s="587"/>
      <c r="AH24" s="588">
        <v>0</v>
      </c>
      <c r="AI24" s="195"/>
      <c r="AJ24" s="195"/>
      <c r="AK24" s="588">
        <v>0</v>
      </c>
      <c r="AM24" s="588"/>
    </row>
    <row r="25" spans="1:39" s="489" customFormat="1" ht="21.9" customHeight="1" thickTop="1" thickBot="1">
      <c r="A25" s="187"/>
      <c r="B25" s="187"/>
      <c r="C25" s="653" t="s">
        <v>466</v>
      </c>
      <c r="D25" s="654"/>
      <c r="E25" s="806">
        <v>0</v>
      </c>
      <c r="F25" s="656"/>
      <c r="G25" s="657">
        <f>INDEX(finQ1IntegrationBudget,,xxIndexTeam)</f>
        <v>0</v>
      </c>
      <c r="H25" s="657"/>
      <c r="I25" s="657">
        <f>INDEX(finQ2IntegrationBudget,,xxIndexTeam)</f>
        <v>0</v>
      </c>
      <c r="J25" s="657"/>
      <c r="K25" s="657">
        <f>INDEX(finQ3IntegrationBudget,,xxIndexTeam)</f>
        <v>0</v>
      </c>
      <c r="L25" s="657"/>
      <c r="M25" s="657">
        <f>INDEX(finQ4IntegrationBudget,,xxIndexTeam)</f>
        <v>0</v>
      </c>
      <c r="N25" s="657"/>
      <c r="O25" s="658">
        <f>INDEX(finY1IntegrationBudget,,xxIndexTeam)</f>
        <v>0</v>
      </c>
      <c r="P25" s="654"/>
      <c r="Q25" s="654"/>
      <c r="R25" s="659">
        <f>INDEX(finY2IntegrationBudget,,xxIndexTeam)</f>
        <v>0</v>
      </c>
      <c r="S25" s="195"/>
      <c r="T25" s="804"/>
      <c r="U25" s="764"/>
      <c r="V25" s="490" t="b">
        <v>0</v>
      </c>
      <c r="Z25" s="590">
        <v>0</v>
      </c>
      <c r="AA25" s="590"/>
      <c r="AB25" s="590">
        <v>0</v>
      </c>
      <c r="AC25" s="590"/>
      <c r="AD25" s="590">
        <v>0</v>
      </c>
      <c r="AE25" s="590"/>
      <c r="AF25" s="590">
        <v>0</v>
      </c>
      <c r="AG25" s="587"/>
      <c r="AH25" s="591">
        <v>0</v>
      </c>
      <c r="AI25" s="195"/>
      <c r="AJ25" s="195"/>
      <c r="AK25" s="591">
        <v>0</v>
      </c>
      <c r="AM25" s="591"/>
    </row>
    <row r="26" spans="1:39" s="492" customFormat="1" ht="21.9" customHeight="1" thickTop="1">
      <c r="A26" s="463"/>
      <c r="B26" s="463"/>
      <c r="C26" s="649" t="s">
        <v>469</v>
      </c>
      <c r="D26" s="592"/>
      <c r="E26" s="807">
        <f>SUM(E24:E25)</f>
        <v>0</v>
      </c>
      <c r="F26" s="593"/>
      <c r="G26" s="587">
        <f>SUM(G24:G25)</f>
        <v>0</v>
      </c>
      <c r="H26" s="587"/>
      <c r="I26" s="587">
        <f>SUM(I24:I25)</f>
        <v>0</v>
      </c>
      <c r="J26" s="587"/>
      <c r="K26" s="587">
        <f>SUM(K24:K25)</f>
        <v>0</v>
      </c>
      <c r="L26" s="587"/>
      <c r="M26" s="587">
        <f>SUM(M24:M25)</f>
        <v>0</v>
      </c>
      <c r="N26" s="587"/>
      <c r="O26" s="588">
        <f>SUM(O24:O25)</f>
        <v>0</v>
      </c>
      <c r="P26" s="195"/>
      <c r="Q26" s="195"/>
      <c r="R26" s="588">
        <f>SUM(R24:R25)</f>
        <v>0</v>
      </c>
      <c r="S26" s="195"/>
      <c r="T26" s="804"/>
      <c r="U26" s="764"/>
      <c r="V26" s="490" t="b">
        <v>0</v>
      </c>
      <c r="Z26" s="587">
        <v>0</v>
      </c>
      <c r="AA26" s="587"/>
      <c r="AB26" s="587">
        <v>0</v>
      </c>
      <c r="AC26" s="587"/>
      <c r="AD26" s="587">
        <v>0</v>
      </c>
      <c r="AE26" s="587"/>
      <c r="AF26" s="587">
        <v>0</v>
      </c>
      <c r="AG26" s="587"/>
      <c r="AH26" s="588">
        <v>0</v>
      </c>
      <c r="AI26" s="195"/>
      <c r="AJ26" s="195"/>
      <c r="AK26" s="588">
        <v>0</v>
      </c>
      <c r="AM26" s="588"/>
    </row>
    <row r="27" spans="1:39" s="489" customFormat="1" ht="5.4" customHeight="1">
      <c r="A27" s="187"/>
      <c r="B27" s="187"/>
      <c r="C27" s="648"/>
      <c r="D27" s="195"/>
      <c r="E27" s="585"/>
      <c r="F27" s="586"/>
      <c r="G27" s="587"/>
      <c r="H27" s="587"/>
      <c r="I27" s="587"/>
      <c r="J27" s="587"/>
      <c r="K27" s="587"/>
      <c r="L27" s="587"/>
      <c r="M27" s="587"/>
      <c r="N27" s="587"/>
      <c r="O27" s="588"/>
      <c r="P27" s="195"/>
      <c r="Q27" s="195"/>
      <c r="R27" s="588"/>
      <c r="S27" s="195"/>
      <c r="T27" s="588"/>
      <c r="U27" s="764"/>
      <c r="V27" s="490" t="b">
        <v>0</v>
      </c>
      <c r="Z27" s="587"/>
      <c r="AA27" s="587"/>
      <c r="AB27" s="587"/>
      <c r="AC27" s="587"/>
      <c r="AD27" s="587"/>
      <c r="AE27" s="587"/>
      <c r="AF27" s="587"/>
      <c r="AG27" s="587"/>
      <c r="AH27" s="588"/>
      <c r="AI27" s="195"/>
      <c r="AJ27" s="195"/>
      <c r="AK27" s="588"/>
      <c r="AM27" s="588"/>
    </row>
    <row r="28" spans="1:39" s="492" customFormat="1" ht="21.9" customHeight="1">
      <c r="A28" s="463"/>
      <c r="B28" s="463"/>
      <c r="C28" s="649" t="s">
        <v>1148</v>
      </c>
      <c r="D28" s="592"/>
      <c r="E28" s="589">
        <f>E21-E26</f>
        <v>-18528684.425703421</v>
      </c>
      <c r="F28" s="586"/>
      <c r="G28" s="587">
        <f>G21-G26</f>
        <v>-5881610.2585659847</v>
      </c>
      <c r="H28" s="587"/>
      <c r="I28" s="587">
        <f>I21-I26</f>
        <v>-6428008.6088029891</v>
      </c>
      <c r="J28" s="587"/>
      <c r="K28" s="587">
        <f>K21-K26</f>
        <v>-7272308.7091454156</v>
      </c>
      <c r="L28" s="587"/>
      <c r="M28" s="587">
        <f>M21-M26</f>
        <v>-8513741.1024730653</v>
      </c>
      <c r="N28" s="587"/>
      <c r="O28" s="591">
        <f>O21-O26</f>
        <v>-28095668.678987429</v>
      </c>
      <c r="P28" s="195"/>
      <c r="Q28" s="195"/>
      <c r="R28" s="591">
        <f>R21-R26</f>
        <v>-38373668.470346153</v>
      </c>
      <c r="S28" s="195"/>
      <c r="T28" s="591">
        <f>T21-T26</f>
        <v>21758808.872990072</v>
      </c>
      <c r="U28" s="764"/>
      <c r="V28" s="490" t="b">
        <v>0</v>
      </c>
      <c r="Z28" s="590">
        <v>-5881610.2585659847</v>
      </c>
      <c r="AA28" s="590"/>
      <c r="AB28" s="590">
        <v>-6428008.6088029891</v>
      </c>
      <c r="AC28" s="590"/>
      <c r="AD28" s="590">
        <v>-7272308.7091454156</v>
      </c>
      <c r="AE28" s="590"/>
      <c r="AF28" s="590">
        <v>-8513741.1024730653</v>
      </c>
      <c r="AG28" s="587"/>
      <c r="AH28" s="591">
        <v>-28095668.678987429</v>
      </c>
      <c r="AI28" s="195"/>
      <c r="AJ28" s="195"/>
      <c r="AK28" s="591">
        <v>-38373668.470346153</v>
      </c>
      <c r="AM28" s="591">
        <v>-59211810.10378772</v>
      </c>
    </row>
    <row r="29" spans="1:39" s="489" customFormat="1" ht="21.9" customHeight="1">
      <c r="A29" s="187"/>
      <c r="B29" s="187"/>
      <c r="C29" s="594" t="s">
        <v>1936</v>
      </c>
      <c r="D29" s="195"/>
      <c r="E29" s="650">
        <f>E28/E16</f>
        <v>-0.18999999999999997</v>
      </c>
      <c r="F29" s="595"/>
      <c r="G29" s="726">
        <f>G28/G16</f>
        <v>-0.18999999999999995</v>
      </c>
      <c r="H29" s="726"/>
      <c r="I29" s="726">
        <f>I28/I16</f>
        <v>-0.19000000000000009</v>
      </c>
      <c r="J29" s="726"/>
      <c r="K29" s="726">
        <f>K28/K16</f>
        <v>-0.19000000000000011</v>
      </c>
      <c r="L29" s="726"/>
      <c r="M29" s="726">
        <f>M28/M16</f>
        <v>-0.19000000000000006</v>
      </c>
      <c r="N29" s="596"/>
      <c r="O29" s="652">
        <f>O28/O16</f>
        <v>-0.18999999999999986</v>
      </c>
      <c r="P29" s="195"/>
      <c r="Q29" s="195"/>
      <c r="R29" s="652">
        <f>R28/R16</f>
        <v>-0.17356466964764275</v>
      </c>
      <c r="S29" s="195"/>
      <c r="T29" s="652">
        <f>T28/T16</f>
        <v>4.3687914232459928E-2</v>
      </c>
      <c r="U29" s="651"/>
      <c r="V29" s="490" t="b">
        <v>0</v>
      </c>
      <c r="Z29" s="651">
        <v>-0.18999999999999995</v>
      </c>
      <c r="AA29" s="651"/>
      <c r="AB29" s="651">
        <v>-0.19000000000000009</v>
      </c>
      <c r="AC29" s="651"/>
      <c r="AD29" s="651">
        <v>-0.19000000000000011</v>
      </c>
      <c r="AE29" s="651"/>
      <c r="AF29" s="651">
        <v>-0.19000000000000006</v>
      </c>
      <c r="AG29" s="596"/>
      <c r="AH29" s="652">
        <v>-0.18999999999999986</v>
      </c>
      <c r="AI29" s="195"/>
      <c r="AJ29" s="195"/>
      <c r="AK29" s="652">
        <v>-0.17356466964764275</v>
      </c>
      <c r="AM29" s="652">
        <v>-0.11888704462008086</v>
      </c>
    </row>
    <row r="30" spans="1:39" s="115" customFormat="1" ht="21.9" customHeight="1">
      <c r="A30" s="114"/>
      <c r="B30" s="114"/>
      <c r="C30" s="208"/>
      <c r="D30" s="114"/>
      <c r="E30" s="114"/>
      <c r="F30" s="114"/>
      <c r="G30" s="209"/>
      <c r="H30" s="206"/>
      <c r="I30" s="209"/>
      <c r="J30" s="114"/>
      <c r="K30" s="114"/>
      <c r="L30" s="114"/>
      <c r="M30" s="114"/>
      <c r="N30" s="114"/>
      <c r="O30" s="114"/>
      <c r="P30" s="114"/>
      <c r="Q30" s="114"/>
      <c r="R30" s="114"/>
      <c r="S30" s="114"/>
      <c r="T30" s="114"/>
      <c r="U30" s="114"/>
      <c r="V30" s="114" t="s">
        <v>155</v>
      </c>
    </row>
    <row r="31" spans="1:39" s="115" customFormat="1" ht="21.9" customHeight="1">
      <c r="A31" s="114"/>
      <c r="B31" s="114"/>
      <c r="C31" s="208"/>
      <c r="D31" s="114"/>
      <c r="E31" s="114"/>
      <c r="F31" s="114"/>
      <c r="G31" s="209"/>
      <c r="H31" s="206"/>
      <c r="I31" s="209"/>
      <c r="J31" s="114"/>
      <c r="K31" s="114"/>
      <c r="L31" s="114"/>
      <c r="M31" s="114"/>
      <c r="N31" s="114"/>
      <c r="O31" s="114"/>
      <c r="P31" s="114"/>
      <c r="Q31" s="114"/>
      <c r="R31" s="114"/>
      <c r="S31" s="114"/>
      <c r="T31" s="114"/>
      <c r="U31" s="114"/>
      <c r="V31" s="114"/>
    </row>
    <row r="32" spans="1:39" s="115" customFormat="1" ht="21.9" customHeight="1">
      <c r="A32" s="114"/>
      <c r="B32" s="114"/>
      <c r="C32" s="208"/>
      <c r="D32" s="114"/>
      <c r="E32" s="114"/>
      <c r="F32" s="114"/>
      <c r="G32" s="209"/>
      <c r="H32" s="206"/>
      <c r="I32" s="209"/>
      <c r="J32" s="114"/>
      <c r="K32" s="114"/>
      <c r="L32" s="114"/>
      <c r="M32" s="114"/>
      <c r="N32" s="114"/>
      <c r="O32" s="114"/>
      <c r="P32" s="114"/>
      <c r="Q32" s="114"/>
      <c r="R32" s="114"/>
      <c r="S32" s="114"/>
      <c r="T32" s="114"/>
      <c r="U32" s="114"/>
      <c r="V32" s="114"/>
    </row>
    <row r="33" s="114" customFormat="1"/>
    <row r="34" s="114" customFormat="1"/>
    <row r="35" s="114" customFormat="1"/>
    <row r="36" s="114" customFormat="1"/>
    <row r="37" s="114" customFormat="1"/>
    <row r="38" s="114" customFormat="1"/>
    <row r="39" s="114" customFormat="1"/>
    <row r="40" s="114" customFormat="1"/>
    <row r="41" s="114" customFormat="1"/>
    <row r="42" s="114" customFormat="1"/>
    <row r="43" s="114" customFormat="1"/>
    <row r="44" s="114" customFormat="1"/>
    <row r="45" s="114" customFormat="1"/>
    <row r="46" s="114" customFormat="1"/>
    <row r="47" s="114" customFormat="1"/>
    <row r="48" s="114" customFormat="1"/>
    <row r="49" s="114" customFormat="1"/>
    <row r="50" s="114" customFormat="1"/>
    <row r="51" s="114" customFormat="1"/>
    <row r="52" s="114" customFormat="1"/>
    <row r="53" s="114" customFormat="1"/>
    <row r="54" s="114" customFormat="1"/>
    <row r="55" s="114" customFormat="1"/>
    <row r="56" s="114" customFormat="1"/>
    <row r="57" s="114" customFormat="1"/>
    <row r="58" s="114" customFormat="1"/>
    <row r="59" s="114" customFormat="1"/>
    <row r="60" s="114" customFormat="1"/>
    <row r="61" s="114" customFormat="1"/>
    <row r="62" s="114" customFormat="1"/>
    <row r="63" s="114" customFormat="1"/>
    <row r="64" s="114" customFormat="1"/>
    <row r="65" s="114" customFormat="1"/>
    <row r="66" s="114" customFormat="1"/>
    <row r="67" s="114" customFormat="1"/>
    <row r="68" s="114" customFormat="1"/>
    <row r="69" s="114" customFormat="1"/>
    <row r="70" s="114" customFormat="1"/>
    <row r="71" s="114" customFormat="1"/>
    <row r="72" s="114" customFormat="1"/>
    <row r="73" s="114" customFormat="1"/>
    <row r="74" s="114" customFormat="1"/>
    <row r="75" s="114" customFormat="1"/>
    <row r="76" s="114" customFormat="1"/>
    <row r="77" s="114" customFormat="1"/>
    <row r="78" s="114" customFormat="1"/>
    <row r="79" s="114" customFormat="1"/>
    <row r="80" s="114" customFormat="1"/>
    <row r="81" s="114" customFormat="1"/>
    <row r="82" s="114" customFormat="1"/>
    <row r="83" s="114" customFormat="1"/>
    <row r="84" s="114" customFormat="1"/>
    <row r="85" s="114" customFormat="1"/>
    <row r="86" s="114" customFormat="1"/>
    <row r="87" s="114" customFormat="1"/>
    <row r="88" s="114" customFormat="1"/>
    <row r="89" s="114" customFormat="1"/>
    <row r="90" s="114" customFormat="1"/>
    <row r="91" s="114" customFormat="1"/>
    <row r="92" s="114" customFormat="1"/>
    <row r="93" s="114" customFormat="1"/>
    <row r="94" s="114" customFormat="1"/>
    <row r="95" s="114" customFormat="1"/>
    <row r="96" s="114" customFormat="1"/>
    <row r="97" s="114" customFormat="1"/>
    <row r="98" s="114" customFormat="1"/>
    <row r="99" s="114" customFormat="1"/>
    <row r="100" s="114" customFormat="1"/>
    <row r="101" s="114" customFormat="1"/>
    <row r="102" s="114" customFormat="1"/>
    <row r="103" s="114" customFormat="1"/>
    <row r="104" s="114" customFormat="1"/>
    <row r="105" s="114" customFormat="1"/>
    <row r="106" s="114" customFormat="1"/>
    <row r="107" s="114" customFormat="1"/>
    <row r="108" s="114" customFormat="1"/>
    <row r="109" s="114" customFormat="1"/>
    <row r="110" s="114" customFormat="1"/>
    <row r="111" s="114" customFormat="1"/>
    <row r="112" s="114" customFormat="1"/>
    <row r="113" s="114" customFormat="1"/>
    <row r="114" s="114" customFormat="1"/>
    <row r="115" s="114" customFormat="1"/>
    <row r="116" s="114" customFormat="1"/>
    <row r="117" s="114" customFormat="1"/>
    <row r="118" s="114" customFormat="1"/>
    <row r="119" s="114" customFormat="1"/>
    <row r="120" s="114" customFormat="1"/>
    <row r="121" s="114" customFormat="1"/>
    <row r="122" s="114" customFormat="1"/>
    <row r="123" s="114" customFormat="1"/>
    <row r="124" s="114" customFormat="1"/>
    <row r="125" s="114" customFormat="1"/>
    <row r="126" s="114" customFormat="1"/>
    <row r="127" s="114" customFormat="1"/>
    <row r="128" s="114" customFormat="1"/>
    <row r="129" s="114" customFormat="1"/>
    <row r="130" s="114" customFormat="1"/>
    <row r="131" s="114" customFormat="1"/>
    <row r="132" s="114" customFormat="1"/>
    <row r="133" s="114" customFormat="1"/>
    <row r="134" s="114" customFormat="1"/>
    <row r="135" s="114" customFormat="1"/>
    <row r="136" s="114" customFormat="1"/>
    <row r="137" s="114" customFormat="1"/>
    <row r="138" s="114" customFormat="1"/>
    <row r="139" s="114" customFormat="1"/>
    <row r="140" s="114" customFormat="1"/>
    <row r="141" s="114" customFormat="1"/>
    <row r="142" s="114" customFormat="1"/>
    <row r="143" s="114" customFormat="1"/>
    <row r="144" s="114" customFormat="1"/>
    <row r="145" s="114" customFormat="1"/>
    <row r="146" s="114" customFormat="1"/>
    <row r="147" s="114" customFormat="1"/>
    <row r="148" s="114" customFormat="1"/>
    <row r="149" s="114" customFormat="1"/>
    <row r="150" s="114" customFormat="1"/>
    <row r="151" s="114" customFormat="1"/>
    <row r="152" s="114" customFormat="1"/>
    <row r="153" s="114" customFormat="1"/>
    <row r="154" s="114" customFormat="1"/>
    <row r="155" s="114" customFormat="1"/>
    <row r="156" s="114" customFormat="1"/>
    <row r="157" s="114" customFormat="1"/>
    <row r="158" s="114" customFormat="1"/>
    <row r="159" s="114" customFormat="1"/>
    <row r="160" s="114" customFormat="1"/>
    <row r="161" s="114" customFormat="1"/>
    <row r="162" s="114" customFormat="1"/>
    <row r="163" s="114" customFormat="1"/>
    <row r="164" s="114" customFormat="1"/>
    <row r="165" s="114" customFormat="1"/>
    <row r="166" s="114" customFormat="1"/>
    <row r="167" s="114" customFormat="1"/>
    <row r="168" s="114" customFormat="1"/>
    <row r="169" s="114" customFormat="1"/>
    <row r="170" s="114" customFormat="1"/>
    <row r="171" s="114" customFormat="1"/>
    <row r="172" s="114" customFormat="1"/>
    <row r="173" s="114" customFormat="1"/>
    <row r="174" s="114" customFormat="1"/>
    <row r="175" s="114" customFormat="1"/>
    <row r="176" s="114" customFormat="1"/>
    <row r="177" s="114" customFormat="1"/>
    <row r="178" s="114" customFormat="1"/>
    <row r="179" s="114" customFormat="1"/>
    <row r="180" s="114" customFormat="1"/>
    <row r="181" s="114" customFormat="1"/>
    <row r="182" s="114" customFormat="1"/>
    <row r="183" s="114" customFormat="1"/>
    <row r="184" s="114" customFormat="1"/>
    <row r="185" s="114" customFormat="1"/>
    <row r="186" s="114" customFormat="1"/>
    <row r="187" s="114" customFormat="1"/>
    <row r="188" s="114" customFormat="1"/>
    <row r="189" s="114" customFormat="1"/>
    <row r="190" s="114" customFormat="1"/>
    <row r="191" s="114" customFormat="1"/>
    <row r="192" s="114" customFormat="1"/>
    <row r="193" s="114" customFormat="1"/>
    <row r="194" s="114" customFormat="1"/>
    <row r="195" s="114" customFormat="1"/>
    <row r="196" s="114" customFormat="1"/>
    <row r="197" s="114" customFormat="1"/>
    <row r="198" s="114" customFormat="1"/>
    <row r="199" s="114" customFormat="1"/>
    <row r="200" s="114" customFormat="1"/>
    <row r="201" s="114" customFormat="1"/>
    <row r="202" s="114" customFormat="1"/>
    <row r="203" s="114" customFormat="1"/>
    <row r="204" s="114" customFormat="1"/>
    <row r="205" s="114" customFormat="1"/>
    <row r="206" s="114" customFormat="1"/>
    <row r="207" s="114" customFormat="1"/>
    <row r="208" s="114" customFormat="1"/>
    <row r="209" s="114" customFormat="1"/>
    <row r="210" s="114" customFormat="1"/>
    <row r="211" s="114" customFormat="1"/>
    <row r="212" s="114" customFormat="1"/>
    <row r="213" s="114" customFormat="1"/>
    <row r="214" s="114" customFormat="1"/>
    <row r="215" s="114" customFormat="1"/>
    <row r="216" s="114" customFormat="1"/>
    <row r="217" s="114" customFormat="1"/>
    <row r="218" s="114" customFormat="1"/>
    <row r="219" s="114" customFormat="1"/>
    <row r="220" s="114" customFormat="1"/>
    <row r="221" s="114" customFormat="1"/>
    <row r="222" s="114" customFormat="1"/>
    <row r="223" s="114" customFormat="1"/>
    <row r="224" s="114" customFormat="1"/>
    <row r="225" s="114" customFormat="1"/>
    <row r="226" s="114" customFormat="1"/>
    <row r="227" s="114" customFormat="1"/>
    <row r="228" s="114" customFormat="1"/>
    <row r="229" s="114" customFormat="1"/>
    <row r="230" s="114" customFormat="1"/>
    <row r="231" s="114" customFormat="1"/>
    <row r="232" s="114" customFormat="1"/>
    <row r="233" s="114" customFormat="1"/>
    <row r="234" s="114" customFormat="1"/>
    <row r="235" s="114" customFormat="1"/>
    <row r="236" s="114" customFormat="1"/>
    <row r="237" s="114" customFormat="1"/>
    <row r="238" s="114" customFormat="1"/>
    <row r="239" s="114" customFormat="1"/>
    <row r="240" s="114" customFormat="1"/>
    <row r="241" s="114" customFormat="1"/>
    <row r="242" s="114" customFormat="1"/>
    <row r="243" s="114" customFormat="1"/>
    <row r="244" s="114" customFormat="1"/>
    <row r="245" s="114" customFormat="1"/>
    <row r="246" s="114" customFormat="1"/>
    <row r="247" s="114" customFormat="1"/>
    <row r="248" s="114" customFormat="1"/>
    <row r="249" s="114" customFormat="1"/>
    <row r="250" s="114" customFormat="1"/>
    <row r="251" s="114" customFormat="1"/>
    <row r="252" s="114" customFormat="1"/>
    <row r="253" s="114" customFormat="1"/>
    <row r="254" s="114" customFormat="1"/>
    <row r="255" s="114" customFormat="1"/>
    <row r="256" s="114" customFormat="1"/>
    <row r="257" s="114" customFormat="1"/>
    <row r="258" s="114" customFormat="1"/>
    <row r="259" s="114" customFormat="1"/>
    <row r="260" s="114" customFormat="1"/>
    <row r="261" s="114" customFormat="1"/>
    <row r="262" s="114" customFormat="1"/>
    <row r="263" s="114" customFormat="1"/>
    <row r="264" s="114" customFormat="1"/>
    <row r="265" s="114" customFormat="1"/>
    <row r="266" s="114" customFormat="1"/>
    <row r="267" s="114" customFormat="1"/>
    <row r="268" s="114" customFormat="1"/>
    <row r="269" s="114" customFormat="1"/>
    <row r="270" s="114" customFormat="1"/>
    <row r="271" s="114" customFormat="1"/>
    <row r="272" s="114" customFormat="1"/>
    <row r="273" s="114" customFormat="1"/>
    <row r="274" s="114" customFormat="1"/>
    <row r="275" s="114" customFormat="1"/>
    <row r="276" s="114" customFormat="1"/>
    <row r="277" s="114" customFormat="1"/>
    <row r="278" s="114" customFormat="1"/>
    <row r="279" s="114" customFormat="1"/>
  </sheetData>
  <sheetProtection selectLockedCells="1"/>
  <mergeCells count="1">
    <mergeCell ref="C1:C2"/>
  </mergeCells>
  <conditionalFormatting sqref="G15 K15:K16 I15:I16 K22 I22 K29 I29">
    <cfRule type="expression" dxfId="187" priority="63">
      <formula>G15&gt;Z15</formula>
    </cfRule>
    <cfRule type="expression" dxfId="186" priority="64">
      <formula>G15&lt;Z15</formula>
    </cfRule>
  </conditionalFormatting>
  <conditionalFormatting sqref="M15">
    <cfRule type="expression" dxfId="185" priority="61">
      <formula>M15&gt;AF15</formula>
    </cfRule>
    <cfRule type="expression" dxfId="184" priority="62">
      <formula>M15&lt;AF15</formula>
    </cfRule>
  </conditionalFormatting>
  <conditionalFormatting sqref="G16">
    <cfRule type="expression" dxfId="183" priority="59">
      <formula>G16&gt;Z16</formula>
    </cfRule>
    <cfRule type="expression" dxfId="182" priority="60">
      <formula>G16&lt;Z16</formula>
    </cfRule>
  </conditionalFormatting>
  <conditionalFormatting sqref="M16">
    <cfRule type="expression" dxfId="181" priority="57">
      <formula>M16&gt;AF16</formula>
    </cfRule>
    <cfRule type="expression" dxfId="180" priority="58">
      <formula>M16&lt;AF16</formula>
    </cfRule>
  </conditionalFormatting>
  <conditionalFormatting sqref="G22">
    <cfRule type="expression" dxfId="179" priority="47">
      <formula>G22&gt;Z22</formula>
    </cfRule>
    <cfRule type="expression" dxfId="178" priority="48">
      <formula>G22&lt;Z22</formula>
    </cfRule>
  </conditionalFormatting>
  <conditionalFormatting sqref="M22">
    <cfRule type="expression" dxfId="177" priority="45">
      <formula>M22&gt;AF22</formula>
    </cfRule>
    <cfRule type="expression" dxfId="176" priority="46">
      <formula>M22&lt;AF22</formula>
    </cfRule>
  </conditionalFormatting>
  <conditionalFormatting sqref="G29">
    <cfRule type="expression" dxfId="175" priority="43">
      <formula>G29&gt;Z29</formula>
    </cfRule>
    <cfRule type="expression" dxfId="174" priority="44">
      <formula>G29&lt;Z29</formula>
    </cfRule>
  </conditionalFormatting>
  <conditionalFormatting sqref="M29">
    <cfRule type="expression" dxfId="173" priority="41">
      <formula>M29&gt;AF29</formula>
    </cfRule>
    <cfRule type="expression" dxfId="172" priority="42">
      <formula>M29&lt;AF29</formula>
    </cfRule>
  </conditionalFormatting>
  <conditionalFormatting sqref="K24 I24">
    <cfRule type="expression" dxfId="171" priority="31">
      <formula>I24&gt;AB24</formula>
    </cfRule>
    <cfRule type="expression" dxfId="170" priority="32">
      <formula>I24&lt;AB24</formula>
    </cfRule>
  </conditionalFormatting>
  <conditionalFormatting sqref="G24">
    <cfRule type="expression" dxfId="169" priority="25">
      <formula>G24&gt;Z24</formula>
    </cfRule>
    <cfRule type="expression" dxfId="168" priority="26">
      <formula>G24&lt;Z24</formula>
    </cfRule>
  </conditionalFormatting>
  <conditionalFormatting sqref="M24">
    <cfRule type="expression" dxfId="167" priority="23">
      <formula>M24&gt;AF24</formula>
    </cfRule>
    <cfRule type="expression" dxfId="166" priority="24">
      <formula>M24&lt;AF24</formula>
    </cfRule>
  </conditionalFormatting>
  <conditionalFormatting sqref="AA22:AG22 AA29:AG29 Z15:AH17 AK15:AK17 AK23:AK24 Z23:AH24 AK19 Z19:AH19 Z21:AH21 AK21 Z26:AH28 AK26:AK28">
    <cfRule type="expression" dxfId="165" priority="21">
      <formula>#REF!&lt;#REF!</formula>
    </cfRule>
    <cfRule type="expression" dxfId="164" priority="22">
      <formula>#REF!&gt;#REF!</formula>
    </cfRule>
  </conditionalFormatting>
  <conditionalFormatting sqref="AM15:AM17 AM23:AM24 AM19 AM21 AM26:AM28">
    <cfRule type="expression" dxfId="163" priority="19">
      <formula>#REF!&lt;#REF!</formula>
    </cfRule>
    <cfRule type="expression" dxfId="162" priority="20">
      <formula>#REF!&gt;#REF!</formula>
    </cfRule>
  </conditionalFormatting>
  <conditionalFormatting sqref="Z18:AH18 AK18">
    <cfRule type="expression" dxfId="161" priority="17">
      <formula>#REF!&lt;#REF!</formula>
    </cfRule>
    <cfRule type="expression" dxfId="160" priority="18">
      <formula>#REF!&gt;#REF!</formula>
    </cfRule>
  </conditionalFormatting>
  <conditionalFormatting sqref="AM18">
    <cfRule type="expression" dxfId="159" priority="15">
      <formula>#REF!&lt;#REF!</formula>
    </cfRule>
    <cfRule type="expression" dxfId="158" priority="16">
      <formula>#REF!&gt;#REF!</formula>
    </cfRule>
  </conditionalFormatting>
  <conditionalFormatting sqref="Z20:AH20 AK20">
    <cfRule type="expression" dxfId="157" priority="13">
      <formula>#REF!&lt;#REF!</formula>
    </cfRule>
    <cfRule type="expression" dxfId="156" priority="14">
      <formula>#REF!&gt;#REF!</formula>
    </cfRule>
  </conditionalFormatting>
  <conditionalFormatting sqref="AM20">
    <cfRule type="expression" dxfId="155" priority="11">
      <formula>#REF!&lt;#REF!</formula>
    </cfRule>
    <cfRule type="expression" dxfId="154" priority="12">
      <formula>#REF!&gt;#REF!</formula>
    </cfRule>
  </conditionalFormatting>
  <conditionalFormatting sqref="K25 I25">
    <cfRule type="expression" dxfId="153" priority="9">
      <formula>I25&gt;AB25</formula>
    </cfRule>
    <cfRule type="expression" dxfId="152" priority="10">
      <formula>I25&lt;AB25</formula>
    </cfRule>
  </conditionalFormatting>
  <conditionalFormatting sqref="G25">
    <cfRule type="expression" dxfId="151" priority="7">
      <formula>G25&gt;Z25</formula>
    </cfRule>
    <cfRule type="expression" dxfId="150" priority="8">
      <formula>G25&lt;Z25</formula>
    </cfRule>
  </conditionalFormatting>
  <conditionalFormatting sqref="M25">
    <cfRule type="expression" dxfId="149" priority="5">
      <formula>M25&gt;AF25</formula>
    </cfRule>
    <cfRule type="expression" dxfId="148" priority="6">
      <formula>M25&lt;AF25</formula>
    </cfRule>
  </conditionalFormatting>
  <conditionalFormatting sqref="AK25 Z25:AH25">
    <cfRule type="expression" dxfId="147" priority="3">
      <formula>#REF!&lt;#REF!</formula>
    </cfRule>
    <cfRule type="expression" dxfId="146" priority="4">
      <formula>#REF!&gt;#REF!</formula>
    </cfRule>
  </conditionalFormatting>
  <conditionalFormatting sqref="AM25">
    <cfRule type="expression" dxfId="145" priority="1">
      <formula>#REF!&lt;#REF!</formula>
    </cfRule>
    <cfRule type="expression" dxfId="144" priority="2">
      <formula>#REF!&gt;#REF!</formula>
    </cfRule>
  </conditionalFormatting>
  <dataValidations count="1">
    <dataValidation type="list" allowBlank="1" showInputMessage="1" showErrorMessage="1" sqref="E9">
      <formula1>"Choose,Q1,Q2,Q3,Q4,Delay"</formula1>
    </dataValidation>
  </dataValidation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AM79"/>
  <sheetViews>
    <sheetView topLeftCell="F6" workbookViewId="0">
      <selection activeCell="AC11" sqref="AC11"/>
    </sheetView>
  </sheetViews>
  <sheetFormatPr defaultColWidth="8.81640625" defaultRowHeight="16.2"/>
  <cols>
    <col min="1" max="2" width="1.7265625" style="112" customWidth="1"/>
    <col min="3" max="3" width="30.453125" style="112" customWidth="1"/>
    <col min="4" max="4" width="1.7265625" style="112" customWidth="1"/>
    <col min="5" max="5" width="11.90625" style="112" customWidth="1"/>
    <col min="6" max="6" width="1.7265625" style="112" customWidth="1"/>
    <col min="7" max="7" width="11.90625" style="112" customWidth="1"/>
    <col min="8" max="8" width="1.7265625" style="112" customWidth="1"/>
    <col min="9" max="9" width="11.90625" style="112" customWidth="1"/>
    <col min="10" max="10" width="1.7265625" style="112" customWidth="1"/>
    <col min="11" max="11" width="11.90625" style="112" customWidth="1"/>
    <col min="12" max="12" width="1.7265625" style="112" customWidth="1"/>
    <col min="13" max="13" width="11.90625" style="112" customWidth="1"/>
    <col min="14" max="14" width="1.7265625" style="112" customWidth="1"/>
    <col min="15" max="15" width="11.90625" style="112" customWidth="1"/>
    <col min="16" max="17" width="1.7265625" style="112" customWidth="1"/>
    <col min="18" max="18" width="11.90625" style="112" customWidth="1"/>
    <col min="19" max="19" width="8.81640625" style="112"/>
    <col min="20" max="20" width="11.81640625" style="112" customWidth="1"/>
    <col min="21" max="21" width="5.81640625" style="112" customWidth="1"/>
    <col min="22" max="22" width="8.90625" style="112" bestFit="1" customWidth="1"/>
    <col min="23" max="25" width="8.81640625" style="112"/>
    <col min="26" max="26" width="12.453125" style="112" bestFit="1" customWidth="1"/>
    <col min="27" max="27" width="8.81640625" style="112"/>
    <col min="28" max="28" width="12.453125" style="112" bestFit="1" customWidth="1"/>
    <col min="29" max="29" width="8.81640625" style="112"/>
    <col min="30" max="30" width="12.453125" style="112" bestFit="1" customWidth="1"/>
    <col min="31" max="31" width="8.81640625" style="112"/>
    <col min="32" max="32" width="12.453125" style="112" bestFit="1" customWidth="1"/>
    <col min="33" max="33" width="8.81640625" style="112"/>
    <col min="34" max="34" width="14.90625" style="112" bestFit="1" customWidth="1"/>
    <col min="35" max="35" width="8.81640625" style="112"/>
    <col min="36" max="37" width="13.7265625" style="112" bestFit="1" customWidth="1"/>
    <col min="38" max="16384" width="8.81640625" style="112"/>
  </cols>
  <sheetData>
    <row r="1" spans="1:30" s="111" customFormat="1" ht="6" customHeight="1">
      <c r="A1" s="645"/>
      <c r="B1" s="645"/>
      <c r="C1" s="722"/>
      <c r="D1" s="645"/>
      <c r="E1" s="645"/>
      <c r="F1" s="645"/>
      <c r="G1" s="645"/>
      <c r="H1" s="645"/>
      <c r="I1" s="645"/>
      <c r="J1" s="645"/>
      <c r="K1" s="645"/>
      <c r="L1" s="645"/>
      <c r="M1" s="645"/>
      <c r="N1" s="645"/>
      <c r="O1" s="645"/>
      <c r="P1" s="645"/>
      <c r="Q1" s="645"/>
      <c r="R1" s="645"/>
    </row>
    <row r="2" spans="1:30" s="111" customFormat="1" ht="25.95" customHeight="1">
      <c r="A2" s="645"/>
      <c r="B2" s="645"/>
      <c r="C2" s="722"/>
      <c r="D2" s="645"/>
      <c r="E2" s="646"/>
      <c r="F2" s="645"/>
      <c r="G2" s="744"/>
      <c r="H2" s="645"/>
      <c r="I2" s="746"/>
      <c r="J2" s="645"/>
      <c r="K2" s="673"/>
      <c r="L2" s="645"/>
      <c r="N2" s="645"/>
      <c r="O2" s="796" t="s">
        <v>1935</v>
      </c>
      <c r="P2" s="645"/>
      <c r="Q2" s="645"/>
      <c r="R2" s="645"/>
      <c r="V2" s="113" t="s">
        <v>3019</v>
      </c>
      <c r="W2" s="111" t="s">
        <v>152</v>
      </c>
    </row>
    <row r="3" spans="1:30" s="770" customFormat="1" ht="21" customHeight="1">
      <c r="A3" s="768"/>
      <c r="B3" s="768"/>
      <c r="C3" s="781" t="str">
        <f>DB_Dashboard1</f>
        <v>Financial Scorecard: Y5 Revenue0498050988.5917920CAGR00.3855958201441540Y1 Operating Margin0-0.19</v>
      </c>
      <c r="D3" s="768"/>
      <c r="E3" s="768"/>
      <c r="F3" s="768"/>
      <c r="G3" s="769"/>
      <c r="H3" s="768"/>
      <c r="I3" s="768"/>
      <c r="J3" s="768"/>
      <c r="K3" s="771"/>
      <c r="L3" s="768"/>
      <c r="M3" s="768"/>
    </row>
    <row r="4" spans="1:30" s="768" customFormat="1" ht="21" customHeight="1">
      <c r="C4" s="782" t="str">
        <f>DB_Dashboard2</f>
        <v>Non-Financial Scorecard: CSat0500Employee Engagement0500Trust050</v>
      </c>
    </row>
    <row r="5" spans="1:30" s="768" customFormat="1" ht="21" customHeight="1">
      <c r="C5" s="783" t="str">
        <f>DB_Dashboard1Y2</f>
        <v>Disruption &amp; Budget: Disruption00.50Y1 Budget Left0250000000Y2 Budget Left010000000</v>
      </c>
    </row>
    <row r="6" spans="1:30" s="192" customFormat="1" ht="24" customHeight="1">
      <c r="C6" s="192" t="s">
        <v>404</v>
      </c>
    </row>
    <row r="7" spans="1:30" s="114" customFormat="1" ht="8.4" customHeight="1"/>
    <row r="8" spans="1:30" s="189" customFormat="1" ht="21.9" customHeight="1">
      <c r="C8" s="615" t="s">
        <v>1956</v>
      </c>
      <c r="E8" s="219"/>
      <c r="F8" s="219"/>
      <c r="G8" s="219"/>
      <c r="H8" s="219"/>
      <c r="J8" s="618" t="s">
        <v>1957</v>
      </c>
      <c r="K8" s="219"/>
      <c r="V8" s="584"/>
    </row>
    <row r="9" spans="1:30" s="189" customFormat="1" ht="31.2" customHeight="1">
      <c r="E9" s="219"/>
      <c r="F9" s="219"/>
      <c r="G9" s="219"/>
      <c r="H9" s="219"/>
      <c r="I9" s="219"/>
      <c r="J9" s="219"/>
      <c r="K9" s="219"/>
      <c r="V9" s="584"/>
      <c r="Z9" s="699" t="b">
        <v>0</v>
      </c>
      <c r="AA9" s="189" t="s">
        <v>2170</v>
      </c>
      <c r="AC9" s="189">
        <v>0</v>
      </c>
      <c r="AD9" s="189" t="s">
        <v>3740</v>
      </c>
    </row>
    <row r="10" spans="1:30" s="189" customFormat="1" ht="31.2" customHeight="1">
      <c r="E10" s="219"/>
      <c r="F10" s="219"/>
      <c r="G10" s="219"/>
      <c r="H10" s="219"/>
      <c r="I10" s="219"/>
      <c r="J10" s="219"/>
      <c r="K10" s="219"/>
      <c r="V10" s="584"/>
      <c r="Z10" s="699">
        <v>1</v>
      </c>
      <c r="AA10" s="189" t="s">
        <v>3814</v>
      </c>
      <c r="AC10" s="189">
        <v>0</v>
      </c>
      <c r="AD10" s="189" t="s">
        <v>3739</v>
      </c>
    </row>
    <row r="11" spans="1:30" s="189" customFormat="1" ht="31.2" customHeight="1">
      <c r="E11" s="219"/>
      <c r="F11" s="219"/>
      <c r="G11" s="219"/>
      <c r="H11" s="219"/>
      <c r="I11" s="219"/>
      <c r="J11" s="219"/>
      <c r="K11" s="219"/>
      <c r="V11" s="584"/>
      <c r="Z11" s="189" t="b">
        <f>OR(tlInputBudgetValidationY1,tlInputBudgetValidationY2)</f>
        <v>0</v>
      </c>
      <c r="AA11" s="189" t="s">
        <v>3072</v>
      </c>
      <c r="AC11" s="189">
        <v>0</v>
      </c>
      <c r="AD11" s="189" t="s">
        <v>3741</v>
      </c>
    </row>
    <row r="12" spans="1:30" s="189" customFormat="1" ht="31.2" customHeight="1">
      <c r="E12" s="219"/>
      <c r="F12" s="219"/>
      <c r="G12" s="219"/>
      <c r="H12" s="219"/>
      <c r="I12" s="219"/>
      <c r="J12" s="219"/>
      <c r="K12" s="219"/>
      <c r="V12" s="584"/>
      <c r="Z12" s="189" t="b">
        <f>INDEX(calcIntegrationBudgetLeftY1,,xxIndexTeam)&lt;-500000</f>
        <v>0</v>
      </c>
      <c r="AA12" s="189" t="s">
        <v>3816</v>
      </c>
      <c r="AC12" s="189">
        <v>0</v>
      </c>
      <c r="AD12" s="189" t="s">
        <v>3742</v>
      </c>
    </row>
    <row r="13" spans="1:30" s="189" customFormat="1" ht="31.2" customHeight="1">
      <c r="E13" s="219"/>
      <c r="F13" s="219"/>
      <c r="G13" s="219"/>
      <c r="H13" s="219"/>
      <c r="I13" s="219"/>
      <c r="J13" s="219"/>
      <c r="K13" s="219"/>
      <c r="V13" s="584"/>
      <c r="Z13" s="189" t="b">
        <f>INDEX(calcIntegrationBudgetLeftY2,,xxIndexTeam)&lt;-500000</f>
        <v>0</v>
      </c>
      <c r="AA13" s="189" t="s">
        <v>3817</v>
      </c>
      <c r="AC13" s="189">
        <v>0</v>
      </c>
      <c r="AD13" s="189" t="s">
        <v>3743</v>
      </c>
    </row>
    <row r="14" spans="1:30" s="189" customFormat="1" ht="21.9" customHeight="1">
      <c r="V14" s="584"/>
      <c r="Y14" s="230"/>
      <c r="AC14" s="189">
        <v>0</v>
      </c>
      <c r="AD14" s="189" t="s">
        <v>3744</v>
      </c>
    </row>
    <row r="15" spans="1:30" s="189" customFormat="1" ht="9.9" customHeight="1">
      <c r="V15" s="584"/>
      <c r="Y15" s="230"/>
      <c r="AC15" s="189">
        <v>0</v>
      </c>
      <c r="AD15" s="189" t="s">
        <v>3745</v>
      </c>
    </row>
    <row r="16" spans="1:30" s="189" customFormat="1" ht="9.9" customHeight="1">
      <c r="V16" s="584"/>
      <c r="Y16" s="230"/>
      <c r="AC16" s="189">
        <v>0</v>
      </c>
      <c r="AD16" s="189" t="s">
        <v>3746</v>
      </c>
    </row>
    <row r="17" spans="1:39" s="189" customFormat="1" ht="9.9" customHeight="1">
      <c r="V17" s="584"/>
      <c r="Y17" s="230"/>
      <c r="AC17" s="189">
        <v>0</v>
      </c>
      <c r="AD17" s="189" t="s">
        <v>3747</v>
      </c>
    </row>
    <row r="18" spans="1:39" s="189" customFormat="1" ht="9.9" customHeight="1">
      <c r="V18" s="584"/>
      <c r="Y18" s="230"/>
      <c r="AC18" s="189">
        <v>0</v>
      </c>
      <c r="AD18" s="189" t="s">
        <v>3748</v>
      </c>
    </row>
    <row r="19" spans="1:39" s="189" customFormat="1" ht="9.9" customHeight="1">
      <c r="V19" s="584"/>
      <c r="Y19" s="230"/>
    </row>
    <row r="20" spans="1:39" s="189" customFormat="1" ht="9.9" customHeight="1">
      <c r="V20" s="584"/>
      <c r="Y20" s="230"/>
    </row>
    <row r="21" spans="1:39" s="489" customFormat="1" ht="21.9" customHeight="1" thickBot="1">
      <c r="A21" s="187"/>
      <c r="B21" s="187"/>
      <c r="C21" s="666" t="s">
        <v>462</v>
      </c>
      <c r="D21" s="195"/>
      <c r="E21" s="592" t="s">
        <v>405</v>
      </c>
      <c r="F21" s="195"/>
      <c r="G21" s="195" t="s">
        <v>899</v>
      </c>
      <c r="H21" s="195"/>
      <c r="I21" s="195" t="s">
        <v>900</v>
      </c>
      <c r="J21" s="195"/>
      <c r="K21" s="195" t="s">
        <v>901</v>
      </c>
      <c r="L21" s="195"/>
      <c r="M21" s="195" t="s">
        <v>902</v>
      </c>
      <c r="O21" s="592" t="s">
        <v>1278</v>
      </c>
      <c r="P21" s="195"/>
      <c r="Q21" s="187"/>
      <c r="R21" s="592" t="s">
        <v>1279</v>
      </c>
      <c r="S21" s="187"/>
      <c r="T21" s="592" t="s">
        <v>2413</v>
      </c>
      <c r="U21" s="592"/>
      <c r="V21" s="490"/>
      <c r="Z21" s="195" t="s">
        <v>899</v>
      </c>
      <c r="AA21" s="195"/>
      <c r="AB21" s="195" t="s">
        <v>900</v>
      </c>
      <c r="AC21" s="195"/>
      <c r="AD21" s="195" t="s">
        <v>901</v>
      </c>
      <c r="AE21" s="195"/>
      <c r="AF21" s="195" t="s">
        <v>902</v>
      </c>
      <c r="AH21" s="592" t="s">
        <v>1278</v>
      </c>
      <c r="AI21" s="195"/>
      <c r="AJ21" s="187"/>
      <c r="AK21" s="592" t="s">
        <v>1279</v>
      </c>
      <c r="AM21" s="592" t="s">
        <v>2413</v>
      </c>
    </row>
    <row r="22" spans="1:39" s="489" customFormat="1" ht="21.9" customHeight="1" thickTop="1" thickBot="1">
      <c r="A22" s="187"/>
      <c r="B22" s="187"/>
      <c r="C22" s="667" t="s">
        <v>1938</v>
      </c>
      <c r="D22" s="654"/>
      <c r="E22" s="655">
        <f>SUM(Data!$H$276:$K$276)</f>
        <v>51666666.666666672</v>
      </c>
      <c r="F22" s="656"/>
      <c r="G22" s="657">
        <f>INDEX(calcQ1RevenueY1Q1,,xxIndexTeam)*4</f>
        <v>9375000</v>
      </c>
      <c r="H22" s="657"/>
      <c r="I22" s="657">
        <f>INDEX(calcQ2RevenueY1Q2,,xxIndexTeam)*4</f>
        <v>11458333.333333332</v>
      </c>
      <c r="J22" s="657"/>
      <c r="K22" s="657">
        <f>INDEX(calcQ3RevenueY1Q3,,xxIndexTeam)*4</f>
        <v>17708333.333333336</v>
      </c>
      <c r="L22" s="657"/>
      <c r="M22" s="657">
        <f>INDEX(calcQ4RevenueY1Q4,,xxIndexTeam)*4</f>
        <v>26041666.666666664</v>
      </c>
      <c r="N22" s="657"/>
      <c r="O22" s="668">
        <f>SUM(G22:M22)</f>
        <v>64583333.333333336</v>
      </c>
      <c r="P22" s="654"/>
      <c r="Q22" s="654"/>
      <c r="R22" s="668">
        <f>INDEX(calcY2Q1RevenueY2Q1,,xxIndexTeam)*4+INDEX(calcY2Q2RevenueY2Q2,,xxIndexTeam)*4+INDEX(calcY2Q3RevenueY2Q3,,xxIndexTeam)*4+INDEX(calcY2Q4RevenueY2Q4,,xxIndexTeam)*4</f>
        <v>80729166.666666657</v>
      </c>
      <c r="S22" s="654"/>
      <c r="T22" s="669">
        <f>INDEX(calcY5Q1RevenueY5Q1,,xxIndexTeam)*4+INDEX(calcY5Q2RevenueY5Q2,,xxIndexTeam)*4+INDEX(calcY5Q3RevenueY5Q3,,xxIndexTeam)*4+INDEX(calcY5Q4RevenueY5Q4,,xxIndexTeam)*4</f>
        <v>100235351.5625</v>
      </c>
      <c r="U22" s="587"/>
      <c r="V22" s="490"/>
      <c r="Z22" s="587">
        <v>9375000</v>
      </c>
      <c r="AA22" s="587"/>
      <c r="AB22" s="587">
        <v>11458333.333333332</v>
      </c>
      <c r="AC22" s="587"/>
      <c r="AD22" s="587">
        <v>17708333.333333336</v>
      </c>
      <c r="AE22" s="587"/>
      <c r="AF22" s="587">
        <v>26041666.666666664</v>
      </c>
      <c r="AG22" s="587"/>
      <c r="AH22" s="608">
        <v>64583333.333333336</v>
      </c>
      <c r="AI22" s="195"/>
      <c r="AJ22" s="195"/>
      <c r="AK22" s="608">
        <v>80729166.666666657</v>
      </c>
      <c r="AM22" s="608">
        <v>100235351.5625</v>
      </c>
    </row>
    <row r="23" spans="1:39" s="489" customFormat="1" ht="21.9" customHeight="1" thickTop="1">
      <c r="A23" s="187"/>
      <c r="B23" s="187"/>
      <c r="C23" s="187" t="s">
        <v>140</v>
      </c>
      <c r="D23" s="187"/>
      <c r="E23" s="517">
        <f>INDEX(obalTargetRev,,xxIndexTeam)</f>
        <v>97519391.714228541</v>
      </c>
      <c r="F23" s="505"/>
      <c r="G23" s="724">
        <f>INDEX(finQ1Rev,,xxIndexTeam)</f>
        <v>30955843.466136772</v>
      </c>
      <c r="H23" s="724"/>
      <c r="I23" s="724">
        <f>INDEX(finQ2Rev,,xxIndexTeam)</f>
        <v>33831624.25685782</v>
      </c>
      <c r="J23" s="724"/>
      <c r="K23" s="724">
        <f>INDEX(finQ3Rev,,xxIndexTeam)</f>
        <v>38275308.995502166</v>
      </c>
      <c r="L23" s="724"/>
      <c r="M23" s="724">
        <f>INDEX(finQ4Rev,,xxIndexTeam)</f>
        <v>44809163.697226644</v>
      </c>
      <c r="N23" s="491"/>
      <c r="O23" s="518">
        <f>INDEX(FinAnnualRev,,xxIndexTeam)</f>
        <v>147871940.41572341</v>
      </c>
      <c r="P23" s="187"/>
      <c r="Q23" s="187"/>
      <c r="R23" s="518">
        <f>INDEX(FinY2AnnualRev,,xxIndexTeam)</f>
        <v>221091472.98381251</v>
      </c>
      <c r="S23" s="187"/>
      <c r="T23" s="518">
        <f>INDEX(FinY5AnnualRev,,xxIndexTeam)</f>
        <v>498050988.59179169</v>
      </c>
      <c r="U23" s="491"/>
      <c r="V23" s="490" t="b">
        <v>0</v>
      </c>
      <c r="Z23" s="516">
        <v>30955843.466136772</v>
      </c>
      <c r="AA23" s="516"/>
      <c r="AB23" s="516">
        <v>33831624.25685782</v>
      </c>
      <c r="AC23" s="516"/>
      <c r="AD23" s="516">
        <v>38275308.995502166</v>
      </c>
      <c r="AE23" s="516"/>
      <c r="AF23" s="516">
        <v>44809163.697226644</v>
      </c>
      <c r="AG23" s="491"/>
      <c r="AH23" s="518">
        <v>147871940.41572341</v>
      </c>
      <c r="AI23" s="187"/>
      <c r="AJ23" s="187"/>
      <c r="AK23" s="518">
        <v>221091472.98381251</v>
      </c>
      <c r="AM23" s="518">
        <v>498050988.59179169</v>
      </c>
    </row>
    <row r="24" spans="1:39" s="489" customFormat="1" ht="5.4" customHeight="1">
      <c r="A24" s="187"/>
      <c r="B24" s="187"/>
      <c r="C24" s="187"/>
      <c r="D24" s="187"/>
      <c r="E24" s="519"/>
      <c r="F24" s="505"/>
      <c r="G24" s="587"/>
      <c r="H24" s="587"/>
      <c r="I24" s="587"/>
      <c r="J24" s="587"/>
      <c r="K24" s="587"/>
      <c r="L24" s="587"/>
      <c r="M24" s="587"/>
      <c r="N24" s="491"/>
      <c r="O24" s="606"/>
      <c r="P24" s="187"/>
      <c r="Q24" s="187"/>
      <c r="R24" s="606"/>
      <c r="S24" s="187"/>
      <c r="T24" s="606"/>
      <c r="U24" s="491"/>
      <c r="V24" s="490" t="b">
        <v>0</v>
      </c>
      <c r="Z24" s="491"/>
      <c r="AA24" s="491"/>
      <c r="AB24" s="491"/>
      <c r="AC24" s="491"/>
      <c r="AD24" s="491"/>
      <c r="AE24" s="491"/>
      <c r="AF24" s="491"/>
      <c r="AG24" s="491"/>
      <c r="AH24" s="606"/>
      <c r="AI24" s="187"/>
      <c r="AJ24" s="187"/>
      <c r="AK24" s="606"/>
      <c r="AM24" s="606"/>
    </row>
    <row r="25" spans="1:39" s="492" customFormat="1" ht="21.9" customHeight="1">
      <c r="A25" s="463"/>
      <c r="B25" s="463"/>
      <c r="C25" s="187" t="s">
        <v>237</v>
      </c>
      <c r="D25" s="463"/>
      <c r="E25" s="521">
        <f>tlOutputTimelineQ1Revenue-tlOutputTimelineQ1COGs</f>
        <v>24764674.772909418</v>
      </c>
      <c r="F25" s="506"/>
      <c r="G25" s="516">
        <f>tlOutputTimelineQ1Revenue-tlOutputTimelineQ1COGs</f>
        <v>24764674.772909418</v>
      </c>
      <c r="H25" s="516"/>
      <c r="I25" s="516">
        <f>tlOutputTimelineQ2Revenue-tlOutputTimelineQ2COGs</f>
        <v>27065299.405486256</v>
      </c>
      <c r="J25" s="516"/>
      <c r="K25" s="516">
        <f>tlOutputTimelineQ3Revenue-tlOutputTimelineQ3COGs</f>
        <v>30620247.196401734</v>
      </c>
      <c r="L25" s="516"/>
      <c r="M25" s="516">
        <f>tlOutputTimelineQ4Revenue-tlOutputTimelineQ4COGs</f>
        <v>35847330.957781315</v>
      </c>
      <c r="N25" s="491"/>
      <c r="O25" s="518">
        <f>tlOutputTimelineY1Revenue-tlOutputTimelineY1COGs</f>
        <v>118297552.33257873</v>
      </c>
      <c r="P25" s="187"/>
      <c r="Q25" s="187"/>
      <c r="R25" s="518">
        <f>tlOutputTimelineY2Revenue-tlOutputTimelineY2COGs</f>
        <v>176873178.38705003</v>
      </c>
      <c r="S25" s="187"/>
      <c r="T25" s="518">
        <f>tlOutputTimelineY5Revenue-tlOutputTimelineY5COGs</f>
        <v>398440790.87343335</v>
      </c>
      <c r="U25" s="491"/>
      <c r="V25" s="490" t="b">
        <v>0</v>
      </c>
      <c r="Z25" s="516">
        <v>24764674.772909418</v>
      </c>
      <c r="AA25" s="516"/>
      <c r="AB25" s="516">
        <v>27065299.405486256</v>
      </c>
      <c r="AC25" s="516"/>
      <c r="AD25" s="516">
        <v>30620247.196401734</v>
      </c>
      <c r="AE25" s="516"/>
      <c r="AF25" s="516">
        <v>35847330.957781315</v>
      </c>
      <c r="AG25" s="491"/>
      <c r="AH25" s="518">
        <v>118297552.33257873</v>
      </c>
      <c r="AI25" s="187"/>
      <c r="AJ25" s="187"/>
      <c r="AK25" s="518">
        <v>176873178.38705003</v>
      </c>
      <c r="AM25" s="518">
        <v>398440790.87343335</v>
      </c>
    </row>
    <row r="26" spans="1:39" s="496" customFormat="1" ht="18.600000000000001" customHeight="1">
      <c r="A26" s="493"/>
      <c r="B26" s="493"/>
      <c r="C26" s="494" t="s">
        <v>239</v>
      </c>
      <c r="D26" s="493"/>
      <c r="E26" s="520">
        <f>E25/E23</f>
        <v>0.25394615714462188</v>
      </c>
      <c r="F26" s="507"/>
      <c r="G26" s="495">
        <f>G25/G23</f>
        <v>0.8</v>
      </c>
      <c r="H26" s="495"/>
      <c r="I26" s="495">
        <f>I25/I23</f>
        <v>0.8</v>
      </c>
      <c r="J26" s="495"/>
      <c r="K26" s="495">
        <f>K25/K23</f>
        <v>0.8</v>
      </c>
      <c r="L26" s="495"/>
      <c r="M26" s="495">
        <f>M25/M23</f>
        <v>0.8</v>
      </c>
      <c r="N26" s="495"/>
      <c r="O26" s="607">
        <f>O25/O23</f>
        <v>0.8</v>
      </c>
      <c r="P26" s="493"/>
      <c r="Q26" s="493"/>
      <c r="R26" s="607">
        <f>R25/R23</f>
        <v>0.80000000000000016</v>
      </c>
      <c r="S26" s="493"/>
      <c r="T26" s="607">
        <f>T25/T23</f>
        <v>0.8</v>
      </c>
      <c r="U26" s="495"/>
      <c r="V26" s="490" t="b">
        <v>0</v>
      </c>
      <c r="Z26" s="495">
        <v>0.8</v>
      </c>
      <c r="AA26" s="495"/>
      <c r="AB26" s="495">
        <v>0.8</v>
      </c>
      <c r="AC26" s="495"/>
      <c r="AD26" s="495">
        <v>0.8</v>
      </c>
      <c r="AE26" s="495"/>
      <c r="AF26" s="495">
        <v>0.8</v>
      </c>
      <c r="AG26" s="495"/>
      <c r="AH26" s="607">
        <v>0.8</v>
      </c>
      <c r="AI26" s="493"/>
      <c r="AJ26" s="493"/>
      <c r="AK26" s="607">
        <v>0.80000000000000016</v>
      </c>
      <c r="AM26" s="607">
        <v>0.8</v>
      </c>
    </row>
    <row r="27" spans="1:39" s="489" customFormat="1" ht="21.9" customHeight="1">
      <c r="A27" s="187"/>
      <c r="B27" s="187"/>
      <c r="C27" s="605" t="s">
        <v>425</v>
      </c>
      <c r="D27" s="195"/>
      <c r="E27" s="589">
        <f>tlOutputTimelineQ1MSExp+tlOutputTimelineQ1RDExp+tlOutputTimelineQ1GAExp</f>
        <v>30646285.031475402</v>
      </c>
      <c r="F27" s="586"/>
      <c r="G27" s="590">
        <f>tlOutputTimelineQ1MSExp+tlOutputTimelineQ1RDExp+tlOutputTimelineQ1GAExp</f>
        <v>30646285.031475402</v>
      </c>
      <c r="H27" s="590"/>
      <c r="I27" s="590">
        <f>tlOutputTimelineQ2MSExp+tlOutputTimelineQ2RDExp+tlOutputTimelineQ2GAExp</f>
        <v>33493308.014289245</v>
      </c>
      <c r="J27" s="590"/>
      <c r="K27" s="590">
        <f>tlOutputTimelineQ3MSExp+tlOutputTimelineQ3RDExp+tlOutputTimelineQ3GAExp</f>
        <v>37892555.905547149</v>
      </c>
      <c r="L27" s="590"/>
      <c r="M27" s="590">
        <f>tlOutputTimelineQ4MSExp+tlOutputTimelineQ4RDExp+tlOutputTimelineQ4GAExp</f>
        <v>44361072.06025438</v>
      </c>
      <c r="N27" s="587"/>
      <c r="O27" s="604">
        <f>tlOutputTimelineY1MSExp+tlOutputTimelineY1RDExp+tlOutputTimelineY1GAExp</f>
        <v>146393221.01156616</v>
      </c>
      <c r="P27" s="195"/>
      <c r="Q27" s="195"/>
      <c r="R27" s="604">
        <f>tlOutputTimelineY2MSExp+tlOutputTimelineY2RDExp+tlOutputTimelineY2GAExp</f>
        <v>215246846.85739619</v>
      </c>
      <c r="S27" s="195"/>
      <c r="T27" s="604">
        <f>tlOutputTimelineY5MSExp+tlOutputTimelineY5RDExp+tlOutputTimelineY5GAExp</f>
        <v>376681982.00044328</v>
      </c>
      <c r="U27" s="587"/>
      <c r="V27" s="497" t="b">
        <v>0</v>
      </c>
      <c r="Z27" s="590">
        <v>30646285.031475402</v>
      </c>
      <c r="AA27" s="590"/>
      <c r="AB27" s="590">
        <v>33493308.014289245</v>
      </c>
      <c r="AC27" s="590"/>
      <c r="AD27" s="590">
        <v>37892555.905547149</v>
      </c>
      <c r="AE27" s="590"/>
      <c r="AF27" s="590">
        <v>44361072.06025438</v>
      </c>
      <c r="AG27" s="587"/>
      <c r="AH27" s="604">
        <v>146393221.01156616</v>
      </c>
      <c r="AI27" s="195"/>
      <c r="AJ27" s="195"/>
      <c r="AK27" s="604">
        <v>215246846.85739619</v>
      </c>
      <c r="AM27" s="604">
        <v>457652600.97722107</v>
      </c>
    </row>
    <row r="28" spans="1:39" s="492" customFormat="1" ht="21.9" customHeight="1">
      <c r="A28" s="463"/>
      <c r="B28" s="463"/>
      <c r="C28" s="603" t="s">
        <v>426</v>
      </c>
      <c r="D28" s="592"/>
      <c r="E28" s="585">
        <f>INDEX(obalTargetStandaloneOpProf,,xxIndexTeam)</f>
        <v>-18528684.425703421</v>
      </c>
      <c r="F28" s="593"/>
      <c r="G28" s="587">
        <f>G25-G27</f>
        <v>-5881610.2585659847</v>
      </c>
      <c r="H28" s="587"/>
      <c r="I28" s="587">
        <f>I25-I27</f>
        <v>-6428008.6088029891</v>
      </c>
      <c r="J28" s="587"/>
      <c r="K28" s="587">
        <f>K25-K27</f>
        <v>-7272308.7091454156</v>
      </c>
      <c r="L28" s="587"/>
      <c r="M28" s="587">
        <f>M25-M27</f>
        <v>-8513741.1024730653</v>
      </c>
      <c r="N28" s="587"/>
      <c r="O28" s="608">
        <f>O25-O27</f>
        <v>-28095668.678987429</v>
      </c>
      <c r="P28" s="195"/>
      <c r="Q28" s="195"/>
      <c r="R28" s="608">
        <f>R25-R27</f>
        <v>-38373668.470346153</v>
      </c>
      <c r="S28" s="195"/>
      <c r="T28" s="608">
        <f>T25-T27</f>
        <v>21758808.872990072</v>
      </c>
      <c r="U28" s="587"/>
      <c r="V28" s="490" t="b">
        <v>0</v>
      </c>
      <c r="Z28" s="587">
        <v>-5881610.2585659847</v>
      </c>
      <c r="AA28" s="587"/>
      <c r="AB28" s="587">
        <v>-6428008.6088029891</v>
      </c>
      <c r="AC28" s="587"/>
      <c r="AD28" s="587">
        <v>-7272308.7091454156</v>
      </c>
      <c r="AE28" s="587"/>
      <c r="AF28" s="587">
        <v>-8513741.1024730653</v>
      </c>
      <c r="AG28" s="587"/>
      <c r="AH28" s="608">
        <v>-28095668.678987429</v>
      </c>
      <c r="AI28" s="195"/>
      <c r="AJ28" s="195"/>
      <c r="AK28" s="608">
        <v>-38373668.470346153</v>
      </c>
      <c r="AM28" s="608">
        <v>-59211810.10378772</v>
      </c>
    </row>
    <row r="29" spans="1:39" s="496" customFormat="1" ht="21.9" customHeight="1">
      <c r="A29" s="493"/>
      <c r="B29" s="493"/>
      <c r="C29" s="594" t="s">
        <v>965</v>
      </c>
      <c r="D29" s="597"/>
      <c r="E29" s="598">
        <f>E28/E23</f>
        <v>-0.18999999999999997</v>
      </c>
      <c r="F29" s="595"/>
      <c r="G29" s="726">
        <f>G28/G23</f>
        <v>-0.18999999999999995</v>
      </c>
      <c r="H29" s="726"/>
      <c r="I29" s="726">
        <f>I28/I23</f>
        <v>-0.19000000000000009</v>
      </c>
      <c r="J29" s="726"/>
      <c r="K29" s="726">
        <f>K28/K23</f>
        <v>-0.19000000000000011</v>
      </c>
      <c r="L29" s="726"/>
      <c r="M29" s="726">
        <f>M28/M23</f>
        <v>-0.19000000000000006</v>
      </c>
      <c r="N29" s="596"/>
      <c r="O29" s="600">
        <f>O28/O23</f>
        <v>-0.18999999999999986</v>
      </c>
      <c r="P29" s="597"/>
      <c r="Q29" s="597"/>
      <c r="R29" s="600">
        <f>R28/R23</f>
        <v>-0.17356466964764275</v>
      </c>
      <c r="S29" s="597"/>
      <c r="T29" s="600">
        <f>T28/T23</f>
        <v>4.3687914232459928E-2</v>
      </c>
      <c r="U29" s="651"/>
      <c r="V29" s="490" t="b">
        <v>0</v>
      </c>
      <c r="Z29" s="599">
        <v>-0.18999999999999995</v>
      </c>
      <c r="AA29" s="599"/>
      <c r="AB29" s="599">
        <v>-0.19000000000000009</v>
      </c>
      <c r="AC29" s="599"/>
      <c r="AD29" s="599">
        <v>-0.19000000000000011</v>
      </c>
      <c r="AE29" s="599"/>
      <c r="AF29" s="599">
        <v>-0.19000000000000006</v>
      </c>
      <c r="AG29" s="596"/>
      <c r="AH29" s="600">
        <v>-0.18999999999999986</v>
      </c>
      <c r="AI29" s="597"/>
      <c r="AJ29" s="597"/>
      <c r="AK29" s="600">
        <v>-0.17356466964764275</v>
      </c>
      <c r="AM29" s="600">
        <v>-0.11888704462008086</v>
      </c>
    </row>
    <row r="30" spans="1:39" s="489" customFormat="1" ht="21.9" customHeight="1">
      <c r="A30" s="187"/>
      <c r="B30" s="187"/>
      <c r="C30" s="647" t="s">
        <v>466</v>
      </c>
      <c r="D30" s="195"/>
      <c r="E30" s="585"/>
      <c r="F30" s="586"/>
      <c r="G30" s="587"/>
      <c r="H30" s="587"/>
      <c r="I30" s="587"/>
      <c r="J30" s="587"/>
      <c r="K30" s="587"/>
      <c r="L30" s="587"/>
      <c r="M30" s="587"/>
      <c r="N30" s="587"/>
      <c r="O30" s="588"/>
      <c r="P30" s="195"/>
      <c r="Q30" s="195"/>
      <c r="R30" s="588"/>
      <c r="S30" s="195"/>
      <c r="T30" s="588"/>
      <c r="U30" s="764"/>
      <c r="V30" s="490" t="b">
        <v>0</v>
      </c>
      <c r="Z30" s="587"/>
      <c r="AA30" s="587"/>
      <c r="AB30" s="587"/>
      <c r="AC30" s="587"/>
      <c r="AD30" s="587"/>
      <c r="AE30" s="587"/>
      <c r="AF30" s="587"/>
      <c r="AG30" s="587"/>
      <c r="AH30" s="588"/>
      <c r="AI30" s="195"/>
      <c r="AJ30" s="195"/>
      <c r="AK30" s="588"/>
      <c r="AM30" s="588"/>
    </row>
    <row r="31" spans="1:39" s="489" customFormat="1" ht="21.9" customHeight="1" thickBot="1">
      <c r="A31" s="187"/>
      <c r="B31" s="187"/>
      <c r="C31" s="648" t="s">
        <v>1253</v>
      </c>
      <c r="D31" s="195"/>
      <c r="E31" s="805">
        <v>0</v>
      </c>
      <c r="F31" s="586"/>
      <c r="G31" s="725">
        <f>INDEX(finQ1HarmExp,,xxIndexTeam)</f>
        <v>0</v>
      </c>
      <c r="H31" s="725"/>
      <c r="I31" s="725">
        <f>INDEX(finQ2HarmExp,,xxIndexTeam)</f>
        <v>0</v>
      </c>
      <c r="J31" s="725"/>
      <c r="K31" s="725">
        <f>INDEX(finQ3HarmExp,,xxIndexTeam)</f>
        <v>0</v>
      </c>
      <c r="L31" s="725"/>
      <c r="M31" s="725">
        <f>INDEX(finQ4HarmExp,,xxIndexTeam)</f>
        <v>0</v>
      </c>
      <c r="N31" s="587"/>
      <c r="O31" s="588">
        <f>INDEX(finAnnualHarmExp,,xxIndexTeam)</f>
        <v>0</v>
      </c>
      <c r="P31" s="195"/>
      <c r="Q31" s="195"/>
      <c r="R31" s="588">
        <f>INDEX(finY2AnnualHarmExp,,xxIndexTeam)</f>
        <v>0</v>
      </c>
      <c r="S31" s="195"/>
      <c r="T31" s="804"/>
      <c r="U31" s="764"/>
      <c r="V31" s="490" t="b">
        <v>0</v>
      </c>
      <c r="Z31" s="587">
        <v>0</v>
      </c>
      <c r="AA31" s="587"/>
      <c r="AB31" s="587">
        <v>0</v>
      </c>
      <c r="AC31" s="587"/>
      <c r="AD31" s="587">
        <v>0</v>
      </c>
      <c r="AE31" s="587"/>
      <c r="AF31" s="587">
        <v>0</v>
      </c>
      <c r="AG31" s="587"/>
      <c r="AH31" s="588">
        <v>0</v>
      </c>
      <c r="AI31" s="195"/>
      <c r="AJ31" s="195"/>
      <c r="AK31" s="588">
        <v>0</v>
      </c>
      <c r="AM31" s="588"/>
    </row>
    <row r="32" spans="1:39" s="489" customFormat="1" ht="21.9" customHeight="1" thickTop="1" thickBot="1">
      <c r="A32" s="187"/>
      <c r="B32" s="187"/>
      <c r="C32" s="653" t="s">
        <v>466</v>
      </c>
      <c r="D32" s="654"/>
      <c r="E32" s="806">
        <v>0</v>
      </c>
      <c r="F32" s="656"/>
      <c r="G32" s="657">
        <f>INDEX(finQ1IntegrationBudget,,xxIndexTeam)</f>
        <v>0</v>
      </c>
      <c r="H32" s="657"/>
      <c r="I32" s="657">
        <f>INDEX(finQ2IntegrationBudget,,xxIndexTeam)</f>
        <v>0</v>
      </c>
      <c r="J32" s="657"/>
      <c r="K32" s="657">
        <f>INDEX(finQ3IntegrationBudget,,xxIndexTeam)</f>
        <v>0</v>
      </c>
      <c r="L32" s="657"/>
      <c r="M32" s="657">
        <f>INDEX(finQ4IntegrationBudget,,xxIndexTeam)</f>
        <v>0</v>
      </c>
      <c r="N32" s="657"/>
      <c r="O32" s="658">
        <f>INDEX(finY1IntegrationBudget,,xxIndexTeam)</f>
        <v>0</v>
      </c>
      <c r="P32" s="654"/>
      <c r="Q32" s="654"/>
      <c r="R32" s="659">
        <f>INDEX(finY2IntegrationBudget,,xxIndexTeam)</f>
        <v>0</v>
      </c>
      <c r="S32" s="195"/>
      <c r="T32" s="804"/>
      <c r="U32" s="764"/>
      <c r="V32" s="490" t="b">
        <v>0</v>
      </c>
      <c r="Z32" s="590">
        <v>0</v>
      </c>
      <c r="AA32" s="590"/>
      <c r="AB32" s="590">
        <v>0</v>
      </c>
      <c r="AC32" s="590"/>
      <c r="AD32" s="590">
        <v>0</v>
      </c>
      <c r="AE32" s="590"/>
      <c r="AF32" s="590">
        <v>0</v>
      </c>
      <c r="AG32" s="587"/>
      <c r="AH32" s="591">
        <v>0</v>
      </c>
      <c r="AI32" s="195"/>
      <c r="AJ32" s="195"/>
      <c r="AK32" s="591">
        <v>0</v>
      </c>
      <c r="AM32" s="591"/>
    </row>
    <row r="33" spans="1:39" s="492" customFormat="1" ht="21.9" customHeight="1" thickTop="1">
      <c r="A33" s="463"/>
      <c r="B33" s="463"/>
      <c r="C33" s="649" t="s">
        <v>469</v>
      </c>
      <c r="D33" s="592"/>
      <c r="E33" s="807">
        <f>SUM(E31:E32)</f>
        <v>0</v>
      </c>
      <c r="F33" s="593"/>
      <c r="G33" s="587">
        <f>SUM(G31:G32)</f>
        <v>0</v>
      </c>
      <c r="H33" s="587"/>
      <c r="I33" s="587">
        <f>SUM(I31:I32)</f>
        <v>0</v>
      </c>
      <c r="J33" s="587"/>
      <c r="K33" s="587">
        <f>SUM(K31:K32)</f>
        <v>0</v>
      </c>
      <c r="L33" s="587"/>
      <c r="M33" s="587">
        <f>SUM(M31:M32)</f>
        <v>0</v>
      </c>
      <c r="N33" s="587"/>
      <c r="O33" s="588">
        <f>SUM(O31:O32)</f>
        <v>0</v>
      </c>
      <c r="P33" s="195"/>
      <c r="Q33" s="195"/>
      <c r="R33" s="588">
        <f>SUM(R31:R32)</f>
        <v>0</v>
      </c>
      <c r="S33" s="195"/>
      <c r="T33" s="804"/>
      <c r="U33" s="764"/>
      <c r="V33" s="490" t="b">
        <v>0</v>
      </c>
      <c r="Z33" s="587">
        <v>0</v>
      </c>
      <c r="AA33" s="587"/>
      <c r="AB33" s="587">
        <v>0</v>
      </c>
      <c r="AC33" s="587"/>
      <c r="AD33" s="587">
        <v>0</v>
      </c>
      <c r="AE33" s="587"/>
      <c r="AF33" s="587">
        <v>0</v>
      </c>
      <c r="AG33" s="587"/>
      <c r="AH33" s="588">
        <v>0</v>
      </c>
      <c r="AI33" s="195"/>
      <c r="AJ33" s="195"/>
      <c r="AK33" s="588">
        <v>0</v>
      </c>
      <c r="AM33" s="588"/>
    </row>
    <row r="34" spans="1:39" s="489" customFormat="1" ht="5.4" customHeight="1">
      <c r="A34" s="187"/>
      <c r="B34" s="187"/>
      <c r="C34" s="648"/>
      <c r="D34" s="195"/>
      <c r="E34" s="585"/>
      <c r="F34" s="586"/>
      <c r="G34" s="587"/>
      <c r="H34" s="587"/>
      <c r="I34" s="587"/>
      <c r="J34" s="587"/>
      <c r="K34" s="587"/>
      <c r="L34" s="587"/>
      <c r="M34" s="587"/>
      <c r="N34" s="587"/>
      <c r="O34" s="588"/>
      <c r="P34" s="195"/>
      <c r="Q34" s="195"/>
      <c r="R34" s="588"/>
      <c r="S34" s="195"/>
      <c r="T34" s="588"/>
      <c r="U34" s="764"/>
      <c r="V34" s="490" t="b">
        <v>0</v>
      </c>
      <c r="Z34" s="587"/>
      <c r="AA34" s="587"/>
      <c r="AB34" s="587"/>
      <c r="AC34" s="587"/>
      <c r="AD34" s="587"/>
      <c r="AE34" s="587"/>
      <c r="AF34" s="587"/>
      <c r="AG34" s="587"/>
      <c r="AH34" s="588"/>
      <c r="AI34" s="195"/>
      <c r="AJ34" s="195"/>
      <c r="AK34" s="588"/>
      <c r="AM34" s="588"/>
    </row>
    <row r="35" spans="1:39" s="492" customFormat="1" ht="21.9" customHeight="1">
      <c r="A35" s="463"/>
      <c r="B35" s="463"/>
      <c r="C35" s="649" t="s">
        <v>1148</v>
      </c>
      <c r="D35" s="592"/>
      <c r="E35" s="589">
        <f>E28-E33</f>
        <v>-18528684.425703421</v>
      </c>
      <c r="F35" s="586"/>
      <c r="G35" s="587">
        <f>G28-G33</f>
        <v>-5881610.2585659847</v>
      </c>
      <c r="H35" s="587"/>
      <c r="I35" s="587">
        <f>I28-I33</f>
        <v>-6428008.6088029891</v>
      </c>
      <c r="J35" s="587"/>
      <c r="K35" s="587">
        <f>K28-K33</f>
        <v>-7272308.7091454156</v>
      </c>
      <c r="L35" s="587"/>
      <c r="M35" s="587">
        <f>M28-M33</f>
        <v>-8513741.1024730653</v>
      </c>
      <c r="N35" s="587"/>
      <c r="O35" s="591">
        <f>O28-O33</f>
        <v>-28095668.678987429</v>
      </c>
      <c r="P35" s="195"/>
      <c r="Q35" s="195"/>
      <c r="R35" s="591">
        <f>R28-R33</f>
        <v>-38373668.470346153</v>
      </c>
      <c r="S35" s="195"/>
      <c r="T35" s="591">
        <f>T28-T33</f>
        <v>21758808.872990072</v>
      </c>
      <c r="U35" s="764"/>
      <c r="V35" s="490" t="b">
        <v>0</v>
      </c>
      <c r="Z35" s="590">
        <v>-5881610.2585659847</v>
      </c>
      <c r="AA35" s="590"/>
      <c r="AB35" s="590">
        <v>-6428008.6088029891</v>
      </c>
      <c r="AC35" s="590"/>
      <c r="AD35" s="590">
        <v>-7272308.7091454156</v>
      </c>
      <c r="AE35" s="590"/>
      <c r="AF35" s="590">
        <v>-8513741.1024730653</v>
      </c>
      <c r="AG35" s="587"/>
      <c r="AH35" s="591">
        <v>-28095668.678987429</v>
      </c>
      <c r="AI35" s="195"/>
      <c r="AJ35" s="195"/>
      <c r="AK35" s="591">
        <v>-38373668.470346153</v>
      </c>
      <c r="AM35" s="591">
        <v>-59211810.10378772</v>
      </c>
    </row>
    <row r="36" spans="1:39" s="489" customFormat="1" ht="21.9" customHeight="1">
      <c r="A36" s="187"/>
      <c r="B36" s="187"/>
      <c r="C36" s="594" t="s">
        <v>1936</v>
      </c>
      <c r="D36" s="195"/>
      <c r="E36" s="650">
        <f>E35/E23</f>
        <v>-0.18999999999999997</v>
      </c>
      <c r="F36" s="595"/>
      <c r="G36" s="726">
        <f>G35/G23</f>
        <v>-0.18999999999999995</v>
      </c>
      <c r="H36" s="726"/>
      <c r="I36" s="726">
        <f>I35/I23</f>
        <v>-0.19000000000000009</v>
      </c>
      <c r="J36" s="726"/>
      <c r="K36" s="726">
        <f>K35/K23</f>
        <v>-0.19000000000000011</v>
      </c>
      <c r="L36" s="726"/>
      <c r="M36" s="726">
        <f>M35/M23</f>
        <v>-0.19000000000000006</v>
      </c>
      <c r="N36" s="596"/>
      <c r="O36" s="652">
        <f>O35/O23</f>
        <v>-0.18999999999999986</v>
      </c>
      <c r="P36" s="195"/>
      <c r="Q36" s="195"/>
      <c r="R36" s="652">
        <f>R35/R23</f>
        <v>-0.17356466964764275</v>
      </c>
      <c r="S36" s="195"/>
      <c r="T36" s="652">
        <f>T35/T23</f>
        <v>4.3687914232459928E-2</v>
      </c>
      <c r="U36" s="651"/>
      <c r="V36" s="490" t="b">
        <v>0</v>
      </c>
      <c r="Z36" s="651">
        <v>-0.18999999999999995</v>
      </c>
      <c r="AA36" s="651"/>
      <c r="AB36" s="651">
        <v>-0.19000000000000009</v>
      </c>
      <c r="AC36" s="651"/>
      <c r="AD36" s="651">
        <v>-0.19000000000000011</v>
      </c>
      <c r="AE36" s="651"/>
      <c r="AF36" s="651">
        <v>-0.19000000000000006</v>
      </c>
      <c r="AG36" s="596"/>
      <c r="AH36" s="652">
        <v>-0.18999999999999986</v>
      </c>
      <c r="AI36" s="195"/>
      <c r="AJ36" s="195"/>
      <c r="AK36" s="652">
        <v>-0.17356466964764275</v>
      </c>
      <c r="AM36" s="652">
        <v>-0.11888704462008086</v>
      </c>
    </row>
    <row r="37" spans="1:39" s="189" customFormat="1" ht="9.9" customHeight="1">
      <c r="V37" s="584"/>
      <c r="Y37" s="230"/>
    </row>
    <row r="38" spans="1:39" s="189" customFormat="1" ht="9.9" customHeight="1">
      <c r="V38" s="584"/>
      <c r="Y38" s="230"/>
    </row>
    <row r="39" spans="1:39" s="189" customFormat="1" ht="9.9" customHeight="1">
      <c r="V39" s="584"/>
      <c r="Y39" s="230"/>
    </row>
    <row r="40" spans="1:39" s="189" customFormat="1" ht="9.9" customHeight="1" thickBot="1">
      <c r="V40" s="584"/>
      <c r="Y40" s="230"/>
    </row>
    <row r="41" spans="1:39" s="189" customFormat="1" ht="21.9" customHeight="1" thickTop="1" thickBot="1">
      <c r="C41" s="450"/>
      <c r="E41" s="460"/>
      <c r="G41" s="616"/>
      <c r="H41" s="194"/>
      <c r="I41" s="194"/>
      <c r="J41" s="194"/>
      <c r="K41" s="616"/>
      <c r="R41" s="601"/>
      <c r="V41" s="584"/>
      <c r="Z41" s="440">
        <v>1</v>
      </c>
    </row>
    <row r="42" spans="1:39" s="114" customFormat="1" ht="10.95" customHeight="1" thickTop="1">
      <c r="C42" s="189"/>
      <c r="D42" s="189"/>
      <c r="E42" s="189"/>
      <c r="F42" s="189"/>
      <c r="G42" s="189"/>
      <c r="H42" s="189"/>
      <c r="I42" s="189"/>
      <c r="J42" s="189"/>
      <c r="K42" s="189"/>
      <c r="L42" s="189"/>
      <c r="M42" s="189"/>
      <c r="N42" s="189"/>
      <c r="O42" s="189"/>
      <c r="R42" s="189"/>
      <c r="V42" s="452"/>
    </row>
    <row r="43" spans="1:39" s="115" customFormat="1" ht="21.9" customHeight="1">
      <c r="A43" s="114"/>
      <c r="B43" s="114"/>
      <c r="C43" s="208"/>
      <c r="D43" s="114"/>
      <c r="E43" s="114"/>
      <c r="F43" s="114"/>
      <c r="G43" s="209"/>
      <c r="H43" s="206"/>
      <c r="I43" s="209"/>
      <c r="J43" s="114"/>
      <c r="K43" s="114"/>
      <c r="L43" s="114"/>
      <c r="M43" s="114"/>
      <c r="N43" s="114"/>
      <c r="O43" s="114"/>
      <c r="P43" s="114"/>
      <c r="Q43" s="114"/>
      <c r="R43" s="114"/>
      <c r="S43" s="114"/>
      <c r="T43" s="114"/>
      <c r="U43" s="114"/>
      <c r="V43" s="114" t="s">
        <v>155</v>
      </c>
    </row>
    <row r="44" spans="1:39" s="115" customFormat="1" ht="21.9" customHeight="1">
      <c r="A44" s="114"/>
      <c r="B44" s="114"/>
      <c r="C44" s="208"/>
      <c r="D44" s="114"/>
      <c r="E44" s="114"/>
      <c r="F44" s="114"/>
      <c r="G44" s="209"/>
      <c r="H44" s="206"/>
      <c r="I44" s="209"/>
      <c r="J44" s="114"/>
      <c r="K44" s="114"/>
      <c r="L44" s="114"/>
      <c r="M44" s="114"/>
      <c r="N44" s="114"/>
      <c r="O44" s="114"/>
      <c r="P44" s="114"/>
      <c r="Q44" s="114"/>
      <c r="R44" s="114"/>
      <c r="S44" s="114"/>
      <c r="T44" s="114"/>
      <c r="U44" s="114"/>
      <c r="V44" s="114"/>
    </row>
    <row r="45" spans="1:39" s="115" customFormat="1" ht="21.9" customHeight="1">
      <c r="A45" s="114"/>
      <c r="B45" s="114"/>
      <c r="C45" s="208"/>
      <c r="D45" s="114"/>
      <c r="E45" s="114"/>
      <c r="F45" s="114"/>
      <c r="G45" s="209"/>
      <c r="H45" s="206"/>
      <c r="I45" s="209"/>
      <c r="J45" s="114"/>
      <c r="K45" s="114"/>
      <c r="L45" s="114"/>
      <c r="M45" s="114"/>
      <c r="N45" s="114"/>
      <c r="O45" s="114"/>
      <c r="P45" s="114"/>
      <c r="Q45" s="114"/>
      <c r="R45" s="114"/>
      <c r="S45" s="114"/>
      <c r="T45" s="114"/>
      <c r="U45" s="114"/>
      <c r="V45" s="114"/>
    </row>
    <row r="46" spans="1:39" s="492" customFormat="1" ht="21.9" customHeight="1">
      <c r="A46" s="463"/>
      <c r="B46" s="463"/>
      <c r="C46" s="187" t="s">
        <v>3699</v>
      </c>
      <c r="D46" s="463"/>
      <c r="E46" s="521">
        <f>INDEX(obalTargetCOR,,xxIndexTeam)</f>
        <v>19503878.342845708</v>
      </c>
      <c r="F46" s="506" t="s">
        <v>3706</v>
      </c>
      <c r="G46" s="516">
        <f>INDEX(finQ1COS,,xxIndexTeam)</f>
        <v>6191168.6932273544</v>
      </c>
      <c r="H46" s="506" t="s">
        <v>3706</v>
      </c>
      <c r="I46" s="516">
        <f>INDEX(finQ2COS,,xxIndexTeam)</f>
        <v>6766324.851371564</v>
      </c>
      <c r="J46" s="506" t="s">
        <v>3705</v>
      </c>
      <c r="K46" s="516">
        <f>INDEX(finQ3COS,,xxIndexTeam)</f>
        <v>7655061.7991004335</v>
      </c>
      <c r="L46" s="506" t="s">
        <v>3704</v>
      </c>
      <c r="M46" s="516">
        <f>INDEX(finQ4COS,,xxIndexTeam)</f>
        <v>8961832.7394453287</v>
      </c>
      <c r="N46" s="506" t="s">
        <v>3703</v>
      </c>
      <c r="O46" s="518">
        <f>INDEX(finAnnualCOS,,xxIndexTeam)</f>
        <v>29574388.08314468</v>
      </c>
      <c r="P46" s="506" t="s">
        <v>3702</v>
      </c>
      <c r="Q46" s="187"/>
      <c r="R46" s="518">
        <f>INDEX(finY2AnnualCOS,,xxIndexTeam)</f>
        <v>44218294.596762493</v>
      </c>
      <c r="S46" s="506" t="s">
        <v>3701</v>
      </c>
      <c r="T46" s="518">
        <f>INDEX(finY5AnnualCOS,,xxIndexTeam)</f>
        <v>99610197.718358353</v>
      </c>
      <c r="U46" s="506" t="s">
        <v>3700</v>
      </c>
      <c r="V46" s="490" t="b">
        <v>0</v>
      </c>
      <c r="Z46" s="516">
        <f>INDEX(obalQ1Rev-obalQ1COS,,xxIndexTeam)</f>
        <v>24764674.772909418</v>
      </c>
      <c r="AA46" s="516"/>
      <c r="AB46" s="516">
        <f>INDEX(obalQ2Rev-obalQ2COS,,xxIndexTeam)</f>
        <v>27065299.405486256</v>
      </c>
      <c r="AC46" s="516"/>
      <c r="AD46" s="516">
        <f>INDEX(obalQ3Rev-obalQ3COS,,xxIndexTeam)</f>
        <v>30620247.196401734</v>
      </c>
      <c r="AE46" s="516"/>
      <c r="AF46" s="516">
        <f>INDEX(obalQ4Rev-obalQ4COS,,xxIndexTeam)</f>
        <v>35847330.957781315</v>
      </c>
      <c r="AG46" s="491"/>
      <c r="AH46" s="518">
        <f>INDEX(obalAnnualRev,,xxIndexTeam)-INDEX(obalAnnualCOS,,xxIndexTeam)</f>
        <v>118297552.33257873</v>
      </c>
      <c r="AI46" s="187"/>
      <c r="AJ46" s="187"/>
      <c r="AK46" s="518">
        <f>INDEX(obalY2AnnualRev,,xxIndexTeam)-INDEX(obalY2AnnualCOS,,xxIndexTeam)</f>
        <v>176873178.38705003</v>
      </c>
      <c r="AM46" s="518">
        <f>INDEX(obalY5AnnualRev,,xxIndexTeam)-INDEX(obalY5AnnualCOS,,xxIndexTeam)</f>
        <v>398440790.87343335</v>
      </c>
    </row>
    <row r="47" spans="1:39" s="492" customFormat="1" ht="21.9" customHeight="1">
      <c r="A47" s="463"/>
      <c r="B47" s="463"/>
      <c r="C47" s="187" t="s">
        <v>237</v>
      </c>
      <c r="D47" s="463"/>
      <c r="E47" s="521">
        <f>INDEX(obalTargetRev,,xxIndexTeam)-INDEX(obalTargetCOR,,xxIndexTeam)</f>
        <v>78015513.371382833</v>
      </c>
      <c r="F47" s="506"/>
      <c r="G47" s="516">
        <f>INDEX(finQ1Rev,,xxIndexTeam)-INDEX(finQ1COS,,xxIndexTeam)</f>
        <v>24764674.772909418</v>
      </c>
      <c r="H47" s="516"/>
      <c r="I47" s="516">
        <f>INDEX(finQ2Rev,,xxIndexTeam)-INDEX(finQ2COS,,xxIndexTeam)</f>
        <v>27065299.405486256</v>
      </c>
      <c r="J47" s="516"/>
      <c r="K47" s="516">
        <f>INDEX(finQ3Rev,,xxIndexTeam)-INDEX(finQ3COS,,xxIndexTeam)</f>
        <v>30620247.196401734</v>
      </c>
      <c r="L47" s="516"/>
      <c r="M47" s="516">
        <f>INDEX(finQ4Rev,,xxIndexTeam)-INDEX(finQ4COS,,xxIndexTeam)</f>
        <v>35847330.957781315</v>
      </c>
      <c r="N47" s="491"/>
      <c r="O47" s="518">
        <f>INDEX(FinAnnualRev,,xxIndexTeam)-INDEX(finAnnualCOS,,xxIndexTeam)</f>
        <v>118297552.33257873</v>
      </c>
      <c r="P47" s="187"/>
      <c r="Q47" s="187"/>
      <c r="R47" s="518">
        <f>INDEX(FinY2AnnualRev,,xxIndexTeam)-INDEX(finY2AnnualCOS,,xxIndexTeam)</f>
        <v>176873178.38705003</v>
      </c>
      <c r="S47" s="187"/>
      <c r="T47" s="518">
        <f>INDEX(FinY5AnnualRev,,xxIndexTeam)-INDEX(finY5AnnualCOS,,xxIndexTeam)</f>
        <v>398440790.87343335</v>
      </c>
      <c r="U47" s="491"/>
      <c r="V47" s="490" t="b">
        <v>0</v>
      </c>
      <c r="Z47" s="516">
        <f>INDEX(obalQ1Rev-obalQ1COS,,xxIndexTeam)</f>
        <v>24764674.772909418</v>
      </c>
      <c r="AA47" s="516"/>
      <c r="AB47" s="516">
        <f>INDEX(obalQ2Rev-obalQ2COS,,xxIndexTeam)</f>
        <v>27065299.405486256</v>
      </c>
      <c r="AC47" s="516"/>
      <c r="AD47" s="516">
        <f>INDEX(obalQ3Rev-obalQ3COS,,xxIndexTeam)</f>
        <v>30620247.196401734</v>
      </c>
      <c r="AE47" s="516"/>
      <c r="AF47" s="516">
        <f>INDEX(obalQ4Rev-obalQ4COS,,xxIndexTeam)</f>
        <v>35847330.957781315</v>
      </c>
      <c r="AG47" s="491"/>
      <c r="AH47" s="518">
        <f>INDEX(obalAnnualRev,,xxIndexTeam)-INDEX(obalAnnualCOS,,xxIndexTeam)</f>
        <v>118297552.33257873</v>
      </c>
      <c r="AI47" s="187"/>
      <c r="AJ47" s="187"/>
      <c r="AK47" s="518">
        <f>INDEX(obalY2AnnualRev,,xxIndexTeam)-INDEX(obalY2AnnualCOS,,xxIndexTeam)</f>
        <v>176873178.38705003</v>
      </c>
      <c r="AM47" s="518">
        <f>INDEX(obalY5AnnualRev,,xxIndexTeam)-INDEX(obalY5AnnualCOS,,xxIndexTeam)</f>
        <v>398440790.87343335</v>
      </c>
    </row>
    <row r="48" spans="1:39" s="115" customFormat="1" ht="21.9" customHeight="1">
      <c r="A48" s="114"/>
      <c r="B48" s="114"/>
      <c r="C48" s="208"/>
      <c r="D48" s="114"/>
      <c r="E48" s="114"/>
      <c r="F48" s="114"/>
      <c r="G48" s="209"/>
      <c r="H48" s="206"/>
      <c r="I48" s="209"/>
      <c r="J48" s="114"/>
      <c r="K48" s="114"/>
      <c r="L48" s="114"/>
      <c r="M48" s="114"/>
      <c r="N48" s="114"/>
      <c r="O48" s="114"/>
      <c r="P48" s="114"/>
      <c r="Q48" s="114"/>
      <c r="R48" s="114"/>
      <c r="S48" s="114"/>
      <c r="T48" s="114"/>
      <c r="U48" s="114"/>
      <c r="V48" s="114"/>
    </row>
    <row r="49" spans="1:39" s="489" customFormat="1" ht="21.9" customHeight="1">
      <c r="A49" s="187"/>
      <c r="B49" s="187"/>
      <c r="C49" s="605" t="s">
        <v>3696</v>
      </c>
      <c r="D49" s="195"/>
      <c r="E49" s="589">
        <f>INDEX(obalTargetMS,,xxIndexTeam)</f>
        <v>43396129.3128317</v>
      </c>
      <c r="F49" s="590" t="s">
        <v>3707</v>
      </c>
      <c r="G49" s="590">
        <f>INDEX(finQ1MSExp,,xxIndexTeam)</f>
        <v>13775350.342430864</v>
      </c>
      <c r="H49" s="590" t="s">
        <v>3707</v>
      </c>
      <c r="I49" s="590">
        <f>INDEX(finQ2MSExp,,xxIndexTeam)</f>
        <v>15055072.79430173</v>
      </c>
      <c r="J49" s="590" t="s">
        <v>3710</v>
      </c>
      <c r="K49" s="590">
        <f>INDEX(finQ3MSExp,,xxIndexTeam)</f>
        <v>17032512.502998464</v>
      </c>
      <c r="L49" s="590" t="s">
        <v>3713</v>
      </c>
      <c r="M49" s="590">
        <f>INDEX(finQ4MSExp,,xxIndexTeam)</f>
        <v>19940077.845265858</v>
      </c>
      <c r="N49" s="590" t="s">
        <v>3716</v>
      </c>
      <c r="O49" s="604">
        <f>INDEX(finAnnualMSExp,,xxIndexTeam)</f>
        <v>65803013.484996915</v>
      </c>
      <c r="P49" s="195" t="s">
        <v>3719</v>
      </c>
      <c r="Q49" s="195"/>
      <c r="R49" s="604">
        <f>INDEX(finY2AnnualMSExp,,xxIndexTeam)</f>
        <v>96752370.557112426</v>
      </c>
      <c r="S49" s="195" t="s">
        <v>3722</v>
      </c>
      <c r="T49" s="604">
        <f>INDEX(finY5AnnualMSExp,,xxIndexTeam)</f>
        <v>169316648.47494674</v>
      </c>
      <c r="U49" s="587" t="s">
        <v>3725</v>
      </c>
      <c r="V49" s="497" t="b">
        <v>0</v>
      </c>
      <c r="Z49" s="590">
        <f>INDEX(obalQ1MSExp+obalQ1RDExp+obalQ1GAExp,,xxIndexTeam)</f>
        <v>30646285.031475402</v>
      </c>
      <c r="AA49" s="590"/>
      <c r="AB49" s="590">
        <f>INDEX(obalQ2MSExp+obalQ2RDExp+obalQ2GAExp,,xxIndexTeam)</f>
        <v>33493308.014289245</v>
      </c>
      <c r="AC49" s="590"/>
      <c r="AD49" s="590">
        <f>INDEX(obalQ3MSExp+obalQ3RDExp+obalQ3GAExp,,xxIndexTeam)</f>
        <v>37892555.905547149</v>
      </c>
      <c r="AE49" s="590"/>
      <c r="AF49" s="590">
        <f>INDEX(obalQ4MSExp+obalQ4RDExp+obalQ4GAExp,,xxIndexTeam)</f>
        <v>44361072.06025438</v>
      </c>
      <c r="AG49" s="587"/>
      <c r="AH49" s="604">
        <f>INDEX(obalAnnualMSExp+obalAnnualRDExp+obalAnnualGAExp,,xxIndexTeam)</f>
        <v>146393221.01156616</v>
      </c>
      <c r="AI49" s="195"/>
      <c r="AJ49" s="195"/>
      <c r="AK49" s="604">
        <f>INDEX(obalY2AnnualMSExp+obalY2AnnualRDExp+obalY2AnnualGAExp,,xxIndexTeam)</f>
        <v>218880558.25397432</v>
      </c>
      <c r="AM49" s="604">
        <f>INDEX(obalY5AnnualMSExp+obalY5AnnualRDExp+obalY5AnnualGAExp,,xxIndexTeam)</f>
        <v>493070478.70587379</v>
      </c>
    </row>
    <row r="50" spans="1:39" s="489" customFormat="1" ht="21.9" customHeight="1">
      <c r="A50" s="187"/>
      <c r="B50" s="187"/>
      <c r="C50" s="605" t="s">
        <v>3697</v>
      </c>
      <c r="D50" s="195"/>
      <c r="E50" s="589">
        <f>INDEX(obalTargetRD,,xxIndexTeam)</f>
        <v>32473957.440838106</v>
      </c>
      <c r="F50" s="590" t="s">
        <v>3708</v>
      </c>
      <c r="G50" s="590">
        <f>INDEX(finQ1RDExp,,xxIndexTeam)</f>
        <v>10308295.874223545</v>
      </c>
      <c r="H50" s="590" t="s">
        <v>3708</v>
      </c>
      <c r="I50" s="590">
        <f>INDEX(finQ2RDExp,,xxIndexTeam)</f>
        <v>11265930.877533654</v>
      </c>
      <c r="J50" s="590" t="s">
        <v>3711</v>
      </c>
      <c r="K50" s="590">
        <f>INDEX(finQ3RDExp,,xxIndexTeam)</f>
        <v>12745677.895502223</v>
      </c>
      <c r="L50" s="590" t="s">
        <v>3714</v>
      </c>
      <c r="M50" s="590">
        <f>INDEX(finQ4RDExp,,xxIndexTeam)</f>
        <v>14921451.511176473</v>
      </c>
      <c r="N50" s="590" t="s">
        <v>3717</v>
      </c>
      <c r="O50" s="604">
        <f>INDEX(finAnnualRDExp,,xxIndexTeam)</f>
        <v>49241356.158435896</v>
      </c>
      <c r="P50" s="195" t="s">
        <v>3720</v>
      </c>
      <c r="Q50" s="195"/>
      <c r="R50" s="604">
        <f>INDEX(finY2AnnualRDExp,,xxIndexTeam)</f>
        <v>72401212.124760538</v>
      </c>
      <c r="S50" s="195" t="s">
        <v>3723</v>
      </c>
      <c r="T50" s="604">
        <f>INDEX(finY5AnnualRDExp,,xxIndexTeam)</f>
        <v>126702121.21833093</v>
      </c>
      <c r="U50" s="587" t="s">
        <v>3726</v>
      </c>
      <c r="V50" s="497" t="b">
        <v>0</v>
      </c>
      <c r="Z50" s="590">
        <f>INDEX(obalQ1MSExp+obalQ1RDExp+obalQ1GAExp,,xxIndexTeam)</f>
        <v>30646285.031475402</v>
      </c>
      <c r="AA50" s="590"/>
      <c r="AB50" s="590">
        <f>INDEX(obalQ2MSExp+obalQ2RDExp+obalQ2GAExp,,xxIndexTeam)</f>
        <v>33493308.014289245</v>
      </c>
      <c r="AC50" s="590"/>
      <c r="AD50" s="590">
        <f>INDEX(obalQ3MSExp+obalQ3RDExp+obalQ3GAExp,,xxIndexTeam)</f>
        <v>37892555.905547149</v>
      </c>
      <c r="AE50" s="590"/>
      <c r="AF50" s="590">
        <f>INDEX(obalQ4MSExp+obalQ4RDExp+obalQ4GAExp,,xxIndexTeam)</f>
        <v>44361072.06025438</v>
      </c>
      <c r="AG50" s="587"/>
      <c r="AH50" s="604">
        <f>INDEX(obalAnnualMSExp+obalAnnualRDExp+obalAnnualGAExp,,xxIndexTeam)</f>
        <v>146393221.01156616</v>
      </c>
      <c r="AI50" s="195"/>
      <c r="AJ50" s="195"/>
      <c r="AK50" s="604">
        <f>INDEX(obalY2AnnualMSExp+obalY2AnnualRDExp+obalY2AnnualGAExp,,xxIndexTeam)</f>
        <v>218880558.25397432</v>
      </c>
      <c r="AM50" s="604">
        <f>INDEX(obalY5AnnualMSExp+obalY5AnnualRDExp+obalY5AnnualGAExp,,xxIndexTeam)</f>
        <v>493070478.70587379</v>
      </c>
    </row>
    <row r="51" spans="1:39" s="489" customFormat="1" ht="21.9" customHeight="1">
      <c r="A51" s="187"/>
      <c r="B51" s="187"/>
      <c r="C51" s="605" t="s">
        <v>3698</v>
      </c>
      <c r="D51" s="195"/>
      <c r="E51" s="589">
        <f>INDEX(obalTargetGA,,xxIndexTeam)</f>
        <v>20674111.043416452</v>
      </c>
      <c r="F51" s="590" t="s">
        <v>3709</v>
      </c>
      <c r="G51" s="590">
        <f>INDEX(finQ1GAExp,,xxIndexTeam)</f>
        <v>6562638.8148209956</v>
      </c>
      <c r="H51" s="590" t="s">
        <v>3709</v>
      </c>
      <c r="I51" s="590">
        <f>INDEX(finQ2GAExp,,xxIndexTeam)</f>
        <v>7172304.3424538579</v>
      </c>
      <c r="J51" s="590" t="s">
        <v>3712</v>
      </c>
      <c r="K51" s="590">
        <f>INDEX(finQ3GAExp,,xxIndexTeam)</f>
        <v>8114365.5070464592</v>
      </c>
      <c r="L51" s="590" t="s">
        <v>3715</v>
      </c>
      <c r="M51" s="590">
        <f>INDEX(finQ4GAExp,,xxIndexTeam)</f>
        <v>9499542.7038120478</v>
      </c>
      <c r="N51" s="590" t="s">
        <v>3718</v>
      </c>
      <c r="O51" s="604">
        <f>INDEX(finAnnualGAExp,,xxIndexTeam)</f>
        <v>31348851.368133359</v>
      </c>
      <c r="P51" s="195" t="s">
        <v>3721</v>
      </c>
      <c r="Q51" s="195"/>
      <c r="R51" s="604">
        <f>INDEX(finY2AnnualGAExp,,xxIndexTeam)</f>
        <v>46093264.175523221</v>
      </c>
      <c r="S51" s="195" t="s">
        <v>3724</v>
      </c>
      <c r="T51" s="604">
        <f>INDEX(finY5AnnualGAExp,,xxIndexTeam)</f>
        <v>80663212.307165638</v>
      </c>
      <c r="U51" s="587" t="s">
        <v>3727</v>
      </c>
      <c r="V51" s="497" t="b">
        <v>0</v>
      </c>
      <c r="Z51" s="590">
        <f>INDEX(obalQ1MSExp+obalQ1RDExp+obalQ1GAExp,,xxIndexTeam)</f>
        <v>30646285.031475402</v>
      </c>
      <c r="AA51" s="590"/>
      <c r="AB51" s="590">
        <f>INDEX(obalQ2MSExp+obalQ2RDExp+obalQ2GAExp,,xxIndexTeam)</f>
        <v>33493308.014289245</v>
      </c>
      <c r="AC51" s="590"/>
      <c r="AD51" s="590">
        <f>INDEX(obalQ3MSExp+obalQ3RDExp+obalQ3GAExp,,xxIndexTeam)</f>
        <v>37892555.905547149</v>
      </c>
      <c r="AE51" s="590"/>
      <c r="AF51" s="590">
        <f>INDEX(obalQ4MSExp+obalQ4RDExp+obalQ4GAExp,,xxIndexTeam)</f>
        <v>44361072.06025438</v>
      </c>
      <c r="AG51" s="587"/>
      <c r="AH51" s="604">
        <f>INDEX(obalAnnualMSExp+obalAnnualRDExp+obalAnnualGAExp,,xxIndexTeam)</f>
        <v>146393221.01156616</v>
      </c>
      <c r="AI51" s="195"/>
      <c r="AJ51" s="195"/>
      <c r="AK51" s="604">
        <f>INDEX(obalY2AnnualMSExp+obalY2AnnualRDExp+obalY2AnnualGAExp,,xxIndexTeam)</f>
        <v>218880558.25397432</v>
      </c>
      <c r="AM51" s="604">
        <f>INDEX(obalY5AnnualMSExp+obalY5AnnualRDExp+obalY5AnnualGAExp,,xxIndexTeam)</f>
        <v>493070478.70587379</v>
      </c>
    </row>
    <row r="52" spans="1:39" s="115" customFormat="1" ht="21.9" customHeight="1" thickBot="1">
      <c r="A52" s="114"/>
      <c r="B52" s="114"/>
      <c r="C52" s="208"/>
      <c r="D52" s="114"/>
      <c r="E52" s="114"/>
      <c r="F52" s="114"/>
      <c r="G52" s="209"/>
      <c r="H52" s="206"/>
      <c r="I52" s="209"/>
      <c r="J52" s="114"/>
      <c r="K52" s="114"/>
      <c r="L52" s="114"/>
      <c r="M52" s="114"/>
      <c r="N52" s="114"/>
      <c r="O52" s="114"/>
      <c r="P52" s="114"/>
      <c r="Q52" s="114"/>
      <c r="R52" s="114"/>
      <c r="S52" s="114"/>
      <c r="T52" s="114"/>
      <c r="U52" s="114"/>
      <c r="V52" s="114"/>
    </row>
    <row r="53" spans="1:39" s="489" customFormat="1" ht="21.9" customHeight="1" thickTop="1" thickBot="1">
      <c r="A53" s="187"/>
      <c r="B53" s="187"/>
      <c r="C53" s="653" t="s">
        <v>466</v>
      </c>
      <c r="D53" s="654"/>
      <c r="E53" s="806">
        <v>0</v>
      </c>
      <c r="F53" s="656"/>
      <c r="G53" s="657">
        <f>INDEX(finQ1ITExp+finQ1Org62Exp+finQ1StackExp+finQ1TrustExp+finQ1FullREExp+finQ1GAMigrationExp+finQ1PackagingPricingExp+finQ1ExternalSalesExp+finQ1CSGExp+finQ1LeadPassExp+finQ1BrandIntExp,,xxIndexTeam)</f>
        <v>0</v>
      </c>
      <c r="H53" s="657"/>
      <c r="I53" s="657">
        <f>INDEX(finQ2ITExp+finQ2Org62Exp+finQ2StackExp+finQ2TrustExp+finQ2FullREExp+finQ2GAMigrationExp+finQ2PackagingPricingExp+finQ2ExternalSalesExp+finQ2CSGExp+finQ2LeadPassExp+finQ2BrandIntExp,,xxIndexTeam)</f>
        <v>0</v>
      </c>
      <c r="J53" s="657"/>
      <c r="K53" s="657">
        <f>INDEX(finQ3ITExp+finQ3Org62Exp+finQ3StackExp+finQ3TrustExp+finQ3FullREExp+finQ3GAMigrationExp+finQ3PackagingPricingExp+finQ3ExternalSalesExp+finQ3CSGExp+finQ3LeadPassExp+finQ3BrandIntExp,,xxIndexTeam)</f>
        <v>0</v>
      </c>
      <c r="L53" s="657"/>
      <c r="M53" s="657">
        <f>INDEX(finQ4ITExp+finQ4Org62Exp+finQ4StackExp+finQ4TrustExp+finQ4FullREExp+finQ4GAMigrationExp+finQ4PackagingPricingExp+finQ4ExternalSalesExp+finQ4CSGExp+finQ4LeadPassExp+finQ4BrandIntExp,,xxIndexTeam)</f>
        <v>0</v>
      </c>
      <c r="N53" s="657"/>
      <c r="O53" s="658">
        <f>INDEX(finAnnualITExp+finAnnualOrg62Exp+finAnnualStackExp+finAnnualTrustExp+finAnnualFullREExp+finAnnualGAMigrationExp+finAnnualPackagingPricingExp+finAnnualExternalSalesExp+finY1CSGExp+finY1LeadPassExp+finY1BrandIntExp,,xxIndexTeam)</f>
        <v>0</v>
      </c>
      <c r="P53" s="654"/>
      <c r="Q53" s="654"/>
      <c r="R53" s="659">
        <f>INDEX(finY2AnnualITExp+finY2AnnualOrg62Exp+finY2AnnualStackExp+finY2AnnualTrustExp+finY2AnnualFullREExp+finY2AnnualGAMigrationExp+finY2AnnualPackagingPricingExp+finY2AnnualExternalSalesExp+finY2AnnualCSGExp+finY2AnnualLeadPassExp+finY2AnnualBrandIntExp,,xxIndexTeam)</f>
        <v>0</v>
      </c>
      <c r="S53" s="195"/>
      <c r="T53" s="804"/>
      <c r="U53" s="764"/>
      <c r="V53" s="490" t="b">
        <v>0</v>
      </c>
      <c r="Z53" s="590">
        <v>0</v>
      </c>
      <c r="AA53" s="590"/>
      <c r="AB53" s="590">
        <v>0</v>
      </c>
      <c r="AC53" s="590"/>
      <c r="AD53" s="590">
        <v>0</v>
      </c>
      <c r="AE53" s="590"/>
      <c r="AF53" s="590">
        <v>0</v>
      </c>
      <c r="AG53" s="587"/>
      <c r="AH53" s="591">
        <v>0</v>
      </c>
      <c r="AI53" s="195"/>
      <c r="AJ53" s="195"/>
      <c r="AK53" s="591">
        <v>0</v>
      </c>
      <c r="AM53" s="591"/>
    </row>
    <row r="54" spans="1:39" s="115" customFormat="1" ht="21.9" customHeight="1" thickTop="1">
      <c r="A54" s="114"/>
      <c r="B54" s="114"/>
      <c r="C54" s="208"/>
      <c r="D54" s="114"/>
      <c r="E54" s="114"/>
      <c r="F54" s="114"/>
      <c r="G54" s="209"/>
      <c r="H54" s="206"/>
      <c r="I54" s="209"/>
      <c r="J54" s="114"/>
      <c r="K54" s="114"/>
      <c r="L54" s="114"/>
      <c r="M54" s="114"/>
      <c r="N54" s="114"/>
      <c r="O54" s="114"/>
      <c r="P54" s="114"/>
      <c r="Q54" s="114"/>
      <c r="R54" s="114"/>
      <c r="S54" s="114"/>
      <c r="T54" s="114"/>
      <c r="U54" s="114"/>
      <c r="V54" s="114"/>
    </row>
    <row r="55" spans="1:39" s="115" customFormat="1" ht="21.9" customHeight="1">
      <c r="A55" s="114"/>
      <c r="B55" s="114"/>
      <c r="C55" s="208"/>
      <c r="D55" s="114"/>
      <c r="E55" s="114"/>
      <c r="F55" s="114"/>
      <c r="G55" s="209"/>
      <c r="H55" s="206"/>
      <c r="I55" s="209"/>
      <c r="J55" s="114"/>
      <c r="K55" s="114"/>
      <c r="L55" s="114"/>
      <c r="M55" s="114"/>
      <c r="N55" s="114"/>
      <c r="O55" s="114"/>
      <c r="P55" s="114"/>
      <c r="Q55" s="114"/>
      <c r="R55" s="114"/>
      <c r="S55" s="114"/>
      <c r="T55" s="114"/>
      <c r="U55" s="114"/>
      <c r="V55" s="114"/>
    </row>
    <row r="56" spans="1:39" s="115" customFormat="1" ht="21.9" customHeight="1">
      <c r="A56" s="114"/>
      <c r="B56" s="114"/>
      <c r="C56" s="208"/>
      <c r="D56" s="114"/>
      <c r="E56" s="114"/>
      <c r="F56" s="114"/>
      <c r="G56" s="209"/>
      <c r="H56" s="206"/>
      <c r="I56" s="209"/>
      <c r="J56" s="114"/>
      <c r="K56" s="114"/>
      <c r="L56" s="114"/>
      <c r="M56" s="114"/>
      <c r="N56" s="114"/>
      <c r="O56" s="114"/>
      <c r="P56" s="114"/>
      <c r="Q56" s="114"/>
      <c r="R56" s="114"/>
      <c r="S56" s="114"/>
      <c r="T56" s="114"/>
      <c r="U56" s="114"/>
      <c r="V56" s="114"/>
    </row>
    <row r="57" spans="1:39" s="115" customFormat="1" ht="21.9" customHeight="1">
      <c r="A57" s="114"/>
      <c r="B57" s="114"/>
      <c r="C57" s="208"/>
      <c r="D57" s="114"/>
      <c r="E57" s="114"/>
      <c r="F57" s="114"/>
      <c r="G57" s="209"/>
      <c r="H57" s="206"/>
      <c r="I57" s="209"/>
      <c r="J57" s="114"/>
      <c r="K57" s="114"/>
      <c r="L57" s="114"/>
      <c r="M57" s="114"/>
      <c r="N57" s="114"/>
      <c r="O57" s="114"/>
      <c r="P57" s="114"/>
      <c r="Q57" s="114"/>
      <c r="R57" s="114"/>
      <c r="S57" s="114"/>
      <c r="T57" s="114"/>
      <c r="U57" s="114"/>
      <c r="V57" s="114"/>
    </row>
    <row r="58" spans="1:39" s="115" customFormat="1" ht="21.9" customHeight="1">
      <c r="A58" s="114"/>
      <c r="B58" s="114"/>
      <c r="C58" s="208"/>
      <c r="D58" s="114"/>
      <c r="E58" s="114"/>
      <c r="F58" s="114"/>
      <c r="G58" s="209"/>
      <c r="H58" s="206"/>
      <c r="I58" s="209"/>
      <c r="J58" s="114"/>
      <c r="K58" s="114"/>
      <c r="L58" s="114"/>
      <c r="M58" s="114"/>
      <c r="N58" s="114"/>
      <c r="O58" s="114"/>
      <c r="P58" s="114"/>
      <c r="Q58" s="114"/>
      <c r="R58" s="114"/>
      <c r="S58" s="114"/>
      <c r="T58" s="114"/>
      <c r="U58" s="114"/>
      <c r="V58" s="114"/>
    </row>
    <row r="59" spans="1:39" s="115" customFormat="1" ht="21.9" customHeight="1">
      <c r="A59" s="114"/>
      <c r="B59" s="114"/>
      <c r="C59" s="208"/>
      <c r="D59" s="114"/>
      <c r="E59" s="114"/>
      <c r="F59" s="114"/>
      <c r="G59" s="209"/>
      <c r="H59" s="206"/>
      <c r="I59" s="209"/>
      <c r="J59" s="114"/>
      <c r="K59" s="114"/>
      <c r="L59" s="114"/>
      <c r="M59" s="114"/>
      <c r="N59" s="114"/>
      <c r="O59" s="114"/>
      <c r="P59" s="114"/>
      <c r="Q59" s="114"/>
      <c r="R59" s="114"/>
      <c r="S59" s="114"/>
      <c r="T59" s="114"/>
      <c r="U59" s="114"/>
      <c r="V59" s="114"/>
    </row>
    <row r="60" spans="1:39" s="115" customFormat="1" ht="21.9" customHeight="1">
      <c r="A60" s="114"/>
      <c r="B60" s="114"/>
      <c r="C60" s="208"/>
      <c r="D60" s="114"/>
      <c r="E60" s="114"/>
      <c r="F60" s="114"/>
      <c r="G60" s="209"/>
      <c r="H60" s="206"/>
      <c r="I60" s="209"/>
      <c r="J60" s="114"/>
      <c r="K60" s="114"/>
      <c r="L60" s="114"/>
      <c r="M60" s="114"/>
      <c r="N60" s="114"/>
      <c r="O60" s="114"/>
      <c r="P60" s="114"/>
      <c r="Q60" s="114"/>
      <c r="R60" s="114"/>
      <c r="S60" s="114"/>
      <c r="T60" s="114"/>
      <c r="U60" s="114"/>
      <c r="V60" s="114"/>
    </row>
    <row r="61" spans="1:39" s="115" customFormat="1" ht="21.9" customHeight="1">
      <c r="A61" s="114"/>
      <c r="B61" s="114"/>
      <c r="C61" s="208"/>
      <c r="D61" s="114"/>
      <c r="E61" s="114"/>
      <c r="F61" s="114"/>
      <c r="G61" s="209"/>
      <c r="H61" s="206"/>
      <c r="I61" s="209"/>
      <c r="J61" s="114"/>
      <c r="K61" s="114"/>
      <c r="L61" s="114"/>
      <c r="M61" s="114"/>
      <c r="N61" s="114"/>
      <c r="O61" s="114"/>
      <c r="P61" s="114"/>
      <c r="Q61" s="114"/>
      <c r="R61" s="114"/>
      <c r="S61" s="114"/>
      <c r="T61" s="114"/>
      <c r="U61" s="114"/>
      <c r="V61" s="114"/>
    </row>
    <row r="62" spans="1:39" s="115" customFormat="1" ht="21.9" customHeight="1">
      <c r="A62" s="114"/>
      <c r="B62" s="114"/>
      <c r="C62" s="208"/>
      <c r="D62" s="114"/>
      <c r="E62" s="114"/>
      <c r="F62" s="114"/>
      <c r="G62" s="209"/>
      <c r="H62" s="206"/>
      <c r="I62" s="209"/>
      <c r="J62" s="114"/>
      <c r="K62" s="114"/>
      <c r="L62" s="114"/>
      <c r="M62" s="114"/>
      <c r="N62" s="114"/>
      <c r="O62" s="114"/>
      <c r="P62" s="114"/>
      <c r="Q62" s="114"/>
      <c r="R62" s="114"/>
      <c r="S62" s="114"/>
      <c r="T62" s="114"/>
      <c r="U62" s="114"/>
      <c r="V62" s="114"/>
    </row>
    <row r="63" spans="1:39" s="115" customFormat="1" ht="21.9" customHeight="1">
      <c r="A63" s="114"/>
      <c r="B63" s="114"/>
      <c r="C63" s="208"/>
      <c r="D63" s="114"/>
      <c r="E63" s="114"/>
      <c r="F63" s="114"/>
      <c r="G63" s="209"/>
      <c r="H63" s="206"/>
      <c r="I63" s="209"/>
      <c r="J63" s="114"/>
      <c r="K63" s="114"/>
      <c r="L63" s="114"/>
      <c r="M63" s="114"/>
      <c r="N63" s="114"/>
      <c r="O63" s="114"/>
      <c r="P63" s="114"/>
      <c r="Q63" s="114"/>
      <c r="R63" s="114"/>
      <c r="S63" s="114"/>
      <c r="T63" s="114"/>
      <c r="U63" s="114"/>
      <c r="V63" s="114"/>
    </row>
    <row r="64" spans="1:39" s="115" customFormat="1" ht="21.9" customHeight="1">
      <c r="A64" s="114"/>
      <c r="B64" s="114"/>
      <c r="C64" s="208"/>
      <c r="D64" s="114"/>
      <c r="E64" s="114"/>
      <c r="F64" s="114"/>
      <c r="G64" s="209"/>
      <c r="H64" s="206"/>
      <c r="I64" s="209"/>
      <c r="J64" s="114"/>
      <c r="K64" s="114"/>
      <c r="L64" s="114"/>
      <c r="M64" s="114"/>
      <c r="N64" s="114"/>
      <c r="O64" s="114"/>
      <c r="P64" s="114"/>
      <c r="Q64" s="114"/>
      <c r="R64" s="114"/>
      <c r="S64" s="114"/>
      <c r="T64" s="114"/>
      <c r="U64" s="114"/>
      <c r="V64" s="114"/>
    </row>
    <row r="65" spans="1:22" s="115" customFormat="1" ht="21.9" customHeight="1">
      <c r="A65" s="114"/>
      <c r="B65" s="114"/>
      <c r="C65" s="208"/>
      <c r="D65" s="114"/>
      <c r="E65" s="114"/>
      <c r="F65" s="114"/>
      <c r="G65" s="209"/>
      <c r="H65" s="206"/>
      <c r="I65" s="209"/>
      <c r="J65" s="114"/>
      <c r="K65" s="114"/>
      <c r="L65" s="114"/>
      <c r="M65" s="114"/>
      <c r="N65" s="114"/>
      <c r="O65" s="114"/>
      <c r="P65" s="114"/>
      <c r="Q65" s="114"/>
      <c r="R65" s="114"/>
      <c r="S65" s="114"/>
      <c r="T65" s="114"/>
      <c r="U65" s="114"/>
      <c r="V65" s="114"/>
    </row>
    <row r="66" spans="1:22" s="115" customFormat="1" ht="21.9" customHeight="1">
      <c r="A66" s="114"/>
      <c r="B66" s="114"/>
      <c r="C66" s="208"/>
      <c r="D66" s="114"/>
      <c r="E66" s="114"/>
      <c r="F66" s="114"/>
      <c r="G66" s="209"/>
      <c r="H66" s="206"/>
      <c r="I66" s="209"/>
      <c r="J66" s="114"/>
      <c r="K66" s="114"/>
      <c r="L66" s="114"/>
      <c r="M66" s="114"/>
      <c r="N66" s="114"/>
      <c r="O66" s="114"/>
      <c r="P66" s="114"/>
      <c r="Q66" s="114"/>
      <c r="R66" s="114"/>
      <c r="S66" s="114"/>
      <c r="T66" s="114"/>
      <c r="U66" s="114"/>
      <c r="V66" s="114"/>
    </row>
    <row r="67" spans="1:22" s="115" customFormat="1" ht="21.9" customHeight="1">
      <c r="A67" s="114"/>
      <c r="B67" s="114"/>
      <c r="C67" s="208"/>
      <c r="D67" s="114"/>
      <c r="E67" s="114"/>
      <c r="F67" s="114"/>
      <c r="G67" s="209"/>
      <c r="H67" s="206"/>
      <c r="I67" s="209"/>
      <c r="J67" s="114"/>
      <c r="K67" s="114"/>
      <c r="L67" s="114"/>
      <c r="M67" s="114"/>
      <c r="N67" s="114"/>
      <c r="O67" s="114"/>
      <c r="P67" s="114"/>
      <c r="Q67" s="114"/>
      <c r="R67" s="114"/>
      <c r="S67" s="114"/>
      <c r="T67" s="114"/>
      <c r="U67" s="114"/>
      <c r="V67" s="114"/>
    </row>
    <row r="68" spans="1:22" s="115" customFormat="1" ht="21.9" customHeight="1">
      <c r="A68" s="114"/>
      <c r="B68" s="114"/>
      <c r="C68" s="208"/>
      <c r="D68" s="114"/>
      <c r="E68" s="114"/>
      <c r="F68" s="114"/>
      <c r="G68" s="209"/>
      <c r="H68" s="206"/>
      <c r="I68" s="209"/>
      <c r="J68" s="114"/>
      <c r="K68" s="114"/>
      <c r="L68" s="114"/>
      <c r="M68" s="114"/>
      <c r="N68" s="114"/>
      <c r="O68" s="114"/>
      <c r="P68" s="114"/>
      <c r="Q68" s="114"/>
      <c r="R68" s="114"/>
      <c r="S68" s="114"/>
      <c r="T68" s="114"/>
      <c r="U68" s="114"/>
      <c r="V68" s="114"/>
    </row>
    <row r="69" spans="1:22" s="115" customFormat="1" ht="21.9" customHeight="1">
      <c r="A69" s="114"/>
      <c r="B69" s="114"/>
      <c r="C69" s="208"/>
      <c r="D69" s="114"/>
      <c r="E69" s="114"/>
      <c r="F69" s="114"/>
      <c r="G69" s="209"/>
      <c r="H69" s="206"/>
      <c r="I69" s="209"/>
      <c r="J69" s="114"/>
      <c r="K69" s="114"/>
      <c r="L69" s="114"/>
      <c r="M69" s="114"/>
      <c r="N69" s="114"/>
      <c r="O69" s="114"/>
      <c r="P69" s="114"/>
      <c r="Q69" s="114"/>
      <c r="R69" s="114"/>
      <c r="S69" s="114"/>
      <c r="T69" s="114"/>
      <c r="U69" s="114"/>
      <c r="V69" s="114"/>
    </row>
    <row r="70" spans="1:22" s="115" customFormat="1" ht="21.9" customHeight="1">
      <c r="A70" s="114"/>
      <c r="B70" s="114"/>
      <c r="C70" s="208"/>
      <c r="D70" s="114"/>
      <c r="E70" s="114"/>
      <c r="F70" s="114"/>
      <c r="G70" s="209"/>
      <c r="H70" s="206"/>
      <c r="I70" s="209"/>
      <c r="J70" s="114"/>
      <c r="K70" s="114"/>
      <c r="L70" s="114"/>
      <c r="M70" s="114"/>
      <c r="N70" s="114"/>
      <c r="O70" s="114"/>
      <c r="P70" s="114"/>
      <c r="Q70" s="114"/>
      <c r="R70" s="114"/>
      <c r="S70" s="114"/>
      <c r="T70" s="114"/>
      <c r="U70" s="114"/>
      <c r="V70" s="114"/>
    </row>
    <row r="71" spans="1:22" s="115" customFormat="1" ht="21.9" customHeight="1">
      <c r="A71" s="114"/>
      <c r="B71" s="114"/>
      <c r="C71" s="208"/>
      <c r="D71" s="114"/>
      <c r="E71" s="114"/>
      <c r="F71" s="114"/>
      <c r="G71" s="209"/>
      <c r="H71" s="206"/>
      <c r="I71" s="209"/>
      <c r="J71" s="114"/>
      <c r="K71" s="114"/>
      <c r="L71" s="114"/>
      <c r="M71" s="114"/>
      <c r="N71" s="114"/>
      <c r="O71" s="114"/>
      <c r="P71" s="114"/>
      <c r="Q71" s="114"/>
      <c r="R71" s="114"/>
      <c r="S71" s="114"/>
      <c r="T71" s="114"/>
      <c r="U71" s="114"/>
      <c r="V71" s="114"/>
    </row>
    <row r="72" spans="1:22" s="115" customFormat="1" ht="21.9" customHeight="1">
      <c r="A72" s="114"/>
      <c r="B72" s="114"/>
      <c r="C72" s="208"/>
      <c r="D72" s="114"/>
      <c r="E72" s="114"/>
      <c r="F72" s="114"/>
      <c r="G72" s="209"/>
      <c r="H72" s="206"/>
      <c r="I72" s="209"/>
      <c r="J72" s="114"/>
      <c r="K72" s="114"/>
      <c r="L72" s="114"/>
      <c r="M72" s="114"/>
      <c r="N72" s="114"/>
      <c r="O72" s="114"/>
      <c r="P72" s="114"/>
      <c r="Q72" s="114"/>
      <c r="R72" s="114"/>
      <c r="S72" s="114"/>
      <c r="T72" s="114"/>
      <c r="U72" s="114"/>
      <c r="V72" s="114"/>
    </row>
    <row r="73" spans="1:22" s="115" customFormat="1" ht="21.9" customHeight="1">
      <c r="A73" s="114"/>
      <c r="B73" s="114"/>
      <c r="C73" s="208"/>
      <c r="D73" s="114"/>
      <c r="E73" s="114"/>
      <c r="F73" s="114"/>
      <c r="G73" s="209"/>
      <c r="H73" s="206"/>
      <c r="I73" s="209"/>
      <c r="J73" s="114"/>
      <c r="K73" s="114"/>
      <c r="L73" s="114"/>
      <c r="M73" s="114"/>
      <c r="N73" s="114"/>
      <c r="O73" s="114"/>
      <c r="P73" s="114"/>
      <c r="Q73" s="114"/>
      <c r="R73" s="114"/>
      <c r="S73" s="114"/>
      <c r="T73" s="114"/>
      <c r="U73" s="114"/>
      <c r="V73" s="114"/>
    </row>
    <row r="74" spans="1:22" s="115" customFormat="1" ht="21.9" customHeight="1">
      <c r="A74" s="114"/>
      <c r="B74" s="114"/>
      <c r="C74" s="208"/>
      <c r="D74" s="114"/>
      <c r="E74" s="114"/>
      <c r="F74" s="114"/>
      <c r="G74" s="209"/>
      <c r="H74" s="206"/>
      <c r="I74" s="209"/>
      <c r="J74" s="114"/>
      <c r="K74" s="114"/>
      <c r="L74" s="114"/>
      <c r="M74" s="114"/>
      <c r="N74" s="114"/>
      <c r="O74" s="114"/>
      <c r="P74" s="114"/>
      <c r="Q74" s="114"/>
      <c r="R74" s="114"/>
      <c r="S74" s="114"/>
      <c r="T74" s="114"/>
      <c r="U74" s="114"/>
      <c r="V74" s="114"/>
    </row>
    <row r="75" spans="1:22" s="115" customFormat="1" ht="21.9" customHeight="1">
      <c r="A75" s="114"/>
      <c r="B75" s="114"/>
      <c r="C75" s="208"/>
      <c r="D75" s="114"/>
      <c r="E75" s="114"/>
      <c r="F75" s="114"/>
      <c r="G75" s="209"/>
      <c r="H75" s="206"/>
      <c r="I75" s="209"/>
      <c r="J75" s="114"/>
      <c r="K75" s="114"/>
      <c r="L75" s="114"/>
      <c r="M75" s="114"/>
      <c r="N75" s="114"/>
      <c r="O75" s="114"/>
      <c r="P75" s="114"/>
      <c r="Q75" s="114"/>
      <c r="R75" s="114"/>
      <c r="S75" s="114"/>
      <c r="T75" s="114"/>
      <c r="U75" s="114"/>
      <c r="V75" s="114"/>
    </row>
    <row r="76" spans="1:22" s="115" customFormat="1" ht="21.9" customHeight="1">
      <c r="A76" s="114"/>
      <c r="B76" s="114"/>
      <c r="C76" s="208"/>
      <c r="D76" s="114"/>
      <c r="E76" s="114"/>
      <c r="F76" s="114"/>
      <c r="G76" s="209"/>
      <c r="H76" s="206"/>
      <c r="I76" s="209"/>
      <c r="J76" s="114"/>
      <c r="K76" s="114"/>
      <c r="L76" s="114"/>
      <c r="M76" s="114"/>
      <c r="N76" s="114"/>
      <c r="O76" s="114"/>
      <c r="P76" s="114"/>
      <c r="Q76" s="114"/>
      <c r="R76" s="114"/>
      <c r="S76" s="114"/>
      <c r="T76" s="114"/>
      <c r="U76" s="114"/>
      <c r="V76" s="114"/>
    </row>
    <row r="77" spans="1:22" s="115" customFormat="1" ht="21.9" customHeight="1">
      <c r="A77" s="114"/>
      <c r="B77" s="114"/>
      <c r="C77" s="208"/>
      <c r="D77" s="114"/>
      <c r="E77" s="114"/>
      <c r="F77" s="114"/>
      <c r="G77" s="209"/>
      <c r="H77" s="206"/>
      <c r="I77" s="209"/>
      <c r="J77" s="114"/>
      <c r="K77" s="114"/>
      <c r="L77" s="114"/>
      <c r="M77" s="114"/>
      <c r="N77" s="114"/>
      <c r="O77" s="114"/>
      <c r="P77" s="114"/>
      <c r="Q77" s="114"/>
      <c r="R77" s="114"/>
      <c r="S77" s="114"/>
      <c r="T77" s="114"/>
      <c r="U77" s="114"/>
      <c r="V77" s="114"/>
    </row>
    <row r="78" spans="1:22" s="115" customFormat="1" ht="21.9" customHeight="1">
      <c r="A78" s="114"/>
      <c r="B78" s="114"/>
      <c r="C78" s="208"/>
      <c r="D78" s="114"/>
      <c r="E78" s="114"/>
      <c r="F78" s="114"/>
      <c r="G78" s="209"/>
      <c r="H78" s="206"/>
      <c r="I78" s="209"/>
      <c r="J78" s="114"/>
      <c r="K78" s="114"/>
      <c r="L78" s="114"/>
      <c r="M78" s="114"/>
      <c r="N78" s="114"/>
      <c r="O78" s="114"/>
      <c r="P78" s="114"/>
      <c r="Q78" s="114"/>
      <c r="R78" s="114"/>
      <c r="S78" s="114"/>
      <c r="T78" s="114"/>
      <c r="U78" s="114"/>
      <c r="V78" s="114"/>
    </row>
    <row r="79" spans="1:22" s="115" customFormat="1" ht="21.9" customHeight="1">
      <c r="A79" s="114"/>
      <c r="B79" s="114"/>
      <c r="C79" s="208"/>
      <c r="D79" s="114"/>
      <c r="E79" s="114"/>
      <c r="F79" s="114"/>
      <c r="G79" s="209"/>
      <c r="H79" s="206"/>
      <c r="I79" s="209"/>
      <c r="J79" s="114"/>
      <c r="K79" s="114"/>
      <c r="L79" s="114"/>
      <c r="M79" s="114"/>
      <c r="N79" s="114"/>
      <c r="O79" s="114"/>
      <c r="P79" s="114"/>
      <c r="Q79" s="114"/>
      <c r="R79" s="114"/>
      <c r="S79" s="114"/>
      <c r="T79" s="114"/>
      <c r="U79" s="114"/>
      <c r="V79" s="114"/>
    </row>
  </sheetData>
  <sheetProtection selectLockedCells="1"/>
  <conditionalFormatting sqref="G22 K22:K23 I22:I23 K29 I29 K36 I36">
    <cfRule type="expression" dxfId="143" priority="73">
      <formula>G22&gt;Z22</formula>
    </cfRule>
    <cfRule type="expression" dxfId="142" priority="74">
      <formula>G22&lt;Z22</formula>
    </cfRule>
  </conditionalFormatting>
  <conditionalFormatting sqref="M22">
    <cfRule type="expression" dxfId="141" priority="71">
      <formula>M22&gt;AF22</formula>
    </cfRule>
    <cfRule type="expression" dxfId="140" priority="72">
      <formula>M22&lt;AF22</formula>
    </cfRule>
  </conditionalFormatting>
  <conditionalFormatting sqref="G23">
    <cfRule type="expression" dxfId="139" priority="69">
      <formula>G23&gt;Z23</formula>
    </cfRule>
    <cfRule type="expression" dxfId="138" priority="70">
      <formula>G23&lt;Z23</formula>
    </cfRule>
  </conditionalFormatting>
  <conditionalFormatting sqref="M23">
    <cfRule type="expression" dxfId="137" priority="67">
      <formula>M23&gt;AF23</formula>
    </cfRule>
    <cfRule type="expression" dxfId="136" priority="68">
      <formula>M23&lt;AF23</formula>
    </cfRule>
  </conditionalFormatting>
  <conditionalFormatting sqref="G29">
    <cfRule type="expression" dxfId="135" priority="57">
      <formula>G29&gt;Z29</formula>
    </cfRule>
    <cfRule type="expression" dxfId="134" priority="58">
      <formula>G29&lt;Z29</formula>
    </cfRule>
  </conditionalFormatting>
  <conditionalFormatting sqref="M29">
    <cfRule type="expression" dxfId="133" priority="55">
      <formula>M29&gt;AF29</formula>
    </cfRule>
    <cfRule type="expression" dxfId="132" priority="56">
      <formula>M29&lt;AF29</formula>
    </cfRule>
  </conditionalFormatting>
  <conditionalFormatting sqref="G36">
    <cfRule type="expression" dxfId="131" priority="53">
      <formula>G36&gt;Z36</formula>
    </cfRule>
    <cfRule type="expression" dxfId="130" priority="54">
      <formula>G36&lt;Z36</formula>
    </cfRule>
  </conditionalFormatting>
  <conditionalFormatting sqref="M36">
    <cfRule type="expression" dxfId="129" priority="51">
      <formula>M36&gt;AF36</formula>
    </cfRule>
    <cfRule type="expression" dxfId="128" priority="52">
      <formula>M36&lt;AF36</formula>
    </cfRule>
  </conditionalFormatting>
  <conditionalFormatting sqref="K31:K32 I31:I32">
    <cfRule type="expression" dxfId="127" priority="39">
      <formula>I31&gt;AB31</formula>
    </cfRule>
    <cfRule type="expression" dxfId="126" priority="40">
      <formula>I31&lt;AB31</formula>
    </cfRule>
  </conditionalFormatting>
  <conditionalFormatting sqref="G32">
    <cfRule type="expression" dxfId="125" priority="37">
      <formula>G32&gt;Z32</formula>
    </cfRule>
    <cfRule type="expression" dxfId="124" priority="38">
      <formula>G32&lt;Z32</formula>
    </cfRule>
  </conditionalFormatting>
  <conditionalFormatting sqref="M32">
    <cfRule type="expression" dxfId="123" priority="35">
      <formula>M32&gt;AF32</formula>
    </cfRule>
    <cfRule type="expression" dxfId="122" priority="36">
      <formula>M32&lt;AF32</formula>
    </cfRule>
  </conditionalFormatting>
  <conditionalFormatting sqref="G31">
    <cfRule type="expression" dxfId="121" priority="33">
      <formula>G31&gt;Z31</formula>
    </cfRule>
    <cfRule type="expression" dxfId="120" priority="34">
      <formula>G31&lt;Z31</formula>
    </cfRule>
  </conditionalFormatting>
  <conditionalFormatting sqref="M31">
    <cfRule type="expression" dxfId="119" priority="31">
      <formula>M31&gt;AF31</formula>
    </cfRule>
    <cfRule type="expression" dxfId="118" priority="32">
      <formula>M31&lt;AF31</formula>
    </cfRule>
  </conditionalFormatting>
  <conditionalFormatting sqref="AA29:AG29 AA36:AG36 Z22:AH28 AK22:AK28 AK30:AK35 Z30:AH35">
    <cfRule type="expression" dxfId="117" priority="29">
      <formula>#REF!&lt;#REF!</formula>
    </cfRule>
    <cfRule type="expression" dxfId="116" priority="30">
      <formula>#REF!&gt;#REF!</formula>
    </cfRule>
  </conditionalFormatting>
  <conditionalFormatting sqref="AM22:AM28 AM30:AM35">
    <cfRule type="expression" dxfId="115" priority="27">
      <formula>#REF!&lt;#REF!</formula>
    </cfRule>
    <cfRule type="expression" dxfId="114" priority="28">
      <formula>#REF!&gt;#REF!</formula>
    </cfRule>
  </conditionalFormatting>
  <conditionalFormatting sqref="K53 I53">
    <cfRule type="expression" dxfId="113" priority="25">
      <formula>I53&gt;AB53</formula>
    </cfRule>
    <cfRule type="expression" dxfId="112" priority="26">
      <formula>I53&lt;AB53</formula>
    </cfRule>
  </conditionalFormatting>
  <conditionalFormatting sqref="G53">
    <cfRule type="expression" dxfId="111" priority="23">
      <formula>G53&gt;Z53</formula>
    </cfRule>
    <cfRule type="expression" dxfId="110" priority="24">
      <formula>G53&lt;Z53</formula>
    </cfRule>
  </conditionalFormatting>
  <conditionalFormatting sqref="M53">
    <cfRule type="expression" dxfId="109" priority="21">
      <formula>M53&gt;AF53</formula>
    </cfRule>
    <cfRule type="expression" dxfId="108" priority="22">
      <formula>M53&lt;AF53</formula>
    </cfRule>
  </conditionalFormatting>
  <conditionalFormatting sqref="AK53 Z53:AH53">
    <cfRule type="expression" dxfId="107" priority="19">
      <formula>#REF!&lt;#REF!</formula>
    </cfRule>
    <cfRule type="expression" dxfId="106" priority="20">
      <formula>#REF!&gt;#REF!</formula>
    </cfRule>
  </conditionalFormatting>
  <conditionalFormatting sqref="AM53">
    <cfRule type="expression" dxfId="105" priority="17">
      <formula>#REF!&lt;#REF!</formula>
    </cfRule>
    <cfRule type="expression" dxfId="104" priority="18">
      <formula>#REF!&gt;#REF!</formula>
    </cfRule>
  </conditionalFormatting>
  <conditionalFormatting sqref="Z49:AH49 AK49">
    <cfRule type="expression" dxfId="103" priority="15">
      <formula>#REF!&lt;#REF!</formula>
    </cfRule>
    <cfRule type="expression" dxfId="102" priority="16">
      <formula>#REF!&gt;#REF!</formula>
    </cfRule>
  </conditionalFormatting>
  <conditionalFormatting sqref="AM49">
    <cfRule type="expression" dxfId="101" priority="13">
      <formula>#REF!&lt;#REF!</formula>
    </cfRule>
    <cfRule type="expression" dxfId="100" priority="14">
      <formula>#REF!&gt;#REF!</formula>
    </cfRule>
  </conditionalFormatting>
  <conditionalFormatting sqref="Z47:AH47 AK47">
    <cfRule type="expression" dxfId="99" priority="11">
      <formula>#REF!&lt;#REF!</formula>
    </cfRule>
    <cfRule type="expression" dxfId="98" priority="12">
      <formula>#REF!&gt;#REF!</formula>
    </cfRule>
  </conditionalFormatting>
  <conditionalFormatting sqref="AM47">
    <cfRule type="expression" dxfId="97" priority="9">
      <formula>#REF!&lt;#REF!</formula>
    </cfRule>
    <cfRule type="expression" dxfId="96" priority="10">
      <formula>#REF!&gt;#REF!</formula>
    </cfRule>
  </conditionalFormatting>
  <conditionalFormatting sqref="Z50:AH51 AK50:AK51">
    <cfRule type="expression" dxfId="95" priority="7">
      <formula>#REF!&lt;#REF!</formula>
    </cfRule>
    <cfRule type="expression" dxfId="94" priority="8">
      <formula>#REF!&gt;#REF!</formula>
    </cfRule>
  </conditionalFormatting>
  <conditionalFormatting sqref="AM50:AM51">
    <cfRule type="expression" dxfId="93" priority="5">
      <formula>#REF!&lt;#REF!</formula>
    </cfRule>
    <cfRule type="expression" dxfId="92" priority="6">
      <formula>#REF!&gt;#REF!</formula>
    </cfRule>
  </conditionalFormatting>
  <conditionalFormatting sqref="Z46:AH46 AK46">
    <cfRule type="expression" dxfId="91" priority="3">
      <formula>#REF!&lt;#REF!</formula>
    </cfRule>
    <cfRule type="expression" dxfId="90" priority="4">
      <formula>#REF!&gt;#REF!</formula>
    </cfRule>
  </conditionalFormatting>
  <conditionalFormatting sqref="AM46">
    <cfRule type="expression" dxfId="89" priority="1">
      <formula>#REF!&lt;#REF!</formula>
    </cfRule>
    <cfRule type="expression" dxfId="88" priority="2">
      <formula>#REF!&gt;#REF!</formula>
    </cfRule>
  </conditionalFormatting>
  <dataValidations disablePrompts="1" count="1">
    <dataValidation type="list" allowBlank="1" showInputMessage="1" showErrorMessage="1" sqref="Z41">
      <formula1>"80%,90%,100%,110%,120%"</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4"/>
  </sheetPr>
  <dimension ref="A1:T47"/>
  <sheetViews>
    <sheetView topLeftCell="A21" zoomScale="40" zoomScaleNormal="40" workbookViewId="0">
      <selection activeCell="K24" sqref="K24"/>
    </sheetView>
  </sheetViews>
  <sheetFormatPr defaultColWidth="8.81640625" defaultRowHeight="16.2"/>
  <cols>
    <col min="1" max="2" width="1.7265625" style="112" customWidth="1"/>
    <col min="3" max="3" width="36.6328125" style="112" customWidth="1"/>
    <col min="4" max="4" width="1.7265625" style="112" customWidth="1"/>
    <col min="5" max="5" width="67.453125" style="711" customWidth="1"/>
    <col min="6" max="6" width="1.7265625" style="112" customWidth="1"/>
    <col min="7" max="13" width="16.81640625" style="112" customWidth="1"/>
    <col min="14" max="16" width="8.81640625" style="112"/>
    <col min="17" max="17" width="14.90625" style="112" bestFit="1" customWidth="1"/>
    <col min="18" max="16384" width="8.81640625" style="112"/>
  </cols>
  <sheetData>
    <row r="1" spans="1:18" s="111" customFormat="1" ht="6" customHeight="1"/>
    <row r="2" spans="1:18" s="111" customFormat="1" ht="36.6" customHeight="1">
      <c r="C2" s="731"/>
      <c r="D2" s="731"/>
      <c r="E2" s="701"/>
      <c r="I2" s="797" t="s">
        <v>1935</v>
      </c>
      <c r="P2" s="113" t="s">
        <v>2214</v>
      </c>
      <c r="Q2" s="111" t="s">
        <v>152</v>
      </c>
    </row>
    <row r="3" spans="1:18" s="774" customFormat="1" ht="30.6" customHeight="1">
      <c r="A3" s="772"/>
      <c r="B3" s="772"/>
      <c r="C3" s="787" t="str">
        <f>DB_Dashboard1</f>
        <v>Financial Scorecard: Y5 Revenue0498050988.5917920CAGR00.3855958201441540Y1 Operating Margin0-0.19</v>
      </c>
      <c r="D3" s="772"/>
      <c r="E3" s="772"/>
      <c r="F3" s="772"/>
      <c r="G3" s="772"/>
      <c r="H3" s="773"/>
      <c r="I3" s="772"/>
      <c r="J3" s="772"/>
      <c r="L3" s="772"/>
      <c r="M3" s="772"/>
    </row>
    <row r="4" spans="1:18" s="772" customFormat="1" ht="30.6" customHeight="1">
      <c r="C4" s="788" t="str">
        <f>DB_Dashboard2</f>
        <v>Non-Financial Scorecard: CSat0500Employee Engagement0500Trust050</v>
      </c>
    </row>
    <row r="5" spans="1:18" s="772" customFormat="1" ht="30.6" customHeight="1">
      <c r="C5" s="789" t="str">
        <f>DB_Dashboard1Y2</f>
        <v>Disruption &amp; Budget: Disruption00.50Y1 Budget Left0250000000Y2 Budget Left010000000</v>
      </c>
    </row>
    <row r="6" spans="1:18" s="192" customFormat="1" ht="24" customHeight="1">
      <c r="C6" s="721" t="s">
        <v>2211</v>
      </c>
      <c r="E6" s="702"/>
      <c r="G6" s="955"/>
      <c r="H6" s="955"/>
      <c r="I6" s="955"/>
      <c r="J6" s="955"/>
      <c r="K6" s="955"/>
      <c r="L6" s="955"/>
      <c r="M6" s="955"/>
    </row>
    <row r="7" spans="1:18" s="114" customFormat="1" ht="8.4" customHeight="1">
      <c r="E7" s="703"/>
    </row>
    <row r="8" spans="1:18" s="719" customFormat="1" ht="44.4" customHeight="1">
      <c r="C8" s="723" t="s">
        <v>58</v>
      </c>
      <c r="D8" s="718"/>
      <c r="E8" s="723" t="s">
        <v>384</v>
      </c>
      <c r="F8" s="723"/>
      <c r="G8" s="743"/>
      <c r="H8" s="743" t="str">
        <f>Data!G366</f>
        <v>Disruption</v>
      </c>
      <c r="I8" s="743" t="str">
        <f>Data!H366</f>
        <v>Employee Engagement</v>
      </c>
      <c r="J8" s="743" t="str">
        <f>Data!I366</f>
        <v>Trust</v>
      </c>
      <c r="K8" s="743" t="str">
        <f>Data!J366</f>
        <v>CSat</v>
      </c>
      <c r="L8" s="743" t="str">
        <f>Data!K366</f>
        <v>ACV</v>
      </c>
      <c r="M8" s="743" t="str">
        <f>Data!L366</f>
        <v>Budget Delta</v>
      </c>
    </row>
    <row r="9" spans="1:18" s="114" customFormat="1" ht="10.199999999999999" customHeight="1">
      <c r="C9" s="199"/>
      <c r="D9" s="199"/>
      <c r="E9" s="704"/>
      <c r="F9" s="199"/>
      <c r="G9" s="642"/>
      <c r="H9" s="642"/>
      <c r="I9" s="642"/>
      <c r="J9" s="642"/>
      <c r="K9" s="642"/>
      <c r="L9" s="451"/>
      <c r="M9" s="451"/>
    </row>
    <row r="10" spans="1:18" s="467" customFormat="1" ht="400.2" customHeight="1">
      <c r="C10" s="941" t="str">
        <f>Wobbler!D25</f>
        <v>Acquimania!</v>
      </c>
      <c r="D10" s="942"/>
      <c r="E10" s="943" t="str">
        <f>IF(INDEX(cbalWobbler1,,xxIndexTeam)&lt;&gt;0,Wobbler!E25,"")</f>
        <v/>
      </c>
      <c r="F10" s="944"/>
      <c r="G10" s="945"/>
      <c r="H10" s="946" t="str">
        <f>IF(INDEX(cbalWobbler1,,xxIndexTeam)&lt;&gt;0,INDEX(dataCurveballImpactTable,MATCH(tlInputScenario1,Data!$D$367:$D$374,0),MATCH(tlScenarios!H$8,Data!$D$366:$M$366,0)),"")</f>
        <v/>
      </c>
      <c r="I10" s="946" t="str">
        <f>IF(INDEX(cbalWobbler1,,xxIndexTeam)&lt;&gt;0,INDEX(dataCurveballImpactTable,MATCH(tlInputScenario1,Data!$D$367:$D$374,0),MATCH(tlScenarios!I$8,Data!$D$366:$M$366,0)),"")</f>
        <v/>
      </c>
      <c r="J10" s="946" t="str">
        <f>IF(INDEX(cbalWobbler1,,xxIndexTeam)&lt;&gt;0,INDEX(dataCurveballImpactTable,MATCH(tlInputScenario1,Data!$D$367:$D$374,0),MATCH(tlScenarios!J$8,Data!$D$366:$M$366,0)),"")</f>
        <v/>
      </c>
      <c r="K10" s="946" t="str">
        <f>IF(INDEX(cbalWobbler1,,xxIndexTeam)&lt;&gt;0,INDEX(dataCurveballImpactTable,MATCH(tlInputScenario1,Data!$D$367:$D$374,0),MATCH(tlScenarios!K$8,Data!$D$366:$M$366,0)),"")</f>
        <v/>
      </c>
      <c r="L10" s="946" t="str">
        <f>IF(INDEX(cbalWobbler1,,xxIndexTeam)&lt;&gt;0,INDEX(dataCurveballImpactTable,MATCH(tlInputScenario1,Data!$D$367:$D$374,0),MATCH(tlScenarios!L$8,Data!$D$366:$M$366,0)),"")</f>
        <v/>
      </c>
      <c r="M10" s="946" t="str">
        <f>IF(INDEX(cbalWobbler1,,xxIndexTeam)&lt;&gt;0,INDEX(dataCurveballImpactTable,MATCH(tlInputScenario1,Data!$D$367:$D$374,0),MATCH(tlScenarios!M$8,Data!$D$366:$M$366,0)),"")</f>
        <v/>
      </c>
      <c r="Q10" s="467" t="b">
        <v>0</v>
      </c>
      <c r="R10" s="467" t="s">
        <v>2141</v>
      </c>
    </row>
    <row r="11" spans="1:18" s="195" customFormat="1" ht="12.6" customHeight="1">
      <c r="C11" s="193"/>
      <c r="D11" s="194"/>
      <c r="E11" s="779"/>
      <c r="F11" s="194"/>
      <c r="G11" s="785"/>
      <c r="H11" s="791"/>
      <c r="I11" s="791"/>
      <c r="J11" s="791"/>
      <c r="K11" s="791"/>
      <c r="L11" s="791"/>
      <c r="M11" s="791"/>
    </row>
    <row r="12" spans="1:18" s="467" customFormat="1" ht="400.2" customHeight="1">
      <c r="C12" s="750" t="str">
        <f>Wobbler!D26</f>
        <v>Macro-financial Issues</v>
      </c>
      <c r="D12" s="751"/>
      <c r="E12" s="778" t="str">
        <f>IF(INDEX(cbalWobbler2,,xxIndexTeam)&lt;&gt;0,Wobbler!E26,"")</f>
        <v/>
      </c>
      <c r="F12" s="752"/>
      <c r="G12" s="784"/>
      <c r="H12" s="790" t="str">
        <f>IF(INDEX(cbalWobbler2,,xxIndexTeam)&lt;&gt;0,INDEX(dataCurveballImpactTable,MATCH(tlInputScenario2,Data!$D$367:$D$374,0),MATCH(tlScenarios!H$8,Data!$D$366:$M$366,0)),"")</f>
        <v/>
      </c>
      <c r="I12" s="790" t="str">
        <f>IF(INDEX(cbalWobbler2,,xxIndexTeam)&lt;&gt;0,INDEX(dataCurveballImpactTable,MATCH(tlInputScenario2,Data!$D$367:$D$374,0),MATCH(tlScenarios!I$8,Data!$D$366:$M$366,0)),"")</f>
        <v/>
      </c>
      <c r="J12" s="790" t="str">
        <f>IF(INDEX(cbalWobbler2,,xxIndexTeam)&lt;&gt;0,INDEX(dataCurveballImpactTable,MATCH(tlInputScenario2,Data!$D$367:$D$374,0),MATCH(tlScenarios!J$8,Data!$D$366:$M$366,0)),"")</f>
        <v/>
      </c>
      <c r="K12" s="790" t="str">
        <f>IF(INDEX(cbalWobbler2,,xxIndexTeam)&lt;&gt;0,INDEX(dataCurveballImpactTable,MATCH(tlInputScenario2,Data!$D$367:$D$374,0),MATCH(tlScenarios!K$8,Data!$D$366:$M$366,0)),"")</f>
        <v/>
      </c>
      <c r="L12" s="790" t="str">
        <f>IF(INDEX(cbalWobbler2,,xxIndexTeam)&lt;&gt;0,INDEX(dataCurveballImpactTable,MATCH(tlInputScenario2,Data!$D$367:$D$374,0),MATCH(tlScenarios!L$8,Data!$D$366:$M$366,0)),"")</f>
        <v/>
      </c>
      <c r="M12" s="790" t="str">
        <f>IF(INDEX(cbalWobbler2,,xxIndexTeam)&lt;&gt;0,INDEX(dataCurveballImpactTable,MATCH(tlInputScenario2,Data!$D$367:$D$374,0),MATCH(tlScenarios!M$8,Data!$D$366:$M$366,0)),"")</f>
        <v/>
      </c>
      <c r="Q12" s="467" t="b">
        <v>0</v>
      </c>
      <c r="R12" s="467" t="s">
        <v>2148</v>
      </c>
    </row>
    <row r="13" spans="1:18" s="195" customFormat="1" ht="12.6" customHeight="1">
      <c r="C13" s="193"/>
      <c r="D13" s="194"/>
      <c r="E13" s="779"/>
      <c r="F13" s="194"/>
      <c r="G13" s="785"/>
      <c r="H13" s="791"/>
      <c r="I13" s="791"/>
      <c r="J13" s="791"/>
      <c r="K13" s="791"/>
      <c r="L13" s="791"/>
      <c r="M13" s="791"/>
    </row>
    <row r="14" spans="1:18" s="467" customFormat="1" ht="400.2" customHeight="1">
      <c r="C14" s="941" t="str">
        <f>Wobbler!D27</f>
        <v>Exec Office Visit</v>
      </c>
      <c r="D14" s="942"/>
      <c r="E14" s="943" t="str">
        <f>IF(INDEX(cbalWobbler3,,xxIndexTeam)&lt;&gt;0,Wobbler!E27,"")</f>
        <v/>
      </c>
      <c r="F14" s="944"/>
      <c r="G14" s="945"/>
      <c r="H14" s="946" t="str">
        <f>IF(INDEX(cbalWobbler3,,xxIndexTeam)&lt;&gt;0,INDEX(dataCurveballImpactTable,MATCH(tlInputScenario3,Data!$D$367:$D$374,0),MATCH(tlScenarios!H$8,Data!$D$366:$M$366,0)),"")</f>
        <v/>
      </c>
      <c r="I14" s="946" t="str">
        <f>IF(INDEX(cbalWobbler3,,xxIndexTeam)&lt;&gt;0,INDEX(dataCurveballImpactTable,MATCH(tlInputScenario3,Data!$D$367:$D$374,0),MATCH(tlScenarios!I$8,Data!$D$366:$M$366,0)),"")</f>
        <v/>
      </c>
      <c r="J14" s="946" t="str">
        <f>IF(INDEX(cbalWobbler3,,xxIndexTeam)&lt;&gt;0,INDEX(dataCurveballImpactTable,MATCH(tlInputScenario3,Data!$D$367:$D$374,0),MATCH(tlScenarios!J$8,Data!$D$366:$M$366,0)),"")</f>
        <v/>
      </c>
      <c r="K14" s="946" t="str">
        <f>IF(INDEX(cbalWobbler3,,xxIndexTeam)&lt;&gt;0,INDEX(dataCurveballImpactTable,MATCH(tlInputScenario3,Data!$D$367:$D$374,0),MATCH(tlScenarios!K$8,Data!$D$366:$M$366,0)),"")</f>
        <v/>
      </c>
      <c r="L14" s="946" t="str">
        <f>IF(INDEX(cbalWobbler3,,xxIndexTeam)&lt;&gt;0,INDEX(dataCurveballImpactTable,MATCH(tlInputScenario3,Data!$D$367:$D$374,0),MATCH(tlScenarios!L$8,Data!$D$366:$M$366,0)),"")</f>
        <v/>
      </c>
      <c r="M14" s="946" t="str">
        <f>IF(INDEX(cbalWobbler3,,xxIndexTeam)&lt;&gt;0,INDEX(dataCurveballImpactTable,MATCH(tlInputScenario3,Data!$D$367:$D$374,0),MATCH(tlScenarios!M$8,Data!$D$366:$M$366,0)),"")</f>
        <v/>
      </c>
      <c r="Q14" s="467" t="b">
        <v>0</v>
      </c>
      <c r="R14" s="467" t="s">
        <v>2147</v>
      </c>
    </row>
    <row r="15" spans="1:18" s="195" customFormat="1" ht="12.6" customHeight="1">
      <c r="C15" s="193"/>
      <c r="D15" s="194"/>
      <c r="E15" s="779"/>
      <c r="F15" s="194"/>
      <c r="G15" s="785"/>
      <c r="H15" s="792"/>
      <c r="I15" s="792"/>
      <c r="J15" s="792"/>
      <c r="K15" s="792"/>
      <c r="L15" s="792"/>
      <c r="M15" s="792"/>
    </row>
    <row r="16" spans="1:18" s="467" customFormat="1" ht="400.2" customHeight="1">
      <c r="C16" s="750" t="str">
        <f>Wobbler!D28</f>
        <v>Post-Diligence Discoveries</v>
      </c>
      <c r="D16" s="751"/>
      <c r="E16" s="778" t="str">
        <f>IF(INDEX(cbalWobbler4,,xxIndexTeam)&lt;&gt;0,Wobbler!E28,"")</f>
        <v/>
      </c>
      <c r="F16" s="752"/>
      <c r="G16" s="784"/>
      <c r="H16" s="790" t="str">
        <f>IF(INDEX(cbalWobbler4,,xxIndexTeam)&lt;&gt;0,INDEX(dataCurveballImpactTable,MATCH(tlInputScenario4,Data!$D$367:$D$374,0),MATCH(tlScenarios!H$8,Data!$D$366:$M$366,0)),"")</f>
        <v/>
      </c>
      <c r="I16" s="790" t="str">
        <f>IF(INDEX(cbalWobbler4,,xxIndexTeam)&lt;&gt;0,INDEX(dataCurveballImpactTable,MATCH(tlInputScenario4,Data!$D$367:$D$374,0),MATCH(tlScenarios!I$8,Data!$D$366:$M$366,0)),"")</f>
        <v/>
      </c>
      <c r="J16" s="790" t="str">
        <f>IF(INDEX(cbalWobbler4,,xxIndexTeam)&lt;&gt;0,INDEX(dataCurveballImpactTable,MATCH(tlInputScenario4,Data!$D$367:$D$374,0),MATCH(tlScenarios!J$8,Data!$D$366:$M$366,0)),"")</f>
        <v/>
      </c>
      <c r="K16" s="790" t="str">
        <f>IF(INDEX(cbalWobbler4,,xxIndexTeam)&lt;&gt;0,INDEX(dataCurveballImpactTable,MATCH(tlInputScenario4,Data!$D$367:$D$374,0),MATCH(tlScenarios!K$8,Data!$D$366:$M$366,0)),"")</f>
        <v/>
      </c>
      <c r="L16" s="790" t="str">
        <f>IF(INDEX(cbalWobbler4,,xxIndexTeam)&lt;&gt;0,INDEX(dataCurveballImpactTable,MATCH(tlInputScenario4,Data!$D$367:$D$374,0),MATCH(tlScenarios!L$8,Data!$D$366:$M$366,0)),"")</f>
        <v/>
      </c>
      <c r="M16" s="790" t="str">
        <f>IF(INDEX(cbalWobbler4,,xxIndexTeam)&lt;&gt;0,INDEX(dataCurveballImpactTable,MATCH(tlInputScenario4,Data!$D$367:$D$374,0),MATCH(tlScenarios!M$8,Data!$D$366:$M$366,0)),"")</f>
        <v/>
      </c>
      <c r="Q16" s="467" t="b">
        <v>0</v>
      </c>
      <c r="R16" s="467" t="s">
        <v>2146</v>
      </c>
    </row>
    <row r="17" spans="1:20" s="195" customFormat="1" ht="12.6" customHeight="1">
      <c r="C17" s="193"/>
      <c r="D17" s="194"/>
      <c r="E17" s="779"/>
      <c r="F17" s="194"/>
      <c r="G17" s="785"/>
      <c r="H17" s="792"/>
      <c r="I17" s="792"/>
      <c r="J17" s="792"/>
      <c r="K17" s="792"/>
      <c r="L17" s="792"/>
      <c r="M17" s="792"/>
    </row>
    <row r="18" spans="1:20" s="467" customFormat="1" ht="400.2" customHeight="1">
      <c r="C18" s="750" t="str">
        <f>Wobbler!D29</f>
        <v>Security Breach</v>
      </c>
      <c r="D18" s="751"/>
      <c r="E18" s="778" t="str">
        <f>IF(INDEX(cbalWobbler5,,xxIndexTeam)&lt;&gt;0,Wobbler!E29,"")</f>
        <v/>
      </c>
      <c r="F18" s="752"/>
      <c r="G18" s="784"/>
      <c r="H18" s="790" t="str">
        <f>IF(INDEX(cbalWobbler5,,xxIndexTeam)&lt;&gt;0,INDEX(dataCurveballImpactTable,MATCH(tlInputScenario5,Data!$D$367:$D$374,0),MATCH(tlScenarios!H$8,Data!$D$366:$M$366,0)),"")</f>
        <v/>
      </c>
      <c r="I18" s="790" t="str">
        <f>IF(INDEX(cbalWobbler5,,xxIndexTeam)&lt;&gt;0,INDEX(dataCurveballImpactTable,MATCH(tlInputScenario5,Data!$D$367:$D$374,0),MATCH(tlScenarios!I$8,Data!$D$366:$M$366,0)),"")</f>
        <v/>
      </c>
      <c r="J18" s="790" t="str">
        <f>IF(INDEX(cbalWobbler5,,xxIndexTeam)&lt;&gt;0,INDEX(dataCurveballImpactTable,MATCH(tlInputScenario5,Data!$D$367:$D$374,0),MATCH(tlScenarios!J$8,Data!$D$366:$M$366,0)),"")</f>
        <v/>
      </c>
      <c r="K18" s="790" t="str">
        <f>IF(INDEX(cbalWobbler5,,xxIndexTeam)&lt;&gt;0,INDEX(dataCurveballImpactTable,MATCH(tlInputScenario5,Data!$D$367:$D$374,0),MATCH(tlScenarios!K$8,Data!$D$366:$M$366,0)),"")</f>
        <v/>
      </c>
      <c r="L18" s="790" t="str">
        <f>IF(INDEX(cbalWobbler5,,xxIndexTeam)&lt;&gt;0,INDEX(dataCurveballImpactTable,MATCH(tlInputScenario5,Data!$D$367:$D$374,0),MATCH(tlScenarios!L$8,Data!$D$366:$M$366,0)),"")</f>
        <v/>
      </c>
      <c r="M18" s="790" t="str">
        <f>IF(INDEX(cbalWobbler5,,xxIndexTeam)&lt;&gt;0,INDEX(dataCurveballImpactTable,MATCH(tlInputScenario5,Data!$D$367:$D$374,0),MATCH(tlScenarios!M$8,Data!$D$366:$M$366,0)),"")</f>
        <v/>
      </c>
      <c r="Q18" s="467" t="b">
        <v>0</v>
      </c>
      <c r="R18" s="467" t="s">
        <v>2145</v>
      </c>
    </row>
    <row r="19" spans="1:20" s="115" customFormat="1" ht="12" customHeight="1">
      <c r="A19" s="114"/>
      <c r="B19" s="114"/>
      <c r="C19" s="114"/>
      <c r="D19" s="114"/>
      <c r="E19" s="780"/>
      <c r="F19" s="464"/>
      <c r="G19" s="786"/>
      <c r="H19" s="793"/>
      <c r="I19" s="793"/>
      <c r="J19" s="793"/>
      <c r="K19" s="793"/>
      <c r="L19" s="793"/>
      <c r="M19" s="794"/>
    </row>
    <row r="20" spans="1:20" s="467" customFormat="1" ht="400.2" customHeight="1">
      <c r="C20" s="750" t="str">
        <f>Wobbler!D30</f>
        <v>Executive Sponsor Change of Heart</v>
      </c>
      <c r="D20" s="751"/>
      <c r="E20" s="778" t="str">
        <f>IF(INDEX(cbalWobbler6,,xxIndexTeam)&lt;&gt;0,Wobbler!E30,"")</f>
        <v/>
      </c>
      <c r="F20" s="752"/>
      <c r="G20" s="784"/>
      <c r="H20" s="790" t="str">
        <f>IF(INDEX(cbalWobbler6,,xxIndexTeam)&lt;&gt;0,INDEX(dataCurveballImpactTable,MATCH(tlInputScenario6,Data!$D$367:$D$374,0),MATCH(tlScenarios!H$8,Data!$D$366:$M$366,0)),"")</f>
        <v/>
      </c>
      <c r="I20" s="790" t="str">
        <f>IF(INDEX(cbalWobbler6,,xxIndexTeam)&lt;&gt;0,INDEX(dataCurveballImpactTable,MATCH(tlInputScenario6,Data!$D$367:$D$374,0),MATCH(tlScenarios!I$8,Data!$D$366:$M$366,0)),"")</f>
        <v/>
      </c>
      <c r="J20" s="790" t="str">
        <f>IF(INDEX(cbalWobbler6,,xxIndexTeam)&lt;&gt;0,INDEX(dataCurveballImpactTable,MATCH(tlInputScenario6,Data!$D$367:$D$374,0),MATCH(tlScenarios!J$8,Data!$D$366:$M$366,0)),"")</f>
        <v/>
      </c>
      <c r="K20" s="790" t="str">
        <f>IF(INDEX(cbalWobbler6,,xxIndexTeam)&lt;&gt;0,INDEX(dataCurveballImpactTable,MATCH(tlInputScenario6,Data!$D$367:$D$374,0),MATCH(tlScenarios!K$8,Data!$D$366:$M$366,0)),"")</f>
        <v/>
      </c>
      <c r="L20" s="790" t="str">
        <f>IF(INDEX(cbalWobbler6,,xxIndexTeam)&lt;&gt;0,INDEX(dataCurveballImpactTable,MATCH(tlInputScenario6,Data!$D$367:$D$374,0),MATCH(tlScenarios!L$8,Data!$D$366:$M$366,0)),"")</f>
        <v/>
      </c>
      <c r="M20" s="790" t="str">
        <f>IF(INDEX(cbalWobbler6,,xxIndexTeam)&lt;&gt;0,INDEX(dataCurveballImpactTable,MATCH(tlInputScenario6,Data!$D$367:$D$374,0),MATCH(tlScenarios!M$8,Data!$D$366:$M$366,0)),"")</f>
        <v/>
      </c>
      <c r="Q20" s="467" t="b">
        <v>0</v>
      </c>
      <c r="R20" s="467" t="s">
        <v>2144</v>
      </c>
    </row>
    <row r="21" spans="1:20" s="115" customFormat="1" ht="12" customHeight="1">
      <c r="A21" s="114"/>
      <c r="B21" s="114"/>
      <c r="C21" s="114"/>
      <c r="D21" s="114"/>
      <c r="E21" s="780"/>
      <c r="F21" s="464"/>
      <c r="G21" s="786"/>
      <c r="H21" s="793"/>
      <c r="I21" s="793"/>
      <c r="J21" s="793"/>
      <c r="K21" s="793"/>
      <c r="L21" s="793"/>
      <c r="M21" s="794"/>
    </row>
    <row r="22" spans="1:20" s="467" customFormat="1" ht="400.2" customHeight="1">
      <c r="C22" s="941" t="str">
        <f>Wobbler!D31</f>
        <v>Acquired CEO Goes Rogue</v>
      </c>
      <c r="D22" s="942"/>
      <c r="E22" s="943" t="str">
        <f>IF(INDEX(cbalWobbler7,,xxIndexTeam)&lt;&gt;0,Wobbler!E31,"")</f>
        <v/>
      </c>
      <c r="F22" s="944"/>
      <c r="G22" s="945"/>
      <c r="H22" s="946" t="str">
        <f>IF(INDEX(cbalWobbler7,,xxIndexTeam)&lt;&gt;0,INDEX(dataCurveballImpactTable,MATCH(tlInputScenario7,Data!$D$367:$D$374,0),MATCH(tlScenarios!H$8,Data!$D$366:$M$366,0)),"")</f>
        <v/>
      </c>
      <c r="I22" s="946" t="str">
        <f>IF(INDEX(cbalWobbler7,,xxIndexTeam)&lt;&gt;0,INDEX(dataCurveballImpactTable,MATCH(tlInputScenario7,Data!$D$367:$D$374,0),MATCH(tlScenarios!I$8,Data!$D$366:$M$366,0)),"")</f>
        <v/>
      </c>
      <c r="J22" s="946" t="str">
        <f>IF(INDEX(cbalWobbler7,,xxIndexTeam)&lt;&gt;0,INDEX(dataCurveballImpactTable,MATCH(tlInputScenario7,Data!$D$367:$D$374,0),MATCH(tlScenarios!J$8,Data!$D$366:$M$366,0)),"")</f>
        <v/>
      </c>
      <c r="K22" s="946" t="str">
        <f>IF(INDEX(cbalWobbler7,,xxIndexTeam)&lt;&gt;0,INDEX(dataCurveballImpactTable,MATCH(tlInputScenario7,Data!$D$367:$D$374,0),MATCH(tlScenarios!K$8,Data!$D$366:$M$366,0)),"")</f>
        <v/>
      </c>
      <c r="L22" s="946" t="str">
        <f>IF(INDEX(cbalWobbler7,,xxIndexTeam)&lt;&gt;0,INDEX(dataCurveballImpactTable,MATCH(tlInputScenario7,Data!$D$367:$D$374,0),MATCH(tlScenarios!L$8,Data!$D$366:$M$366,0)),"")</f>
        <v/>
      </c>
      <c r="M22" s="946" t="str">
        <f>IF(INDEX(cbalWobbler7,,xxIndexTeam)&lt;&gt;0,INDEX(dataCurveballImpactTable,MATCH(tlInputScenario7,Data!$D$367:$D$374,0),MATCH(tlScenarios!M$8,Data!$D$366:$M$366,0)),"")</f>
        <v/>
      </c>
      <c r="Q22" s="467" t="b">
        <v>0</v>
      </c>
      <c r="R22" s="467" t="s">
        <v>2143</v>
      </c>
    </row>
    <row r="23" spans="1:20" s="115" customFormat="1" ht="12" customHeight="1">
      <c r="A23" s="114"/>
      <c r="B23" s="114"/>
      <c r="C23" s="114"/>
      <c r="D23" s="114"/>
      <c r="E23" s="780"/>
      <c r="F23" s="464"/>
      <c r="G23" s="786"/>
      <c r="H23" s="793"/>
      <c r="I23" s="793"/>
      <c r="J23" s="793"/>
      <c r="K23" s="793"/>
      <c r="L23" s="793"/>
      <c r="M23" s="794"/>
      <c r="T23" s="115" t="b">
        <v>1</v>
      </c>
    </row>
    <row r="24" spans="1:20" s="467" customFormat="1" ht="400.2" customHeight="1">
      <c r="C24" s="750" t="str">
        <f>Wobbler!D32</f>
        <v>Employee Experience Disruption</v>
      </c>
      <c r="D24" s="751"/>
      <c r="E24" s="778" t="str">
        <f>IF(INDEX(cbalWobbler8,,xxIndexTeam)&lt;&gt;0,Wobbler!E32,"")</f>
        <v/>
      </c>
      <c r="F24" s="752"/>
      <c r="G24" s="784"/>
      <c r="H24" s="790" t="str">
        <f>IF(INDEX(cbalWobbler8,,xxIndexTeam)&lt;&gt;0,INDEX(dataCurveballImpactTable,MATCH(tlInputScenario8,Data!$D$367:$D$374,0),MATCH(tlScenarios!H$8,Data!$D$366:$M$366,0)),"")</f>
        <v/>
      </c>
      <c r="I24" s="790" t="str">
        <f>IF(INDEX(cbalWobbler8,,xxIndexTeam)&lt;&gt;0,INDEX(dataCurveballImpactTable,MATCH(tlInputScenario8,Data!$D$367:$D$374,0),MATCH(tlScenarios!I$8,Data!$D$366:$M$366,0)),"")</f>
        <v/>
      </c>
      <c r="J24" s="790" t="str">
        <f>IF(INDEX(cbalWobbler8,,xxIndexTeam)&lt;&gt;0,INDEX(dataCurveballImpactTable,MATCH(tlInputScenario8,Data!$D$367:$D$374,0),MATCH(tlScenarios!J$8,Data!$D$366:$M$366,0)),"")</f>
        <v/>
      </c>
      <c r="K24" s="790" t="str">
        <f>IF(INDEX(cbalWobbler8,,xxIndexTeam)&lt;&gt;0,INDEX(dataCurveballImpactTable,MATCH(tlInputScenario8,Data!$D$367:$D$374,0),MATCH(tlScenarios!K$8,Data!$D$366:$M$366,0)),"")</f>
        <v/>
      </c>
      <c r="L24" s="790" t="str">
        <f>IF(INDEX(cbalWobbler8,,xxIndexTeam)&lt;&gt;0,INDEX(dataCurveballImpactTable,MATCH(tlInputScenario8,Data!$D$367:$D$374,0),MATCH(tlScenarios!L$8,Data!$D$366:$M$366,0)),"")</f>
        <v/>
      </c>
      <c r="M24" s="790" t="str">
        <f>IF(INDEX(cbalWobbler8,,xxIndexTeam)&lt;&gt;0,INDEX(dataCurveballImpactTable,MATCH(tlInputScenario8,Data!$D$367:$D$374,0),MATCH(tlScenarios!M$8,Data!$D$366:$M$366,0)),"")</f>
        <v/>
      </c>
      <c r="Q24" s="467" t="b">
        <v>0</v>
      </c>
      <c r="R24" s="467" t="s">
        <v>2142</v>
      </c>
      <c r="T24" s="467" t="b">
        <v>1</v>
      </c>
    </row>
    <row r="25" spans="1:20" s="207" customFormat="1" ht="21.9" customHeight="1">
      <c r="A25" s="197"/>
      <c r="B25" s="197"/>
      <c r="C25" s="211"/>
      <c r="D25" s="197"/>
      <c r="E25" s="705"/>
      <c r="F25" s="465"/>
      <c r="G25" s="786"/>
      <c r="H25" s="793"/>
      <c r="I25" s="794"/>
      <c r="J25" s="794"/>
      <c r="K25" s="794"/>
      <c r="L25" s="794"/>
      <c r="M25" s="794"/>
    </row>
    <row r="26" spans="1:20" s="414" customFormat="1" ht="21.9" customHeight="1">
      <c r="A26" s="412"/>
      <c r="B26" s="412"/>
      <c r="C26" s="413"/>
      <c r="D26" s="412"/>
      <c r="E26" s="706"/>
      <c r="F26" s="466"/>
      <c r="G26" s="449"/>
      <c r="H26" s="448"/>
      <c r="I26" s="412"/>
      <c r="J26" s="412"/>
      <c r="K26" s="412"/>
      <c r="L26" s="412"/>
      <c r="M26" s="197"/>
      <c r="T26" s="414" t="s">
        <v>155</v>
      </c>
    </row>
    <row r="27" spans="1:20" s="115" customFormat="1" ht="21.9" customHeight="1">
      <c r="A27" s="114"/>
      <c r="B27" s="114"/>
      <c r="C27" s="197"/>
      <c r="D27" s="114"/>
      <c r="E27" s="707"/>
      <c r="F27" s="464"/>
      <c r="G27" s="424"/>
      <c r="H27" s="424"/>
      <c r="I27" s="114"/>
      <c r="J27" s="114"/>
      <c r="K27" s="114"/>
      <c r="L27" s="114"/>
      <c r="M27" s="197"/>
    </row>
    <row r="28" spans="1:20" s="115" customFormat="1" ht="21.9" customHeight="1">
      <c r="A28" s="114"/>
      <c r="B28" s="114"/>
      <c r="C28" s="208"/>
      <c r="D28" s="114"/>
      <c r="E28" s="707"/>
      <c r="F28" s="464"/>
      <c r="G28" s="424"/>
      <c r="H28" s="424"/>
      <c r="I28" s="114"/>
      <c r="J28" s="114"/>
      <c r="K28" s="114"/>
      <c r="L28" s="114"/>
      <c r="M28" s="197"/>
    </row>
    <row r="29" spans="1:20" s="115" customFormat="1" ht="21.9" customHeight="1">
      <c r="A29" s="114"/>
      <c r="B29" s="114"/>
      <c r="C29" s="208"/>
      <c r="D29" s="114"/>
      <c r="E29" s="707"/>
      <c r="F29" s="464"/>
      <c r="G29" s="424"/>
      <c r="H29" s="424"/>
      <c r="I29" s="114"/>
      <c r="J29" s="114"/>
      <c r="K29" s="114"/>
      <c r="L29" s="114"/>
      <c r="M29" s="197"/>
    </row>
    <row r="30" spans="1:20" s="115" customFormat="1" ht="21.9" customHeight="1">
      <c r="A30" s="114"/>
      <c r="B30" s="114"/>
      <c r="C30" s="208"/>
      <c r="D30" s="114"/>
      <c r="E30" s="708"/>
      <c r="F30" s="464"/>
      <c r="G30" s="424"/>
      <c r="H30" s="424"/>
      <c r="I30" s="114"/>
      <c r="J30" s="114"/>
      <c r="K30" s="114"/>
      <c r="L30" s="114"/>
      <c r="M30" s="197"/>
    </row>
    <row r="31" spans="1:20" s="207" customFormat="1" ht="21.9" customHeight="1">
      <c r="A31" s="197"/>
      <c r="B31" s="197"/>
      <c r="C31" s="210"/>
      <c r="D31" s="197"/>
      <c r="E31" s="709"/>
      <c r="F31" s="465"/>
      <c r="G31" s="424"/>
      <c r="H31" s="424"/>
      <c r="I31" s="197"/>
      <c r="J31" s="197"/>
      <c r="K31" s="197"/>
      <c r="L31" s="197"/>
      <c r="M31" s="197"/>
    </row>
    <row r="32" spans="1:20" s="115" customFormat="1" ht="10.199999999999999" customHeight="1">
      <c r="A32" s="114"/>
      <c r="B32" s="114"/>
      <c r="C32" s="208"/>
      <c r="D32" s="114"/>
      <c r="E32" s="707"/>
      <c r="F32" s="464"/>
      <c r="G32" s="424"/>
      <c r="H32" s="424"/>
      <c r="I32" s="114"/>
      <c r="J32" s="114"/>
      <c r="K32" s="114"/>
      <c r="L32" s="114"/>
      <c r="M32" s="197"/>
    </row>
    <row r="33" spans="1:13" s="207" customFormat="1" ht="21.9" customHeight="1">
      <c r="A33" s="197"/>
      <c r="B33" s="197"/>
      <c r="C33" s="210"/>
      <c r="D33" s="197"/>
      <c r="E33" s="709"/>
      <c r="F33" s="465"/>
      <c r="G33" s="424"/>
      <c r="H33" s="424"/>
      <c r="I33" s="197"/>
      <c r="J33" s="197"/>
      <c r="K33" s="197"/>
      <c r="L33" s="197"/>
      <c r="M33" s="197"/>
    </row>
    <row r="34" spans="1:13" s="115" customFormat="1" ht="21.9" customHeight="1">
      <c r="A34" s="114"/>
      <c r="B34" s="114"/>
      <c r="C34" s="208"/>
      <c r="D34" s="114"/>
      <c r="E34" s="710"/>
      <c r="F34" s="466"/>
      <c r="G34" s="449"/>
      <c r="H34" s="448"/>
      <c r="I34" s="114"/>
      <c r="J34" s="114"/>
      <c r="K34" s="114"/>
      <c r="L34" s="114"/>
      <c r="M34" s="197"/>
    </row>
    <row r="35" spans="1:13" s="114" customFormat="1">
      <c r="E35" s="703"/>
    </row>
    <row r="36" spans="1:13" s="114" customFormat="1">
      <c r="E36" s="703"/>
    </row>
    <row r="37" spans="1:13" s="114" customFormat="1">
      <c r="E37" s="703"/>
    </row>
    <row r="38" spans="1:13" s="114" customFormat="1">
      <c r="E38" s="703"/>
    </row>
    <row r="39" spans="1:13" s="114" customFormat="1">
      <c r="E39" s="703"/>
    </row>
    <row r="40" spans="1:13" s="114" customFormat="1">
      <c r="E40" s="703"/>
    </row>
    <row r="41" spans="1:13" s="114" customFormat="1">
      <c r="E41" s="703"/>
    </row>
    <row r="42" spans="1:13" s="114" customFormat="1">
      <c r="E42" s="703"/>
    </row>
    <row r="43" spans="1:13" s="114" customFormat="1">
      <c r="E43" s="703"/>
    </row>
    <row r="44" spans="1:13" s="114" customFormat="1">
      <c r="E44" s="703"/>
    </row>
    <row r="45" spans="1:13" s="114" customFormat="1">
      <c r="E45" s="703"/>
    </row>
    <row r="46" spans="1:13" s="114" customFormat="1">
      <c r="E46" s="703"/>
    </row>
    <row r="47" spans="1:13" s="114" customFormat="1">
      <c r="E47" s="703"/>
    </row>
  </sheetData>
  <sheetProtection selectLockedCells="1"/>
  <mergeCells count="1">
    <mergeCell ref="G6:M6"/>
  </mergeCells>
  <conditionalFormatting sqref="G19:H19 G25:H34">
    <cfRule type="expression" dxfId="87" priority="19">
      <formula>G19&lt;W19</formula>
    </cfRule>
    <cfRule type="expression" dxfId="86" priority="20">
      <formula>G19&gt;W19</formula>
    </cfRule>
  </conditionalFormatting>
  <conditionalFormatting sqref="G21:H21">
    <cfRule type="expression" dxfId="85" priority="13">
      <formula>G21&lt;W21</formula>
    </cfRule>
    <cfRule type="expression" dxfId="84" priority="14">
      <formula>G21&gt;W21</formula>
    </cfRule>
  </conditionalFormatting>
  <conditionalFormatting sqref="G23:H23">
    <cfRule type="expression" dxfId="83" priority="11">
      <formula>G23&lt;W23</formula>
    </cfRule>
    <cfRule type="expression" dxfId="82" priority="12">
      <formula>G23&gt;W23</formula>
    </cfRule>
  </conditionalFormatting>
  <conditionalFormatting sqref="H10:M10">
    <cfRule type="expression" dxfId="81" priority="10">
      <formula>H10=0</formula>
    </cfRule>
  </conditionalFormatting>
  <conditionalFormatting sqref="H12:M12">
    <cfRule type="expression" dxfId="80" priority="9">
      <formula>H12=0</formula>
    </cfRule>
  </conditionalFormatting>
  <conditionalFormatting sqref="H16:M16">
    <cfRule type="expression" dxfId="79" priority="7">
      <formula>H16=0</formula>
    </cfRule>
  </conditionalFormatting>
  <conditionalFormatting sqref="H18:M18">
    <cfRule type="expression" dxfId="78" priority="6">
      <formula>H18=0</formula>
    </cfRule>
  </conditionalFormatting>
  <conditionalFormatting sqref="H20:M20">
    <cfRule type="expression" dxfId="77" priority="5">
      <formula>H20=0</formula>
    </cfRule>
  </conditionalFormatting>
  <conditionalFormatting sqref="H24:M24">
    <cfRule type="expression" dxfId="76" priority="3">
      <formula>H24=0</formula>
    </cfRule>
  </conditionalFormatting>
  <conditionalFormatting sqref="H14:M14">
    <cfRule type="expression" dxfId="75" priority="2">
      <formula>H14=0</formula>
    </cfRule>
  </conditionalFormatting>
  <conditionalFormatting sqref="H22:M22">
    <cfRule type="expression" dxfId="74" priority="1">
      <formula>H22=0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26"/>
  <sheetViews>
    <sheetView topLeftCell="A10" workbookViewId="0">
      <selection activeCell="F19" sqref="F19"/>
    </sheetView>
  </sheetViews>
  <sheetFormatPr defaultRowHeight="13.8"/>
  <cols>
    <col min="3" max="3" width="10.81640625" bestFit="1" customWidth="1"/>
  </cols>
  <sheetData>
    <row r="1" spans="1:5">
      <c r="A1" s="65" t="s">
        <v>1152</v>
      </c>
      <c r="C1" s="65" t="s">
        <v>3059</v>
      </c>
      <c r="D1" t="s">
        <v>2193</v>
      </c>
      <c r="E1" t="s">
        <v>2194</v>
      </c>
    </row>
    <row r="2" spans="1:5">
      <c r="A2" t="s">
        <v>1647</v>
      </c>
      <c r="C2" s="617">
        <f>INDEX(obalIntegrationBudget,1,xxIndexTeam)+INDEX(obalIntegrationBudgetY2,1,xxIndexTeam)</f>
        <v>35000000</v>
      </c>
    </row>
    <row r="3" spans="1:5">
      <c r="A3" t="s">
        <v>402</v>
      </c>
      <c r="B3" s="443">
        <f t="shared" ref="B3:B9" si="0">C3/$C$2</f>
        <v>0</v>
      </c>
      <c r="C3" s="617">
        <f>D3+E3</f>
        <v>0</v>
      </c>
      <c r="D3" s="617">
        <f>INDEX(calcIntCostStack,1,xxIndexTeam)</f>
        <v>0</v>
      </c>
      <c r="E3" s="617">
        <f>INDEX(calcIntCostStackY2,1,xxIndexTeam)</f>
        <v>0</v>
      </c>
    </row>
    <row r="4" spans="1:5">
      <c r="A4" t="s">
        <v>1034</v>
      </c>
      <c r="B4" s="443">
        <f t="shared" si="0"/>
        <v>0</v>
      </c>
      <c r="C4" s="617">
        <f t="shared" ref="C4:C9" si="1">D4+E4</f>
        <v>0</v>
      </c>
      <c r="D4" s="617">
        <f>INDEX(calcIntCostOrg62,1,xxIndexTeam)+INDEX(calcIntCostExternalSales,1,xxIndexTeam)+INDEX(calcIntCostCSG,1,xxIndexTeam)+INDEX(calcIntCostLeadPass,1,xxIndexTeam)+INDEX(calcIntCostBrandInt,,xxIndexTeam)</f>
        <v>0</v>
      </c>
      <c r="E4" s="617">
        <f>INDEX(calcIntCostOrg62Y2,1,xxIndexTeam)+INDEX(calcIntCostExternalSalesY2,1,xxIndexTeam)+INDEX(calcIntCostCSGY2,1,xxIndexTeam)+INDEX(calcIntCostLeadPassY2,1,xxIndexTeam)+INDEX(calcIntCostBrandIntY2,,xxIndexTeam)</f>
        <v>0</v>
      </c>
    </row>
    <row r="5" spans="1:5">
      <c r="A5" t="s">
        <v>400</v>
      </c>
      <c r="B5" s="443">
        <f t="shared" si="0"/>
        <v>0</v>
      </c>
      <c r="C5" s="617">
        <f t="shared" si="1"/>
        <v>0</v>
      </c>
      <c r="D5" s="617">
        <f>INDEX(calcIntCostHarm,1,xxIndexTeam)</f>
        <v>0</v>
      </c>
      <c r="E5" s="617">
        <f>INDEX(calcIntCostHarmY2,1,xxIndexTeam)</f>
        <v>0</v>
      </c>
    </row>
    <row r="6" spans="1:5">
      <c r="A6" t="s">
        <v>1251</v>
      </c>
      <c r="B6" s="443">
        <f t="shared" si="0"/>
        <v>0</v>
      </c>
      <c r="C6" s="617">
        <f t="shared" si="1"/>
        <v>0</v>
      </c>
      <c r="D6" s="617">
        <f>INDEX(calcIntCostEmpIntegration,1,xxIndexTeam)+INDEX(calcIntCostRealEstate,1,xxIndexTeam)+INDEX(calcIntCostSiteInfra,1,xxIndexTeam)</f>
        <v>0</v>
      </c>
      <c r="E6" s="617">
        <f>INDEX(calcIntCostEmpIntegrationY2,1,xxIndexTeam)+INDEX(calcIntCostRealEstateY2,1,xxIndexTeam)+INDEX(calcIntCostSiteInfraY2,1,xxIndexTeam)</f>
        <v>0</v>
      </c>
    </row>
    <row r="7" spans="1:5">
      <c r="A7" t="s">
        <v>1153</v>
      </c>
      <c r="B7" s="443">
        <f t="shared" si="0"/>
        <v>0</v>
      </c>
      <c r="C7" s="617">
        <f t="shared" si="1"/>
        <v>0</v>
      </c>
      <c r="D7" s="617">
        <f>INDEX(calcIntCostRiskMit,1,xxIndexTeam)</f>
        <v>0</v>
      </c>
      <c r="E7" s="617">
        <f>INDEX(calcIntCostRiskMitY2,1,xxIndexTeam)</f>
        <v>0</v>
      </c>
    </row>
    <row r="8" spans="1:5">
      <c r="A8" t="s">
        <v>2195</v>
      </c>
      <c r="B8" s="443"/>
      <c r="C8" s="617">
        <f t="shared" si="1"/>
        <v>0</v>
      </c>
      <c r="D8" s="617">
        <f>-INDEX(calcIntCostEvents,1,xxIndexTeam)</f>
        <v>0</v>
      </c>
      <c r="E8" s="617">
        <f>-INDEX(calcIntCostEventsY2,1,xxIndexTeam)</f>
        <v>0</v>
      </c>
    </row>
    <row r="9" spans="1:5">
      <c r="A9" t="s">
        <v>1646</v>
      </c>
      <c r="B9" s="443">
        <f t="shared" si="0"/>
        <v>1</v>
      </c>
      <c r="C9" s="617">
        <f t="shared" si="1"/>
        <v>35000000</v>
      </c>
      <c r="D9" s="617">
        <f>tlOutputDashY1Budget</f>
        <v>25000000</v>
      </c>
      <c r="E9" s="617">
        <f>tlOutputDashY2Budget</f>
        <v>10000000</v>
      </c>
    </row>
    <row r="10" spans="1:5">
      <c r="B10" s="443"/>
      <c r="C10" s="617"/>
    </row>
    <row r="11" spans="1:5">
      <c r="B11" s="443"/>
      <c r="C11" s="617"/>
    </row>
    <row r="12" spans="1:5">
      <c r="B12" s="443"/>
      <c r="C12" s="617"/>
    </row>
    <row r="13" spans="1:5">
      <c r="B13" s="443"/>
      <c r="C13" s="617"/>
    </row>
    <row r="14" spans="1:5">
      <c r="A14" s="65" t="s">
        <v>470</v>
      </c>
      <c r="B14" s="65"/>
    </row>
    <row r="15" spans="1:5">
      <c r="A15" t="s">
        <v>1281</v>
      </c>
      <c r="B15" s="665">
        <f>INDEX(obalESAT,1,xxIndexTeam)</f>
        <v>50</v>
      </c>
    </row>
    <row r="16" spans="1:5">
      <c r="A16" t="s">
        <v>138</v>
      </c>
      <c r="B16" s="665">
        <f>INDEX(cbalESAT,1,xxIndexTeam)</f>
        <v>50</v>
      </c>
    </row>
    <row r="17" spans="1:8" s="65" customFormat="1">
      <c r="G17" s="65" t="s">
        <v>974</v>
      </c>
      <c r="H17" s="65" t="s">
        <v>2196</v>
      </c>
    </row>
    <row r="18" spans="1:8">
      <c r="B18" s="65" t="s">
        <v>974</v>
      </c>
      <c r="C18" t="s">
        <v>974</v>
      </c>
      <c r="G18" t="s">
        <v>1665</v>
      </c>
      <c r="H18">
        <v>24</v>
      </c>
    </row>
    <row r="19" spans="1:8">
      <c r="A19" t="s">
        <v>467</v>
      </c>
      <c r="B19" t="str">
        <f>INDEX(decPeopleTimeline,1,xxIndexTeam)</f>
        <v>Choose</v>
      </c>
      <c r="C19">
        <f>INDEX(tlInputTimeValues,MATCH(tlOutputTimelineGraphPeople,tlInputTimeOptions,0),1)</f>
        <v>24</v>
      </c>
      <c r="G19" t="s">
        <v>899</v>
      </c>
      <c r="H19">
        <v>3</v>
      </c>
    </row>
    <row r="20" spans="1:8">
      <c r="A20" t="s">
        <v>401</v>
      </c>
      <c r="B20" t="str">
        <f>INDEX(decITTimeline,1,xxIndexTeam)</f>
        <v>Choose</v>
      </c>
      <c r="C20">
        <f>INDEX(tlInputTimeValues,MATCH(tlOutputTimelineGraphIT,tlInputTimeOptions,0),1)</f>
        <v>24</v>
      </c>
      <c r="G20" t="s">
        <v>900</v>
      </c>
      <c r="H20">
        <v>6</v>
      </c>
    </row>
    <row r="21" spans="1:8">
      <c r="A21" t="s">
        <v>1952</v>
      </c>
      <c r="B21" t="str">
        <f>INDEX(decSecurityTimeline,1,xxIndexTeam)</f>
        <v>Choose</v>
      </c>
      <c r="C21">
        <f>INDEX(tlInputTimeValues,MATCH(tlOutputTimelineGraphSecurity,tlInputTimeOptions,0),1)</f>
        <v>24</v>
      </c>
      <c r="G21" t="s">
        <v>901</v>
      </c>
      <c r="H21">
        <v>9</v>
      </c>
    </row>
    <row r="22" spans="1:8">
      <c r="A22" t="s">
        <v>1034</v>
      </c>
      <c r="B22" t="str">
        <f>INDEX(decGTMOrg62Timeline,1,xxIndexTeam)</f>
        <v>Choose</v>
      </c>
      <c r="C22">
        <f>INDEX(tlInputTimeValues,MATCH(tlOutputTimelineGraphGTM,tlInputTimeOptions,0),1)</f>
        <v>24</v>
      </c>
      <c r="G22" t="s">
        <v>902</v>
      </c>
      <c r="H22">
        <v>12</v>
      </c>
    </row>
    <row r="23" spans="1:8">
      <c r="A23" t="s">
        <v>402</v>
      </c>
      <c r="B23" t="str">
        <f>INDEX(decProductTimeline,1,xxIndexTeam)</f>
        <v>Choose</v>
      </c>
      <c r="C23">
        <f>INDEX(tlInputTimeValues,MATCH(tlOutputTimelineGraphProduct,tlInputTimeOptions,0),1)</f>
        <v>24</v>
      </c>
      <c r="G23" t="s">
        <v>1284</v>
      </c>
      <c r="H23">
        <v>15</v>
      </c>
    </row>
    <row r="24" spans="1:8">
      <c r="A24" t="s">
        <v>2012</v>
      </c>
      <c r="B24">
        <f>INDEX(calcExternalSalesTimeline,1,xxIndexTeam)</f>
        <v>27</v>
      </c>
      <c r="C24">
        <f>tlOutputTimelineGraphExternalSales</f>
        <v>27</v>
      </c>
      <c r="G24" s="65" t="s">
        <v>3896</v>
      </c>
      <c r="H24" s="65" t="s">
        <v>3897</v>
      </c>
    </row>
    <row r="25" spans="1:8">
      <c r="A25" t="s">
        <v>2282</v>
      </c>
      <c r="B25">
        <f>INDEX(calcCSGTimeline,1,xxIndexTeam)</f>
        <v>27</v>
      </c>
      <c r="C25">
        <f>tlOutputTimelineGraphCSG</f>
        <v>27</v>
      </c>
    </row>
    <row r="26" spans="1:8">
      <c r="A26" t="s">
        <v>3079</v>
      </c>
      <c r="B26">
        <f>INDEX(calcBrandIntegrationTimeline,1,xxIndexTeam)</f>
        <v>27</v>
      </c>
      <c r="C26">
        <f>tlOutputTimelineGraphBrand</f>
        <v>27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L32"/>
  <sheetViews>
    <sheetView workbookViewId="0">
      <selection activeCell="F10" sqref="F10"/>
    </sheetView>
  </sheetViews>
  <sheetFormatPr defaultRowHeight="13.8"/>
  <cols>
    <col min="1" max="1" width="4.7265625" style="10" customWidth="1"/>
    <col min="2" max="2" width="4.7265625" style="11" customWidth="1"/>
    <col min="3" max="3" width="20.36328125" style="10" customWidth="1"/>
    <col min="4" max="4" width="30" style="10" customWidth="1"/>
    <col min="5" max="5" width="3.36328125" style="10" customWidth="1"/>
    <col min="6" max="6" width="30" style="10" customWidth="1"/>
    <col min="7" max="7" width="3.36328125" style="10" customWidth="1"/>
    <col min="8" max="8" width="30" style="10" customWidth="1"/>
    <col min="9" max="9" width="3.36328125" style="10" customWidth="1"/>
    <col min="10" max="10" width="30" style="10" customWidth="1"/>
    <col min="11" max="11" width="19.81640625" style="10" customWidth="1"/>
    <col min="12" max="12" width="40.08984375" style="10" customWidth="1"/>
  </cols>
  <sheetData>
    <row r="1" spans="1:12" s="18" customFormat="1" ht="28.2">
      <c r="A1" s="680" t="s">
        <v>2161</v>
      </c>
      <c r="B1" s="14"/>
      <c r="C1" s="15"/>
      <c r="D1" s="15"/>
      <c r="E1" s="15"/>
      <c r="F1" s="15"/>
      <c r="G1" s="15"/>
      <c r="H1" s="15"/>
      <c r="I1" s="15"/>
      <c r="J1" s="15"/>
      <c r="K1" s="15"/>
      <c r="L1" s="15"/>
    </row>
    <row r="2" spans="1:12" ht="13.2" customHeight="1"/>
    <row r="3" spans="1:12" s="683" customFormat="1">
      <c r="A3" s="681" t="s">
        <v>2161</v>
      </c>
      <c r="B3" s="681"/>
      <c r="C3" s="682"/>
      <c r="E3" s="682"/>
      <c r="F3" s="682"/>
      <c r="G3" s="682"/>
      <c r="H3" s="682"/>
      <c r="I3" s="682"/>
      <c r="J3" s="682"/>
      <c r="K3" s="682"/>
      <c r="L3" s="682"/>
    </row>
    <row r="4" spans="1:12" s="685" customFormat="1">
      <c r="A4" s="684"/>
      <c r="B4" s="684"/>
      <c r="C4" s="539"/>
      <c r="E4" s="539"/>
      <c r="F4" s="539"/>
      <c r="G4" s="539"/>
      <c r="H4" s="539"/>
      <c r="I4" s="539"/>
      <c r="J4" s="539"/>
      <c r="K4" s="539"/>
      <c r="L4" s="539"/>
    </row>
    <row r="5" spans="1:12" s="685" customFormat="1">
      <c r="A5" s="684"/>
      <c r="B5" s="684"/>
      <c r="C5" s="539"/>
      <c r="E5" s="539"/>
      <c r="F5" s="10"/>
      <c r="G5" s="539"/>
      <c r="H5" s="539"/>
      <c r="I5" s="539"/>
      <c r="J5" s="539"/>
      <c r="K5" s="539"/>
      <c r="L5" s="539"/>
    </row>
    <row r="6" spans="1:12" s="685" customFormat="1">
      <c r="A6" s="684"/>
      <c r="B6" s="684"/>
      <c r="C6" s="539"/>
      <c r="E6" s="539"/>
      <c r="F6" s="10"/>
      <c r="G6" s="539"/>
      <c r="H6" s="539"/>
      <c r="I6" s="539"/>
      <c r="J6" s="539"/>
      <c r="K6" s="539"/>
      <c r="L6" s="539"/>
    </row>
    <row r="7" spans="1:12" s="685" customFormat="1" ht="14.4" thickBot="1">
      <c r="A7" s="684"/>
      <c r="B7" s="684"/>
      <c r="C7" s="539"/>
      <c r="E7" s="539"/>
      <c r="F7" s="539"/>
      <c r="G7" s="539"/>
      <c r="H7" s="539"/>
      <c r="I7" s="539"/>
      <c r="J7" s="539"/>
      <c r="K7" s="539"/>
      <c r="L7" s="539"/>
    </row>
    <row r="8" spans="1:12">
      <c r="C8" s="686" t="s">
        <v>2162</v>
      </c>
      <c r="D8" s="687" t="s">
        <v>2163</v>
      </c>
      <c r="E8" s="687"/>
      <c r="F8" s="687" t="s">
        <v>2164</v>
      </c>
      <c r="G8" s="687"/>
      <c r="H8" s="688" t="s">
        <v>2165</v>
      </c>
    </row>
    <row r="9" spans="1:12">
      <c r="C9" s="689" t="s">
        <v>2163</v>
      </c>
      <c r="D9" s="690" t="s">
        <v>3665</v>
      </c>
      <c r="E9" s="684" t="s">
        <v>2166</v>
      </c>
      <c r="F9" s="690" t="b">
        <f t="shared" ref="F9:F27" si="0">xxDecisionsSubmit=FALSE</f>
        <v>1</v>
      </c>
      <c r="G9" s="539"/>
      <c r="H9" s="691" t="s">
        <v>2174</v>
      </c>
    </row>
    <row r="10" spans="1:12">
      <c r="C10" s="689" t="s">
        <v>2163</v>
      </c>
      <c r="D10" s="690" t="s">
        <v>3666</v>
      </c>
      <c r="E10" s="539"/>
      <c r="F10" s="690" t="b">
        <f t="shared" si="0"/>
        <v>1</v>
      </c>
      <c r="G10" s="539"/>
      <c r="H10" s="691" t="s">
        <v>2174</v>
      </c>
    </row>
    <row r="11" spans="1:12">
      <c r="C11" s="689" t="s">
        <v>2163</v>
      </c>
      <c r="D11" s="690" t="s">
        <v>3667</v>
      </c>
      <c r="E11" s="539"/>
      <c r="F11" s="690" t="b">
        <f t="shared" si="0"/>
        <v>1</v>
      </c>
      <c r="G11" s="539"/>
      <c r="H11" s="691" t="s">
        <v>2174</v>
      </c>
    </row>
    <row r="12" spans="1:12">
      <c r="C12" s="689" t="s">
        <v>2163</v>
      </c>
      <c r="D12" s="690" t="s">
        <v>3668</v>
      </c>
      <c r="E12" s="539"/>
      <c r="F12" s="690" t="b">
        <f t="shared" si="0"/>
        <v>1</v>
      </c>
      <c r="G12" s="539"/>
      <c r="H12" s="691" t="s">
        <v>2173</v>
      </c>
    </row>
    <row r="13" spans="1:12">
      <c r="C13" s="689" t="s">
        <v>2163</v>
      </c>
      <c r="D13" s="690" t="s">
        <v>3669</v>
      </c>
      <c r="E13" s="539"/>
      <c r="F13" s="690" t="b">
        <f t="shared" si="0"/>
        <v>1</v>
      </c>
      <c r="G13" s="539"/>
      <c r="H13" s="691" t="s">
        <v>2173</v>
      </c>
    </row>
    <row r="14" spans="1:12">
      <c r="C14" s="689" t="s">
        <v>2163</v>
      </c>
      <c r="D14" s="690" t="s">
        <v>3670</v>
      </c>
      <c r="E14" s="539"/>
      <c r="F14" s="690" t="b">
        <f t="shared" si="0"/>
        <v>1</v>
      </c>
      <c r="G14" s="539"/>
      <c r="H14" s="691" t="s">
        <v>2173</v>
      </c>
    </row>
    <row r="15" spans="1:12">
      <c r="C15" s="689" t="s">
        <v>2163</v>
      </c>
      <c r="D15" s="690" t="s">
        <v>3671</v>
      </c>
      <c r="E15" s="539"/>
      <c r="F15" s="690" t="b">
        <f t="shared" si="0"/>
        <v>1</v>
      </c>
      <c r="G15" s="539"/>
      <c r="H15" s="691" t="s">
        <v>2173</v>
      </c>
    </row>
    <row r="16" spans="1:12">
      <c r="C16" s="689" t="s">
        <v>2163</v>
      </c>
      <c r="D16" s="690" t="s">
        <v>3672</v>
      </c>
      <c r="E16" s="539"/>
      <c r="F16" s="690" t="b">
        <f t="shared" si="0"/>
        <v>1</v>
      </c>
      <c r="G16" s="539"/>
      <c r="H16" s="691" t="s">
        <v>2173</v>
      </c>
    </row>
    <row r="17" spans="1:12">
      <c r="C17" s="689" t="s">
        <v>2163</v>
      </c>
      <c r="D17" s="690" t="s">
        <v>3673</v>
      </c>
      <c r="E17" s="539"/>
      <c r="F17" s="690" t="b">
        <f t="shared" si="0"/>
        <v>1</v>
      </c>
      <c r="G17" s="539"/>
      <c r="H17" s="691" t="s">
        <v>2173</v>
      </c>
    </row>
    <row r="18" spans="1:12">
      <c r="C18" s="689" t="s">
        <v>2163</v>
      </c>
      <c r="D18" s="690" t="s">
        <v>3674</v>
      </c>
      <c r="E18" s="539"/>
      <c r="F18" s="690" t="b">
        <f t="shared" si="0"/>
        <v>1</v>
      </c>
      <c r="G18" s="539"/>
      <c r="H18" s="691" t="s">
        <v>2173</v>
      </c>
    </row>
    <row r="19" spans="1:12">
      <c r="C19" s="689" t="s">
        <v>2163</v>
      </c>
      <c r="D19" s="690" t="s">
        <v>3675</v>
      </c>
      <c r="E19" s="539"/>
      <c r="F19" s="690" t="b">
        <f t="shared" si="0"/>
        <v>1</v>
      </c>
      <c r="G19" s="539"/>
      <c r="H19" s="691" t="s">
        <v>2173</v>
      </c>
    </row>
    <row r="20" spans="1:12">
      <c r="C20" s="689" t="s">
        <v>2163</v>
      </c>
      <c r="D20" s="690" t="s">
        <v>3676</v>
      </c>
      <c r="E20" s="539"/>
      <c r="F20" s="690" t="b">
        <f t="shared" si="0"/>
        <v>1</v>
      </c>
      <c r="G20" s="539"/>
      <c r="H20" s="691" t="s">
        <v>2173</v>
      </c>
    </row>
    <row r="21" spans="1:12">
      <c r="C21" s="689" t="s">
        <v>2163</v>
      </c>
      <c r="D21" s="690" t="s">
        <v>3677</v>
      </c>
      <c r="E21" s="539"/>
      <c r="F21" s="690" t="b">
        <f t="shared" si="0"/>
        <v>1</v>
      </c>
      <c r="G21" s="539"/>
      <c r="H21" s="691" t="s">
        <v>2172</v>
      </c>
    </row>
    <row r="22" spans="1:12">
      <c r="C22" s="689" t="s">
        <v>2163</v>
      </c>
      <c r="D22" s="690" t="s">
        <v>3678</v>
      </c>
      <c r="E22" s="539"/>
      <c r="F22" s="690" t="b">
        <f t="shared" si="0"/>
        <v>1</v>
      </c>
      <c r="G22" s="539"/>
      <c r="H22" s="691" t="s">
        <v>2172</v>
      </c>
    </row>
    <row r="23" spans="1:12">
      <c r="C23" s="689" t="s">
        <v>2163</v>
      </c>
      <c r="D23" s="690" t="s">
        <v>3679</v>
      </c>
      <c r="E23" s="539"/>
      <c r="F23" s="690" t="b">
        <f t="shared" si="0"/>
        <v>1</v>
      </c>
      <c r="G23" s="539"/>
      <c r="H23" s="691" t="s">
        <v>2172</v>
      </c>
    </row>
    <row r="24" spans="1:12">
      <c r="C24" s="689" t="s">
        <v>2163</v>
      </c>
      <c r="D24" s="690" t="s">
        <v>3664</v>
      </c>
      <c r="E24" s="539"/>
      <c r="F24" s="690" t="b">
        <f t="shared" si="0"/>
        <v>1</v>
      </c>
      <c r="G24" s="539"/>
      <c r="H24" s="691" t="s">
        <v>2172</v>
      </c>
    </row>
    <row r="25" spans="1:12">
      <c r="C25" s="689" t="s">
        <v>2163</v>
      </c>
      <c r="D25" s="690" t="s">
        <v>3680</v>
      </c>
      <c r="E25" s="539"/>
      <c r="F25" s="690" t="b">
        <f t="shared" si="0"/>
        <v>1</v>
      </c>
      <c r="G25" s="539"/>
      <c r="H25" s="691" t="s">
        <v>2172</v>
      </c>
    </row>
    <row r="26" spans="1:12">
      <c r="C26" s="689" t="s">
        <v>2163</v>
      </c>
      <c r="D26" s="690" t="s">
        <v>3681</v>
      </c>
      <c r="E26" s="539"/>
      <c r="F26" s="690" t="b">
        <f t="shared" si="0"/>
        <v>1</v>
      </c>
      <c r="G26" s="539"/>
      <c r="H26" s="691" t="s">
        <v>2171</v>
      </c>
    </row>
    <row r="27" spans="1:12" ht="0.9" customHeight="1">
      <c r="C27" s="689"/>
      <c r="D27" s="539"/>
      <c r="E27" s="539"/>
      <c r="F27" s="690" t="b">
        <f t="shared" si="0"/>
        <v>1</v>
      </c>
      <c r="G27" s="539"/>
      <c r="H27" s="692"/>
    </row>
    <row r="28" spans="1:12">
      <c r="C28" s="689"/>
      <c r="D28" s="693">
        <f>COUNTA(D9:D27)</f>
        <v>18</v>
      </c>
      <c r="E28" s="684" t="s">
        <v>2167</v>
      </c>
      <c r="F28" s="539"/>
      <c r="G28" s="539"/>
      <c r="H28" s="692"/>
    </row>
    <row r="29" spans="1:12">
      <c r="C29" s="689"/>
      <c r="D29" s="539"/>
      <c r="E29" s="539"/>
      <c r="F29" s="539"/>
      <c r="G29" s="539"/>
      <c r="H29" s="692"/>
    </row>
    <row r="30" spans="1:12" ht="14.4" thickBot="1">
      <c r="C30" s="694" t="s">
        <v>2168</v>
      </c>
      <c r="D30" s="695"/>
      <c r="E30" s="696" t="s">
        <v>2169</v>
      </c>
      <c r="F30" s="697"/>
      <c r="G30" s="697"/>
      <c r="H30" s="698"/>
    </row>
    <row r="32" spans="1:12">
      <c r="A32" s="14" t="s">
        <v>45</v>
      </c>
      <c r="B32" s="14"/>
      <c r="C32" s="15"/>
      <c r="D32" s="15"/>
      <c r="E32" s="15"/>
      <c r="F32" s="15"/>
      <c r="G32" s="15"/>
      <c r="H32" s="15"/>
      <c r="I32" s="15"/>
      <c r="J32" s="15"/>
      <c r="K32" s="15"/>
      <c r="L32" s="15"/>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1"/>
  </sheetPr>
  <dimension ref="A1:L32"/>
  <sheetViews>
    <sheetView workbookViewId="0"/>
  </sheetViews>
  <sheetFormatPr defaultRowHeight="13.8"/>
  <cols>
    <col min="1" max="1" width="4.7265625" style="10" customWidth="1"/>
    <col min="2" max="2" width="4.7265625" style="11" customWidth="1"/>
    <col min="3" max="3" width="20.36328125" style="10" customWidth="1"/>
    <col min="4" max="4" width="30" style="10" customWidth="1"/>
    <col min="5" max="5" width="3.36328125" style="10" customWidth="1"/>
    <col min="6" max="6" width="30" style="10" customWidth="1"/>
    <col min="7" max="7" width="3.36328125" style="10" customWidth="1"/>
    <col min="8" max="8" width="30" style="10" customWidth="1"/>
    <col min="9" max="9" width="3.36328125" style="10" customWidth="1"/>
    <col min="10" max="10" width="30" style="10" customWidth="1"/>
    <col min="11" max="11" width="19.81640625" style="10" customWidth="1"/>
    <col min="12" max="12" width="40.08984375" style="10" customWidth="1"/>
  </cols>
  <sheetData>
    <row r="1" spans="1:12" s="18" customFormat="1" ht="28.2">
      <c r="A1" s="680" t="s">
        <v>2161</v>
      </c>
      <c r="B1" s="14"/>
      <c r="C1" s="15"/>
      <c r="D1" s="15"/>
      <c r="E1" s="15"/>
      <c r="F1" s="15"/>
      <c r="G1" s="15"/>
      <c r="H1" s="15"/>
      <c r="I1" s="15"/>
      <c r="J1" s="15"/>
      <c r="K1" s="15"/>
      <c r="L1" s="15"/>
    </row>
    <row r="2" spans="1:12" ht="13.2" customHeight="1"/>
    <row r="3" spans="1:12" s="683" customFormat="1">
      <c r="A3" s="681" t="s">
        <v>2161</v>
      </c>
      <c r="B3" s="681"/>
      <c r="C3" s="682"/>
      <c r="E3" s="682"/>
      <c r="F3" s="682"/>
      <c r="G3" s="682"/>
      <c r="H3" s="682"/>
      <c r="I3" s="682"/>
      <c r="J3" s="682"/>
      <c r="K3" s="682"/>
      <c r="L3" s="682"/>
    </row>
    <row r="4" spans="1:12" s="685" customFormat="1">
      <c r="A4" s="684"/>
      <c r="B4" s="684"/>
      <c r="C4" s="539"/>
      <c r="E4" s="539"/>
      <c r="F4" s="539"/>
      <c r="G4" s="539"/>
      <c r="H4" s="539"/>
      <c r="I4" s="539"/>
      <c r="J4" s="539"/>
      <c r="K4" s="539"/>
      <c r="L4" s="539"/>
    </row>
    <row r="5" spans="1:12" s="685" customFormat="1">
      <c r="A5" s="684"/>
      <c r="B5" s="684"/>
      <c r="C5" s="539"/>
      <c r="E5" s="539"/>
      <c r="F5" s="10"/>
      <c r="G5" s="539"/>
      <c r="H5" s="539"/>
      <c r="I5" s="539"/>
      <c r="J5" s="539"/>
      <c r="K5" s="539"/>
      <c r="L5" s="539"/>
    </row>
    <row r="6" spans="1:12" s="685" customFormat="1">
      <c r="A6" s="684"/>
      <c r="B6" s="684"/>
      <c r="C6" s="539"/>
      <c r="E6" s="539"/>
      <c r="F6" s="10"/>
      <c r="G6" s="539"/>
      <c r="H6" s="539"/>
      <c r="I6" s="539"/>
      <c r="J6" s="539"/>
      <c r="K6" s="539"/>
      <c r="L6" s="539"/>
    </row>
    <row r="7" spans="1:12" s="685" customFormat="1" ht="14.4" thickBot="1">
      <c r="A7" s="684"/>
      <c r="B7" s="684"/>
      <c r="C7" s="539"/>
      <c r="E7" s="539"/>
      <c r="F7" s="539"/>
      <c r="G7" s="539"/>
      <c r="H7" s="539"/>
      <c r="I7" s="539"/>
      <c r="J7" s="539"/>
      <c r="K7" s="539"/>
      <c r="L7" s="539"/>
    </row>
    <row r="8" spans="1:12">
      <c r="C8" s="686" t="s">
        <v>2162</v>
      </c>
      <c r="D8" s="687" t="s">
        <v>2163</v>
      </c>
      <c r="E8" s="687"/>
      <c r="F8" s="687" t="s">
        <v>2164</v>
      </c>
      <c r="G8" s="687"/>
      <c r="H8" s="688" t="s">
        <v>2165</v>
      </c>
    </row>
    <row r="9" spans="1:12">
      <c r="C9" s="689" t="s">
        <v>2163</v>
      </c>
      <c r="D9" s="690" t="s">
        <v>3665</v>
      </c>
      <c r="E9" s="684" t="s">
        <v>2177</v>
      </c>
      <c r="F9" s="690" t="b">
        <f t="shared" ref="F9:F27" si="0">xxDecisionsSubmit=TRUE</f>
        <v>0</v>
      </c>
      <c r="G9" s="539"/>
      <c r="H9" s="691" t="s">
        <v>2174</v>
      </c>
    </row>
    <row r="10" spans="1:12">
      <c r="C10" s="689" t="s">
        <v>2163</v>
      </c>
      <c r="D10" s="690" t="s">
        <v>3666</v>
      </c>
      <c r="E10" s="539"/>
      <c r="F10" s="690" t="b">
        <f t="shared" si="0"/>
        <v>0</v>
      </c>
      <c r="G10" s="539"/>
      <c r="H10" s="691" t="s">
        <v>2174</v>
      </c>
    </row>
    <row r="11" spans="1:12">
      <c r="C11" s="689" t="s">
        <v>2163</v>
      </c>
      <c r="D11" s="690" t="s">
        <v>3667</v>
      </c>
      <c r="E11" s="539"/>
      <c r="F11" s="690" t="b">
        <f t="shared" si="0"/>
        <v>0</v>
      </c>
      <c r="G11" s="539"/>
      <c r="H11" s="691" t="s">
        <v>2174</v>
      </c>
    </row>
    <row r="12" spans="1:12">
      <c r="C12" s="689" t="s">
        <v>2163</v>
      </c>
      <c r="D12" s="690" t="s">
        <v>3668</v>
      </c>
      <c r="E12" s="539"/>
      <c r="F12" s="690" t="b">
        <f t="shared" si="0"/>
        <v>0</v>
      </c>
      <c r="G12" s="539"/>
      <c r="H12" s="691" t="s">
        <v>2173</v>
      </c>
    </row>
    <row r="13" spans="1:12">
      <c r="C13" s="689" t="s">
        <v>2163</v>
      </c>
      <c r="D13" s="690" t="s">
        <v>3669</v>
      </c>
      <c r="E13" s="539"/>
      <c r="F13" s="690" t="b">
        <f t="shared" si="0"/>
        <v>0</v>
      </c>
      <c r="G13" s="539"/>
      <c r="H13" s="691" t="s">
        <v>2173</v>
      </c>
    </row>
    <row r="14" spans="1:12">
      <c r="C14" s="689" t="s">
        <v>2163</v>
      </c>
      <c r="D14" s="690" t="s">
        <v>3670</v>
      </c>
      <c r="E14" s="539"/>
      <c r="F14" s="690" t="b">
        <f t="shared" si="0"/>
        <v>0</v>
      </c>
      <c r="G14" s="539"/>
      <c r="H14" s="691" t="s">
        <v>2173</v>
      </c>
    </row>
    <row r="15" spans="1:12">
      <c r="C15" s="689" t="s">
        <v>2163</v>
      </c>
      <c r="D15" s="690" t="s">
        <v>3671</v>
      </c>
      <c r="E15" s="539"/>
      <c r="F15" s="690" t="b">
        <f t="shared" si="0"/>
        <v>0</v>
      </c>
      <c r="G15" s="539"/>
      <c r="H15" s="691" t="s">
        <v>2173</v>
      </c>
    </row>
    <row r="16" spans="1:12">
      <c r="C16" s="689" t="s">
        <v>2163</v>
      </c>
      <c r="D16" s="690" t="s">
        <v>3672</v>
      </c>
      <c r="E16" s="539"/>
      <c r="F16" s="690" t="b">
        <f t="shared" si="0"/>
        <v>0</v>
      </c>
      <c r="G16" s="539"/>
      <c r="H16" s="691" t="s">
        <v>2173</v>
      </c>
    </row>
    <row r="17" spans="1:12">
      <c r="C17" s="689" t="s">
        <v>2163</v>
      </c>
      <c r="D17" s="690" t="s">
        <v>3673</v>
      </c>
      <c r="E17" s="539"/>
      <c r="F17" s="690" t="b">
        <f t="shared" si="0"/>
        <v>0</v>
      </c>
      <c r="G17" s="539"/>
      <c r="H17" s="691" t="s">
        <v>2173</v>
      </c>
    </row>
    <row r="18" spans="1:12">
      <c r="C18" s="689" t="s">
        <v>2163</v>
      </c>
      <c r="D18" s="690" t="s">
        <v>3674</v>
      </c>
      <c r="E18" s="539"/>
      <c r="F18" s="690" t="b">
        <f t="shared" si="0"/>
        <v>0</v>
      </c>
      <c r="G18" s="539"/>
      <c r="H18" s="691" t="s">
        <v>2173</v>
      </c>
    </row>
    <row r="19" spans="1:12">
      <c r="C19" s="689" t="s">
        <v>2163</v>
      </c>
      <c r="D19" s="690" t="s">
        <v>3675</v>
      </c>
      <c r="E19" s="539"/>
      <c r="F19" s="690" t="b">
        <f t="shared" si="0"/>
        <v>0</v>
      </c>
      <c r="G19" s="539"/>
      <c r="H19" s="691" t="s">
        <v>2173</v>
      </c>
    </row>
    <row r="20" spans="1:12">
      <c r="C20" s="689" t="s">
        <v>2163</v>
      </c>
      <c r="D20" s="690" t="s">
        <v>3676</v>
      </c>
      <c r="E20" s="539"/>
      <c r="F20" s="690" t="b">
        <f t="shared" si="0"/>
        <v>0</v>
      </c>
      <c r="G20" s="539"/>
      <c r="H20" s="691" t="s">
        <v>2173</v>
      </c>
    </row>
    <row r="21" spans="1:12">
      <c r="C21" s="689" t="s">
        <v>2163</v>
      </c>
      <c r="D21" s="690" t="s">
        <v>3677</v>
      </c>
      <c r="E21" s="539"/>
      <c r="F21" s="690" t="b">
        <f t="shared" si="0"/>
        <v>0</v>
      </c>
      <c r="G21" s="539"/>
      <c r="H21" s="691" t="s">
        <v>2172</v>
      </c>
    </row>
    <row r="22" spans="1:12">
      <c r="C22" s="689" t="s">
        <v>2163</v>
      </c>
      <c r="D22" s="690" t="s">
        <v>3678</v>
      </c>
      <c r="E22" s="539"/>
      <c r="F22" s="690" t="b">
        <f t="shared" si="0"/>
        <v>0</v>
      </c>
      <c r="G22" s="539"/>
      <c r="H22" s="691" t="s">
        <v>2172</v>
      </c>
    </row>
    <row r="23" spans="1:12">
      <c r="C23" s="689" t="s">
        <v>2163</v>
      </c>
      <c r="D23" s="690" t="s">
        <v>3679</v>
      </c>
      <c r="E23" s="539"/>
      <c r="F23" s="690" t="b">
        <f t="shared" si="0"/>
        <v>0</v>
      </c>
      <c r="G23" s="539"/>
      <c r="H23" s="691" t="s">
        <v>2172</v>
      </c>
    </row>
    <row r="24" spans="1:12">
      <c r="C24" s="689" t="s">
        <v>2163</v>
      </c>
      <c r="D24" s="690" t="s">
        <v>3664</v>
      </c>
      <c r="E24" s="539"/>
      <c r="F24" s="690" t="b">
        <f t="shared" si="0"/>
        <v>0</v>
      </c>
      <c r="G24" s="539"/>
      <c r="H24" s="691" t="s">
        <v>2172</v>
      </c>
    </row>
    <row r="25" spans="1:12">
      <c r="C25" s="689" t="s">
        <v>2163</v>
      </c>
      <c r="D25" s="690" t="s">
        <v>3680</v>
      </c>
      <c r="E25" s="539"/>
      <c r="F25" s="690" t="b">
        <f t="shared" si="0"/>
        <v>0</v>
      </c>
      <c r="G25" s="539"/>
      <c r="H25" s="691" t="s">
        <v>2172</v>
      </c>
    </row>
    <row r="26" spans="1:12">
      <c r="C26" s="689" t="s">
        <v>2163</v>
      </c>
      <c r="D26" s="690" t="s">
        <v>3681</v>
      </c>
      <c r="E26" s="539"/>
      <c r="F26" s="690" t="b">
        <f t="shared" si="0"/>
        <v>0</v>
      </c>
      <c r="G26" s="539"/>
      <c r="H26" s="691" t="s">
        <v>2171</v>
      </c>
    </row>
    <row r="27" spans="1:12" ht="0.9" customHeight="1">
      <c r="C27" s="689"/>
      <c r="D27" s="539"/>
      <c r="E27" s="539"/>
      <c r="F27" s="690" t="b">
        <f t="shared" si="0"/>
        <v>0</v>
      </c>
      <c r="G27" s="539"/>
      <c r="H27" s="692"/>
    </row>
    <row r="28" spans="1:12">
      <c r="C28" s="689"/>
      <c r="D28" s="693">
        <f>COUNTA(D9:D27)</f>
        <v>18</v>
      </c>
      <c r="E28" s="684" t="s">
        <v>2176</v>
      </c>
      <c r="F28" s="539"/>
      <c r="G28" s="539"/>
      <c r="H28" s="692"/>
    </row>
    <row r="29" spans="1:12">
      <c r="C29" s="689"/>
      <c r="D29" s="539"/>
      <c r="E29" s="539"/>
      <c r="F29" s="539"/>
      <c r="G29" s="539"/>
      <c r="H29" s="692"/>
    </row>
    <row r="30" spans="1:12" ht="14.4" thickBot="1">
      <c r="C30" s="694" t="s">
        <v>2178</v>
      </c>
      <c r="D30" s="713"/>
      <c r="E30" s="696" t="s">
        <v>2175</v>
      </c>
      <c r="F30" s="697"/>
      <c r="G30" s="697"/>
      <c r="H30" s="698"/>
    </row>
    <row r="32" spans="1:12">
      <c r="A32" s="14" t="s">
        <v>45</v>
      </c>
      <c r="B32" s="14"/>
      <c r="C32" s="15"/>
      <c r="D32" s="15"/>
      <c r="E32" s="15"/>
      <c r="F32" s="15"/>
      <c r="G32" s="15"/>
      <c r="H32" s="15"/>
      <c r="I32" s="15"/>
      <c r="J32" s="15"/>
      <c r="K32" s="15"/>
      <c r="L32" s="15"/>
    </row>
  </sheetData>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1" tint="0.499984740745262"/>
  </sheetPr>
  <dimension ref="A1:XFD38"/>
  <sheetViews>
    <sheetView workbookViewId="0">
      <selection activeCell="B13" sqref="B13:M26"/>
    </sheetView>
  </sheetViews>
  <sheetFormatPr defaultColWidth="8.81640625" defaultRowHeight="20.100000000000001" customHeight="1"/>
  <cols>
    <col min="1" max="1" width="1.36328125" style="890" customWidth="1"/>
    <col min="2" max="2" width="19.453125" style="890" customWidth="1"/>
    <col min="3" max="3" width="33.453125" style="898" customWidth="1"/>
    <col min="4" max="4" width="3" style="890" customWidth="1"/>
    <col min="5" max="24" width="17.81640625" style="891" customWidth="1"/>
    <col min="25" max="16384" width="8.81640625" style="890"/>
  </cols>
  <sheetData>
    <row r="1" spans="1:16384" s="869" customFormat="1" ht="13.8">
      <c r="A1" s="868" t="s">
        <v>3818</v>
      </c>
    </row>
    <row r="2" spans="1:16384" s="870" customFormat="1" ht="13.8">
      <c r="C2" s="871"/>
      <c r="D2" s="871"/>
      <c r="E2" s="871"/>
      <c r="F2" s="871"/>
      <c r="G2" s="871"/>
      <c r="I2" s="871"/>
      <c r="J2" s="871"/>
      <c r="K2" s="871"/>
      <c r="L2" s="871"/>
      <c r="M2" s="871"/>
      <c r="N2" s="871"/>
      <c r="O2" s="871"/>
    </row>
    <row r="3" spans="1:16384" s="870" customFormat="1" ht="13.8">
      <c r="B3" s="872" t="s">
        <v>390</v>
      </c>
      <c r="C3" s="873" t="s">
        <v>522</v>
      </c>
      <c r="F3" s="873"/>
      <c r="G3" s="874"/>
      <c r="I3" s="874"/>
      <c r="J3" s="874"/>
      <c r="K3" s="874"/>
      <c r="L3" s="874"/>
      <c r="M3" s="874"/>
      <c r="N3" s="874"/>
      <c r="O3" s="874"/>
    </row>
    <row r="4" spans="1:16384" s="875" customFormat="1" ht="13.8"/>
    <row r="5" spans="1:16384" s="877" customFormat="1" ht="13.8">
      <c r="A5" s="876"/>
      <c r="B5" s="877" t="s">
        <v>388</v>
      </c>
      <c r="G5" s="878"/>
      <c r="H5" s="878"/>
      <c r="I5" s="878"/>
      <c r="J5" s="878"/>
      <c r="K5" s="878"/>
      <c r="L5" s="878"/>
      <c r="M5" s="878"/>
      <c r="N5" s="878"/>
      <c r="O5" s="878"/>
      <c r="P5" s="878"/>
    </row>
    <row r="6" spans="1:16384" s="875" customFormat="1" ht="13.8"/>
    <row r="7" spans="1:16384" s="875" customFormat="1" ht="13.8">
      <c r="B7" s="879" t="s">
        <v>523</v>
      </c>
      <c r="C7" s="879"/>
      <c r="E7" s="880" t="s">
        <v>525</v>
      </c>
    </row>
    <row r="8" spans="1:16384" s="884" customFormat="1" ht="13.8">
      <c r="A8" s="875"/>
      <c r="B8" s="881"/>
      <c r="C8" s="882" t="s">
        <v>524</v>
      </c>
      <c r="D8" s="875"/>
      <c r="E8" s="883"/>
      <c r="F8" s="875"/>
      <c r="G8" s="875"/>
      <c r="H8" s="875"/>
      <c r="I8" s="875"/>
      <c r="J8" s="875"/>
      <c r="K8" s="875"/>
      <c r="L8" s="875"/>
      <c r="M8" s="875"/>
      <c r="N8" s="875"/>
      <c r="O8" s="875"/>
      <c r="P8" s="875"/>
      <c r="Q8" s="875"/>
      <c r="R8" s="875"/>
      <c r="S8" s="875"/>
      <c r="T8" s="875"/>
      <c r="U8" s="875"/>
      <c r="V8" s="875"/>
      <c r="W8" s="875"/>
      <c r="X8" s="875"/>
      <c r="Y8" s="875"/>
      <c r="Z8" s="875"/>
      <c r="AA8" s="875"/>
      <c r="AB8" s="875"/>
      <c r="AC8" s="875"/>
      <c r="AD8" s="875"/>
      <c r="AE8" s="875"/>
      <c r="AF8" s="875"/>
      <c r="AG8" s="875"/>
      <c r="AH8" s="875"/>
      <c r="AI8" s="875"/>
      <c r="AJ8" s="875"/>
      <c r="AK8" s="875"/>
      <c r="AL8" s="875"/>
      <c r="AM8" s="875"/>
      <c r="AN8" s="875"/>
      <c r="AO8" s="875"/>
      <c r="AP8" s="875"/>
      <c r="AQ8" s="875"/>
      <c r="AR8" s="875"/>
      <c r="AS8" s="875"/>
      <c r="AT8" s="875"/>
      <c r="AU8" s="875"/>
      <c r="AV8" s="875"/>
      <c r="AW8" s="875"/>
      <c r="AX8" s="875"/>
      <c r="AY8" s="875"/>
      <c r="AZ8" s="875"/>
      <c r="BA8" s="875"/>
      <c r="BB8" s="875"/>
      <c r="BC8" s="875"/>
      <c r="BD8" s="875"/>
      <c r="BE8" s="875"/>
      <c r="BF8" s="875"/>
      <c r="BG8" s="875"/>
      <c r="BH8" s="875"/>
      <c r="BI8" s="875"/>
      <c r="BJ8" s="875"/>
      <c r="BK8" s="875"/>
      <c r="BL8" s="875"/>
      <c r="BM8" s="875"/>
      <c r="BN8" s="875"/>
      <c r="BO8" s="875"/>
      <c r="BP8" s="875"/>
      <c r="BQ8" s="875"/>
      <c r="BR8" s="875"/>
      <c r="BS8" s="875"/>
      <c r="BT8" s="875"/>
      <c r="BU8" s="875"/>
      <c r="BV8" s="875"/>
      <c r="BW8" s="875"/>
      <c r="BX8" s="875"/>
      <c r="BY8" s="875"/>
      <c r="BZ8" s="875"/>
      <c r="CA8" s="875"/>
      <c r="CB8" s="875"/>
      <c r="CC8" s="875"/>
      <c r="CD8" s="875"/>
      <c r="CE8" s="875"/>
      <c r="CF8" s="875"/>
      <c r="CG8" s="875"/>
      <c r="CH8" s="875"/>
      <c r="CI8" s="875"/>
      <c r="CJ8" s="875"/>
      <c r="CK8" s="875"/>
      <c r="CL8" s="875"/>
      <c r="CM8" s="875"/>
      <c r="CN8" s="875"/>
      <c r="CO8" s="875"/>
      <c r="CP8" s="875"/>
      <c r="CQ8" s="875"/>
      <c r="CR8" s="875"/>
      <c r="CS8" s="875"/>
      <c r="CT8" s="875"/>
      <c r="CU8" s="875"/>
      <c r="CV8" s="875"/>
      <c r="CW8" s="875"/>
      <c r="CX8" s="875"/>
      <c r="CY8" s="875"/>
      <c r="CZ8" s="875"/>
      <c r="DA8" s="875"/>
      <c r="DB8" s="875"/>
      <c r="DC8" s="875"/>
      <c r="DD8" s="875"/>
      <c r="DE8" s="875"/>
      <c r="DF8" s="875"/>
      <c r="DG8" s="875"/>
      <c r="DH8" s="875"/>
      <c r="DI8" s="875"/>
      <c r="DJ8" s="875"/>
      <c r="DK8" s="875"/>
      <c r="DL8" s="875"/>
      <c r="DM8" s="875"/>
      <c r="DN8" s="875"/>
      <c r="DO8" s="875"/>
      <c r="DP8" s="875"/>
      <c r="DQ8" s="875"/>
      <c r="DR8" s="875"/>
      <c r="DS8" s="875"/>
      <c r="DT8" s="875"/>
      <c r="DU8" s="875"/>
      <c r="DV8" s="875"/>
      <c r="DW8" s="875"/>
      <c r="DX8" s="875"/>
      <c r="DY8" s="875"/>
      <c r="DZ8" s="875"/>
      <c r="EA8" s="875"/>
      <c r="EB8" s="875"/>
      <c r="EC8" s="875"/>
      <c r="ED8" s="875"/>
      <c r="EE8" s="875"/>
      <c r="EF8" s="875"/>
      <c r="EG8" s="875"/>
      <c r="EH8" s="875"/>
      <c r="EI8" s="875"/>
      <c r="EJ8" s="875"/>
      <c r="EK8" s="875"/>
      <c r="EL8" s="875"/>
      <c r="EM8" s="875"/>
      <c r="EN8" s="875"/>
      <c r="EO8" s="875"/>
      <c r="EP8" s="875"/>
      <c r="EQ8" s="875"/>
      <c r="ER8" s="875"/>
      <c r="ES8" s="875"/>
      <c r="ET8" s="875"/>
      <c r="EU8" s="875"/>
      <c r="EV8" s="875"/>
      <c r="EW8" s="875"/>
      <c r="EX8" s="875"/>
      <c r="EY8" s="875"/>
      <c r="EZ8" s="875"/>
      <c r="FA8" s="875"/>
      <c r="FB8" s="875"/>
      <c r="FC8" s="875"/>
      <c r="FD8" s="875"/>
      <c r="FE8" s="875"/>
      <c r="FF8" s="875"/>
      <c r="FG8" s="875"/>
      <c r="FH8" s="875"/>
      <c r="FI8" s="875"/>
      <c r="FJ8" s="875"/>
      <c r="FK8" s="875"/>
      <c r="FL8" s="875"/>
      <c r="FM8" s="875"/>
      <c r="FN8" s="875"/>
      <c r="FO8" s="875"/>
      <c r="FP8" s="875"/>
      <c r="FQ8" s="875"/>
      <c r="FR8" s="875"/>
      <c r="FS8" s="875"/>
      <c r="FT8" s="875"/>
      <c r="FU8" s="875"/>
      <c r="FV8" s="875"/>
      <c r="FW8" s="875"/>
      <c r="FX8" s="875"/>
      <c r="FY8" s="875"/>
      <c r="FZ8" s="875"/>
      <c r="GA8" s="875"/>
      <c r="GB8" s="875"/>
      <c r="GC8" s="875"/>
      <c r="GD8" s="875"/>
      <c r="GE8" s="875"/>
      <c r="GF8" s="875"/>
      <c r="GG8" s="875"/>
      <c r="GH8" s="875"/>
      <c r="GI8" s="875"/>
      <c r="GJ8" s="875"/>
      <c r="GK8" s="875"/>
      <c r="GL8" s="875"/>
      <c r="GM8" s="875"/>
      <c r="GN8" s="875"/>
      <c r="GO8" s="875"/>
      <c r="GP8" s="875"/>
      <c r="GQ8" s="875"/>
      <c r="GR8" s="875"/>
      <c r="GS8" s="875"/>
      <c r="GT8" s="875"/>
      <c r="GU8" s="875"/>
      <c r="GV8" s="875"/>
      <c r="GW8" s="875"/>
      <c r="GX8" s="875"/>
      <c r="GY8" s="875"/>
      <c r="GZ8" s="875"/>
      <c r="HA8" s="875"/>
      <c r="HB8" s="875"/>
      <c r="HC8" s="875"/>
      <c r="HD8" s="875"/>
      <c r="HE8" s="875"/>
      <c r="HF8" s="875"/>
      <c r="HG8" s="875"/>
      <c r="HH8" s="875"/>
      <c r="HI8" s="875"/>
      <c r="HJ8" s="875"/>
      <c r="HK8" s="875"/>
      <c r="HL8" s="875"/>
      <c r="HM8" s="875"/>
      <c r="HN8" s="875"/>
      <c r="HO8" s="875"/>
      <c r="HP8" s="875"/>
      <c r="HQ8" s="875"/>
      <c r="HR8" s="875"/>
      <c r="HS8" s="875"/>
      <c r="HT8" s="875"/>
      <c r="HU8" s="875"/>
      <c r="HV8" s="875"/>
      <c r="HW8" s="875"/>
      <c r="HX8" s="875"/>
      <c r="HY8" s="875"/>
      <c r="HZ8" s="875"/>
      <c r="IA8" s="875"/>
      <c r="IB8" s="875"/>
      <c r="IC8" s="875"/>
      <c r="ID8" s="875"/>
      <c r="IE8" s="875"/>
      <c r="IF8" s="875"/>
      <c r="IG8" s="875"/>
      <c r="IH8" s="875"/>
      <c r="II8" s="875"/>
      <c r="IJ8" s="875"/>
      <c r="IK8" s="875"/>
      <c r="IL8" s="875"/>
      <c r="IM8" s="875"/>
      <c r="IN8" s="875"/>
      <c r="IO8" s="875"/>
      <c r="IP8" s="875"/>
      <c r="IQ8" s="875"/>
      <c r="IR8" s="875"/>
      <c r="IS8" s="875"/>
      <c r="IT8" s="875"/>
      <c r="IU8" s="875"/>
      <c r="IV8" s="875"/>
      <c r="IW8" s="875"/>
      <c r="IX8" s="875"/>
      <c r="IY8" s="875"/>
      <c r="IZ8" s="875"/>
      <c r="JA8" s="875"/>
      <c r="JB8" s="875"/>
      <c r="JC8" s="875"/>
      <c r="JD8" s="875"/>
      <c r="JE8" s="875"/>
      <c r="JF8" s="875"/>
      <c r="JG8" s="875"/>
      <c r="JH8" s="875"/>
      <c r="JI8" s="875"/>
      <c r="JJ8" s="875"/>
      <c r="JK8" s="875"/>
      <c r="JL8" s="875"/>
      <c r="JM8" s="875"/>
      <c r="JN8" s="875"/>
      <c r="JO8" s="875"/>
      <c r="JP8" s="875"/>
      <c r="JQ8" s="875"/>
      <c r="JR8" s="875"/>
      <c r="JS8" s="875"/>
      <c r="JT8" s="875"/>
      <c r="JU8" s="875"/>
      <c r="JV8" s="875"/>
      <c r="JW8" s="875"/>
      <c r="JX8" s="875"/>
      <c r="JY8" s="875"/>
      <c r="JZ8" s="875"/>
      <c r="KA8" s="875"/>
      <c r="KB8" s="875"/>
      <c r="KC8" s="875"/>
      <c r="KD8" s="875"/>
      <c r="KE8" s="875"/>
      <c r="KF8" s="875"/>
      <c r="KG8" s="875"/>
      <c r="KH8" s="875"/>
      <c r="KI8" s="875"/>
      <c r="KJ8" s="875"/>
      <c r="KK8" s="875"/>
      <c r="KL8" s="875"/>
      <c r="KM8" s="875"/>
      <c r="KN8" s="875"/>
      <c r="KO8" s="875"/>
      <c r="KP8" s="875"/>
      <c r="KQ8" s="875"/>
      <c r="KR8" s="875"/>
      <c r="KS8" s="875"/>
      <c r="KT8" s="875"/>
      <c r="KU8" s="875"/>
      <c r="KV8" s="875"/>
      <c r="KW8" s="875"/>
      <c r="KX8" s="875"/>
      <c r="KY8" s="875"/>
      <c r="KZ8" s="875"/>
      <c r="LA8" s="875"/>
      <c r="LB8" s="875"/>
      <c r="LC8" s="875"/>
      <c r="LD8" s="875"/>
      <c r="LE8" s="875"/>
      <c r="LF8" s="875"/>
      <c r="LG8" s="875"/>
      <c r="LH8" s="875"/>
      <c r="LI8" s="875"/>
      <c r="LJ8" s="875"/>
      <c r="LK8" s="875"/>
      <c r="LL8" s="875"/>
      <c r="LM8" s="875"/>
      <c r="LN8" s="875"/>
      <c r="LO8" s="875"/>
      <c r="LP8" s="875"/>
      <c r="LQ8" s="875"/>
      <c r="LR8" s="875"/>
      <c r="LS8" s="875"/>
      <c r="LT8" s="875"/>
      <c r="LU8" s="875"/>
      <c r="LV8" s="875"/>
      <c r="LW8" s="875"/>
      <c r="LX8" s="875"/>
      <c r="LY8" s="875"/>
      <c r="LZ8" s="875"/>
      <c r="MA8" s="875"/>
      <c r="MB8" s="875"/>
      <c r="MC8" s="875"/>
      <c r="MD8" s="875"/>
      <c r="ME8" s="875"/>
      <c r="MF8" s="875"/>
      <c r="MG8" s="875"/>
      <c r="MH8" s="875"/>
      <c r="MI8" s="875"/>
      <c r="MJ8" s="875"/>
      <c r="MK8" s="875"/>
      <c r="ML8" s="875"/>
      <c r="MM8" s="875"/>
      <c r="MN8" s="875"/>
      <c r="MO8" s="875"/>
      <c r="MP8" s="875"/>
      <c r="MQ8" s="875"/>
      <c r="MR8" s="875"/>
      <c r="MS8" s="875"/>
      <c r="MT8" s="875"/>
      <c r="MU8" s="875"/>
      <c r="MV8" s="875"/>
      <c r="MW8" s="875"/>
      <c r="MX8" s="875"/>
      <c r="MY8" s="875"/>
      <c r="MZ8" s="875"/>
      <c r="NA8" s="875"/>
      <c r="NB8" s="875"/>
      <c r="NC8" s="875"/>
      <c r="ND8" s="875"/>
      <c r="NE8" s="875"/>
      <c r="NF8" s="875"/>
      <c r="NG8" s="875"/>
      <c r="NH8" s="875"/>
      <c r="NI8" s="875"/>
      <c r="NJ8" s="875"/>
      <c r="NK8" s="875"/>
      <c r="NL8" s="875"/>
      <c r="NM8" s="875"/>
      <c r="NN8" s="875"/>
      <c r="NO8" s="875"/>
      <c r="NP8" s="875"/>
      <c r="NQ8" s="875"/>
      <c r="NR8" s="875"/>
      <c r="NS8" s="875"/>
      <c r="NT8" s="875"/>
      <c r="NU8" s="875"/>
      <c r="NV8" s="875"/>
      <c r="NW8" s="875"/>
      <c r="NX8" s="875"/>
      <c r="NY8" s="875"/>
      <c r="NZ8" s="875"/>
      <c r="OA8" s="875"/>
      <c r="OB8" s="875"/>
      <c r="OC8" s="875"/>
      <c r="OD8" s="875"/>
      <c r="OE8" s="875"/>
      <c r="OF8" s="875"/>
      <c r="OG8" s="875"/>
      <c r="OH8" s="875"/>
      <c r="OI8" s="875"/>
      <c r="OJ8" s="875"/>
      <c r="OK8" s="875"/>
      <c r="OL8" s="875"/>
      <c r="OM8" s="875"/>
      <c r="ON8" s="875"/>
      <c r="OO8" s="875"/>
      <c r="OP8" s="875"/>
      <c r="OQ8" s="875"/>
      <c r="OR8" s="875"/>
      <c r="OS8" s="875"/>
      <c r="OT8" s="875"/>
      <c r="OU8" s="875"/>
      <c r="OV8" s="875"/>
      <c r="OW8" s="875"/>
      <c r="OX8" s="875"/>
      <c r="OY8" s="875"/>
      <c r="OZ8" s="875"/>
      <c r="PA8" s="875"/>
      <c r="PB8" s="875"/>
      <c r="PC8" s="875"/>
      <c r="PD8" s="875"/>
      <c r="PE8" s="875"/>
      <c r="PF8" s="875"/>
      <c r="PG8" s="875"/>
      <c r="PH8" s="875"/>
      <c r="PI8" s="875"/>
      <c r="PJ8" s="875"/>
      <c r="PK8" s="875"/>
      <c r="PL8" s="875"/>
      <c r="PM8" s="875"/>
      <c r="PN8" s="875"/>
      <c r="PO8" s="875"/>
      <c r="PP8" s="875"/>
      <c r="PQ8" s="875"/>
      <c r="PR8" s="875"/>
      <c r="PS8" s="875"/>
      <c r="PT8" s="875"/>
      <c r="PU8" s="875"/>
      <c r="PV8" s="875"/>
      <c r="PW8" s="875"/>
      <c r="PX8" s="875"/>
      <c r="PY8" s="875"/>
      <c r="PZ8" s="875"/>
      <c r="QA8" s="875"/>
      <c r="QB8" s="875"/>
      <c r="QC8" s="875"/>
      <c r="QD8" s="875"/>
      <c r="QE8" s="875"/>
      <c r="QF8" s="875"/>
      <c r="QG8" s="875"/>
      <c r="QH8" s="875"/>
      <c r="QI8" s="875"/>
      <c r="QJ8" s="875"/>
      <c r="QK8" s="875"/>
      <c r="QL8" s="875"/>
      <c r="QM8" s="875"/>
      <c r="QN8" s="875"/>
      <c r="QO8" s="875"/>
      <c r="QP8" s="875"/>
      <c r="QQ8" s="875"/>
      <c r="QR8" s="875"/>
      <c r="QS8" s="875"/>
      <c r="QT8" s="875"/>
      <c r="QU8" s="875"/>
      <c r="QV8" s="875"/>
      <c r="QW8" s="875"/>
      <c r="QX8" s="875"/>
      <c r="QY8" s="875"/>
      <c r="QZ8" s="875"/>
      <c r="RA8" s="875"/>
      <c r="RB8" s="875"/>
      <c r="RC8" s="875"/>
      <c r="RD8" s="875"/>
      <c r="RE8" s="875"/>
      <c r="RF8" s="875"/>
      <c r="RG8" s="875"/>
      <c r="RH8" s="875"/>
      <c r="RI8" s="875"/>
      <c r="RJ8" s="875"/>
      <c r="RK8" s="875"/>
      <c r="RL8" s="875"/>
      <c r="RM8" s="875"/>
      <c r="RN8" s="875"/>
      <c r="RO8" s="875"/>
      <c r="RP8" s="875"/>
      <c r="RQ8" s="875"/>
      <c r="RR8" s="875"/>
      <c r="RS8" s="875"/>
      <c r="RT8" s="875"/>
      <c r="RU8" s="875"/>
      <c r="RV8" s="875"/>
      <c r="RW8" s="875"/>
      <c r="RX8" s="875"/>
      <c r="RY8" s="875"/>
      <c r="RZ8" s="875"/>
      <c r="SA8" s="875"/>
      <c r="SB8" s="875"/>
      <c r="SC8" s="875"/>
      <c r="SD8" s="875"/>
      <c r="SE8" s="875"/>
      <c r="SF8" s="875"/>
      <c r="SG8" s="875"/>
      <c r="SH8" s="875"/>
      <c r="SI8" s="875"/>
      <c r="SJ8" s="875"/>
      <c r="SK8" s="875"/>
      <c r="SL8" s="875"/>
      <c r="SM8" s="875"/>
      <c r="SN8" s="875"/>
      <c r="SO8" s="875"/>
      <c r="SP8" s="875"/>
      <c r="SQ8" s="875"/>
      <c r="SR8" s="875"/>
      <c r="SS8" s="875"/>
      <c r="ST8" s="875"/>
      <c r="SU8" s="875"/>
      <c r="SV8" s="875"/>
      <c r="SW8" s="875"/>
      <c r="SX8" s="875"/>
      <c r="SY8" s="875"/>
      <c r="SZ8" s="875"/>
      <c r="TA8" s="875"/>
      <c r="TB8" s="875"/>
      <c r="TC8" s="875"/>
      <c r="TD8" s="875"/>
      <c r="TE8" s="875"/>
      <c r="TF8" s="875"/>
      <c r="TG8" s="875"/>
      <c r="TH8" s="875"/>
      <c r="TI8" s="875"/>
      <c r="TJ8" s="875"/>
      <c r="TK8" s="875"/>
      <c r="TL8" s="875"/>
      <c r="TM8" s="875"/>
      <c r="TN8" s="875"/>
      <c r="TO8" s="875"/>
      <c r="TP8" s="875"/>
      <c r="TQ8" s="875"/>
      <c r="TR8" s="875"/>
      <c r="TS8" s="875"/>
      <c r="TT8" s="875"/>
      <c r="TU8" s="875"/>
      <c r="TV8" s="875"/>
      <c r="TW8" s="875"/>
      <c r="TX8" s="875"/>
      <c r="TY8" s="875"/>
      <c r="TZ8" s="875"/>
      <c r="UA8" s="875"/>
      <c r="UB8" s="875"/>
      <c r="UC8" s="875"/>
      <c r="UD8" s="875"/>
      <c r="UE8" s="875"/>
      <c r="UF8" s="875"/>
      <c r="UG8" s="875"/>
      <c r="UH8" s="875"/>
      <c r="UI8" s="875"/>
      <c r="UJ8" s="875"/>
      <c r="UK8" s="875"/>
      <c r="UL8" s="875"/>
      <c r="UM8" s="875"/>
      <c r="UN8" s="875"/>
      <c r="UO8" s="875"/>
      <c r="UP8" s="875"/>
      <c r="UQ8" s="875"/>
      <c r="UR8" s="875"/>
      <c r="US8" s="875"/>
      <c r="UT8" s="875"/>
      <c r="UU8" s="875"/>
      <c r="UV8" s="875"/>
      <c r="UW8" s="875"/>
      <c r="UX8" s="875"/>
      <c r="UY8" s="875"/>
      <c r="UZ8" s="875"/>
      <c r="VA8" s="875"/>
      <c r="VB8" s="875"/>
      <c r="VC8" s="875"/>
      <c r="VD8" s="875"/>
      <c r="VE8" s="875"/>
      <c r="VF8" s="875"/>
      <c r="VG8" s="875"/>
      <c r="VH8" s="875"/>
      <c r="VI8" s="875"/>
      <c r="VJ8" s="875"/>
      <c r="VK8" s="875"/>
      <c r="VL8" s="875"/>
      <c r="VM8" s="875"/>
      <c r="VN8" s="875"/>
      <c r="VO8" s="875"/>
      <c r="VP8" s="875"/>
      <c r="VQ8" s="875"/>
      <c r="VR8" s="875"/>
      <c r="VS8" s="875"/>
      <c r="VT8" s="875"/>
      <c r="VU8" s="875"/>
      <c r="VV8" s="875"/>
      <c r="VW8" s="875"/>
      <c r="VX8" s="875"/>
      <c r="VY8" s="875"/>
      <c r="VZ8" s="875"/>
      <c r="WA8" s="875"/>
      <c r="WB8" s="875"/>
      <c r="WC8" s="875"/>
      <c r="WD8" s="875"/>
      <c r="WE8" s="875"/>
      <c r="WF8" s="875"/>
      <c r="WG8" s="875"/>
      <c r="WH8" s="875"/>
      <c r="WI8" s="875"/>
      <c r="WJ8" s="875"/>
      <c r="WK8" s="875"/>
      <c r="WL8" s="875"/>
      <c r="WM8" s="875"/>
      <c r="WN8" s="875"/>
      <c r="WO8" s="875"/>
      <c r="WP8" s="875"/>
      <c r="WQ8" s="875"/>
      <c r="WR8" s="875"/>
      <c r="WS8" s="875"/>
      <c r="WT8" s="875"/>
      <c r="WU8" s="875"/>
      <c r="WV8" s="875"/>
      <c r="WW8" s="875"/>
      <c r="WX8" s="875"/>
      <c r="WY8" s="875"/>
      <c r="WZ8" s="875"/>
      <c r="XA8" s="875"/>
      <c r="XB8" s="875"/>
      <c r="XC8" s="875"/>
      <c r="XD8" s="875"/>
      <c r="XE8" s="875"/>
      <c r="XF8" s="875"/>
      <c r="XG8" s="875"/>
      <c r="XH8" s="875"/>
      <c r="XI8" s="875"/>
      <c r="XJ8" s="875"/>
      <c r="XK8" s="875"/>
      <c r="XL8" s="875"/>
      <c r="XM8" s="875"/>
      <c r="XN8" s="875"/>
      <c r="XO8" s="875"/>
      <c r="XP8" s="875"/>
      <c r="XQ8" s="875"/>
      <c r="XR8" s="875"/>
      <c r="XS8" s="875"/>
      <c r="XT8" s="875"/>
      <c r="XU8" s="875"/>
      <c r="XV8" s="875"/>
      <c r="XW8" s="875"/>
      <c r="XX8" s="875"/>
      <c r="XY8" s="875"/>
      <c r="XZ8" s="875"/>
      <c r="YA8" s="875"/>
      <c r="YB8" s="875"/>
      <c r="YC8" s="875"/>
      <c r="YD8" s="875"/>
      <c r="YE8" s="875"/>
      <c r="YF8" s="875"/>
      <c r="YG8" s="875"/>
      <c r="YH8" s="875"/>
      <c r="YI8" s="875"/>
      <c r="YJ8" s="875"/>
      <c r="YK8" s="875"/>
      <c r="YL8" s="875"/>
      <c r="YM8" s="875"/>
      <c r="YN8" s="875"/>
      <c r="YO8" s="875"/>
      <c r="YP8" s="875"/>
      <c r="YQ8" s="875"/>
      <c r="YR8" s="875"/>
      <c r="YS8" s="875"/>
      <c r="YT8" s="875"/>
      <c r="YU8" s="875"/>
      <c r="YV8" s="875"/>
      <c r="YW8" s="875"/>
      <c r="YX8" s="875"/>
      <c r="YY8" s="875"/>
      <c r="YZ8" s="875"/>
      <c r="ZA8" s="875"/>
      <c r="ZB8" s="875"/>
      <c r="ZC8" s="875"/>
      <c r="ZD8" s="875"/>
      <c r="ZE8" s="875"/>
      <c r="ZF8" s="875"/>
      <c r="ZG8" s="875"/>
      <c r="ZH8" s="875"/>
      <c r="ZI8" s="875"/>
      <c r="ZJ8" s="875"/>
      <c r="ZK8" s="875"/>
      <c r="ZL8" s="875"/>
      <c r="ZM8" s="875"/>
      <c r="ZN8" s="875"/>
      <c r="ZO8" s="875"/>
      <c r="ZP8" s="875"/>
      <c r="ZQ8" s="875"/>
      <c r="ZR8" s="875"/>
      <c r="ZS8" s="875"/>
      <c r="ZT8" s="875"/>
      <c r="ZU8" s="875"/>
      <c r="ZV8" s="875"/>
      <c r="ZW8" s="875"/>
      <c r="ZX8" s="875"/>
      <c r="ZY8" s="875"/>
      <c r="ZZ8" s="875"/>
      <c r="AAA8" s="875"/>
      <c r="AAB8" s="875"/>
      <c r="AAC8" s="875"/>
      <c r="AAD8" s="875"/>
      <c r="AAE8" s="875"/>
      <c r="AAF8" s="875"/>
      <c r="AAG8" s="875"/>
      <c r="AAH8" s="875"/>
      <c r="AAI8" s="875"/>
      <c r="AAJ8" s="875"/>
      <c r="AAK8" s="875"/>
      <c r="AAL8" s="875"/>
      <c r="AAM8" s="875"/>
      <c r="AAN8" s="875"/>
      <c r="AAO8" s="875"/>
      <c r="AAP8" s="875"/>
      <c r="AAQ8" s="875"/>
      <c r="AAR8" s="875"/>
      <c r="AAS8" s="875"/>
      <c r="AAT8" s="875"/>
      <c r="AAU8" s="875"/>
      <c r="AAV8" s="875"/>
      <c r="AAW8" s="875"/>
      <c r="AAX8" s="875"/>
      <c r="AAY8" s="875"/>
      <c r="AAZ8" s="875"/>
      <c r="ABA8" s="875"/>
      <c r="ABB8" s="875"/>
      <c r="ABC8" s="875"/>
      <c r="ABD8" s="875"/>
      <c r="ABE8" s="875"/>
      <c r="ABF8" s="875"/>
      <c r="ABG8" s="875"/>
      <c r="ABH8" s="875"/>
      <c r="ABI8" s="875"/>
      <c r="ABJ8" s="875"/>
      <c r="ABK8" s="875"/>
      <c r="ABL8" s="875"/>
      <c r="ABM8" s="875"/>
      <c r="ABN8" s="875"/>
      <c r="ABO8" s="875"/>
      <c r="ABP8" s="875"/>
      <c r="ABQ8" s="875"/>
      <c r="ABR8" s="875"/>
      <c r="ABS8" s="875"/>
      <c r="ABT8" s="875"/>
      <c r="ABU8" s="875"/>
      <c r="ABV8" s="875"/>
      <c r="ABW8" s="875"/>
      <c r="ABX8" s="875"/>
      <c r="ABY8" s="875"/>
      <c r="ABZ8" s="875"/>
      <c r="ACA8" s="875"/>
      <c r="ACB8" s="875"/>
      <c r="ACC8" s="875"/>
      <c r="ACD8" s="875"/>
      <c r="ACE8" s="875"/>
      <c r="ACF8" s="875"/>
      <c r="ACG8" s="875"/>
      <c r="ACH8" s="875"/>
      <c r="ACI8" s="875"/>
      <c r="ACJ8" s="875"/>
      <c r="ACK8" s="875"/>
      <c r="ACL8" s="875"/>
      <c r="ACM8" s="875"/>
      <c r="ACN8" s="875"/>
      <c r="ACO8" s="875"/>
      <c r="ACP8" s="875"/>
      <c r="ACQ8" s="875"/>
      <c r="ACR8" s="875"/>
      <c r="ACS8" s="875"/>
      <c r="ACT8" s="875"/>
      <c r="ACU8" s="875"/>
      <c r="ACV8" s="875"/>
      <c r="ACW8" s="875"/>
      <c r="ACX8" s="875"/>
      <c r="ACY8" s="875"/>
      <c r="ACZ8" s="875"/>
      <c r="ADA8" s="875"/>
      <c r="ADB8" s="875"/>
      <c r="ADC8" s="875"/>
      <c r="ADD8" s="875"/>
      <c r="ADE8" s="875"/>
      <c r="ADF8" s="875"/>
      <c r="ADG8" s="875"/>
      <c r="ADH8" s="875"/>
      <c r="ADI8" s="875"/>
      <c r="ADJ8" s="875"/>
      <c r="ADK8" s="875"/>
      <c r="ADL8" s="875"/>
      <c r="ADM8" s="875"/>
      <c r="ADN8" s="875"/>
      <c r="ADO8" s="875"/>
      <c r="ADP8" s="875"/>
      <c r="ADQ8" s="875"/>
      <c r="ADR8" s="875"/>
      <c r="ADS8" s="875"/>
      <c r="ADT8" s="875"/>
      <c r="ADU8" s="875"/>
      <c r="ADV8" s="875"/>
      <c r="ADW8" s="875"/>
      <c r="ADX8" s="875"/>
      <c r="ADY8" s="875"/>
      <c r="ADZ8" s="875"/>
      <c r="AEA8" s="875"/>
      <c r="AEB8" s="875"/>
      <c r="AEC8" s="875"/>
      <c r="AED8" s="875"/>
      <c r="AEE8" s="875"/>
      <c r="AEF8" s="875"/>
      <c r="AEG8" s="875"/>
      <c r="AEH8" s="875"/>
      <c r="AEI8" s="875"/>
      <c r="AEJ8" s="875"/>
      <c r="AEK8" s="875"/>
      <c r="AEL8" s="875"/>
      <c r="AEM8" s="875"/>
      <c r="AEN8" s="875"/>
      <c r="AEO8" s="875"/>
      <c r="AEP8" s="875"/>
      <c r="AEQ8" s="875"/>
      <c r="AER8" s="875"/>
      <c r="AES8" s="875"/>
      <c r="AET8" s="875"/>
      <c r="AEU8" s="875"/>
      <c r="AEV8" s="875"/>
      <c r="AEW8" s="875"/>
      <c r="AEX8" s="875"/>
      <c r="AEY8" s="875"/>
      <c r="AEZ8" s="875"/>
      <c r="AFA8" s="875"/>
      <c r="AFB8" s="875"/>
      <c r="AFC8" s="875"/>
      <c r="AFD8" s="875"/>
      <c r="AFE8" s="875"/>
      <c r="AFF8" s="875"/>
      <c r="AFG8" s="875"/>
      <c r="AFH8" s="875"/>
      <c r="AFI8" s="875"/>
      <c r="AFJ8" s="875"/>
      <c r="AFK8" s="875"/>
      <c r="AFL8" s="875"/>
      <c r="AFM8" s="875"/>
      <c r="AFN8" s="875"/>
      <c r="AFO8" s="875"/>
      <c r="AFP8" s="875"/>
      <c r="AFQ8" s="875"/>
      <c r="AFR8" s="875"/>
      <c r="AFS8" s="875"/>
      <c r="AFT8" s="875"/>
      <c r="AFU8" s="875"/>
      <c r="AFV8" s="875"/>
      <c r="AFW8" s="875"/>
      <c r="AFX8" s="875"/>
      <c r="AFY8" s="875"/>
      <c r="AFZ8" s="875"/>
      <c r="AGA8" s="875"/>
      <c r="AGB8" s="875"/>
      <c r="AGC8" s="875"/>
      <c r="AGD8" s="875"/>
      <c r="AGE8" s="875"/>
      <c r="AGF8" s="875"/>
      <c r="AGG8" s="875"/>
      <c r="AGH8" s="875"/>
      <c r="AGI8" s="875"/>
      <c r="AGJ8" s="875"/>
      <c r="AGK8" s="875"/>
      <c r="AGL8" s="875"/>
      <c r="AGM8" s="875"/>
      <c r="AGN8" s="875"/>
      <c r="AGO8" s="875"/>
      <c r="AGP8" s="875"/>
      <c r="AGQ8" s="875"/>
      <c r="AGR8" s="875"/>
      <c r="AGS8" s="875"/>
      <c r="AGT8" s="875"/>
      <c r="AGU8" s="875"/>
      <c r="AGV8" s="875"/>
      <c r="AGW8" s="875"/>
      <c r="AGX8" s="875"/>
      <c r="AGY8" s="875"/>
      <c r="AGZ8" s="875"/>
      <c r="AHA8" s="875"/>
      <c r="AHB8" s="875"/>
      <c r="AHC8" s="875"/>
      <c r="AHD8" s="875"/>
      <c r="AHE8" s="875"/>
      <c r="AHF8" s="875"/>
      <c r="AHG8" s="875"/>
      <c r="AHH8" s="875"/>
      <c r="AHI8" s="875"/>
      <c r="AHJ8" s="875"/>
      <c r="AHK8" s="875"/>
      <c r="AHL8" s="875"/>
      <c r="AHM8" s="875"/>
      <c r="AHN8" s="875"/>
      <c r="AHO8" s="875"/>
      <c r="AHP8" s="875"/>
      <c r="AHQ8" s="875"/>
      <c r="AHR8" s="875"/>
      <c r="AHS8" s="875"/>
      <c r="AHT8" s="875"/>
      <c r="AHU8" s="875"/>
      <c r="AHV8" s="875"/>
      <c r="AHW8" s="875"/>
      <c r="AHX8" s="875"/>
      <c r="AHY8" s="875"/>
      <c r="AHZ8" s="875"/>
      <c r="AIA8" s="875"/>
      <c r="AIB8" s="875"/>
      <c r="AIC8" s="875"/>
      <c r="AID8" s="875"/>
      <c r="AIE8" s="875"/>
      <c r="AIF8" s="875"/>
      <c r="AIG8" s="875"/>
      <c r="AIH8" s="875"/>
      <c r="AII8" s="875"/>
      <c r="AIJ8" s="875"/>
      <c r="AIK8" s="875"/>
      <c r="AIL8" s="875"/>
      <c r="AIM8" s="875"/>
      <c r="AIN8" s="875"/>
      <c r="AIO8" s="875"/>
      <c r="AIP8" s="875"/>
      <c r="AIQ8" s="875"/>
      <c r="AIR8" s="875"/>
      <c r="AIS8" s="875"/>
      <c r="AIT8" s="875"/>
      <c r="AIU8" s="875"/>
      <c r="AIV8" s="875"/>
      <c r="AIW8" s="875"/>
      <c r="AIX8" s="875"/>
      <c r="AIY8" s="875"/>
      <c r="AIZ8" s="875"/>
      <c r="AJA8" s="875"/>
      <c r="AJB8" s="875"/>
      <c r="AJC8" s="875"/>
      <c r="AJD8" s="875"/>
      <c r="AJE8" s="875"/>
      <c r="AJF8" s="875"/>
      <c r="AJG8" s="875"/>
      <c r="AJH8" s="875"/>
      <c r="AJI8" s="875"/>
      <c r="AJJ8" s="875"/>
      <c r="AJK8" s="875"/>
      <c r="AJL8" s="875"/>
      <c r="AJM8" s="875"/>
      <c r="AJN8" s="875"/>
      <c r="AJO8" s="875"/>
      <c r="AJP8" s="875"/>
      <c r="AJQ8" s="875"/>
      <c r="AJR8" s="875"/>
      <c r="AJS8" s="875"/>
      <c r="AJT8" s="875"/>
      <c r="AJU8" s="875"/>
      <c r="AJV8" s="875"/>
      <c r="AJW8" s="875"/>
      <c r="AJX8" s="875"/>
      <c r="AJY8" s="875"/>
      <c r="AJZ8" s="875"/>
      <c r="AKA8" s="875"/>
      <c r="AKB8" s="875"/>
      <c r="AKC8" s="875"/>
      <c r="AKD8" s="875"/>
      <c r="AKE8" s="875"/>
      <c r="AKF8" s="875"/>
      <c r="AKG8" s="875"/>
      <c r="AKH8" s="875"/>
      <c r="AKI8" s="875"/>
      <c r="AKJ8" s="875"/>
      <c r="AKK8" s="875"/>
      <c r="AKL8" s="875"/>
      <c r="AKM8" s="875"/>
      <c r="AKN8" s="875"/>
      <c r="AKO8" s="875"/>
      <c r="AKP8" s="875"/>
      <c r="AKQ8" s="875"/>
      <c r="AKR8" s="875"/>
      <c r="AKS8" s="875"/>
      <c r="AKT8" s="875"/>
      <c r="AKU8" s="875"/>
      <c r="AKV8" s="875"/>
      <c r="AKW8" s="875"/>
      <c r="AKX8" s="875"/>
      <c r="AKY8" s="875"/>
      <c r="AKZ8" s="875"/>
      <c r="ALA8" s="875"/>
      <c r="ALB8" s="875"/>
      <c r="ALC8" s="875"/>
      <c r="ALD8" s="875"/>
      <c r="ALE8" s="875"/>
      <c r="ALF8" s="875"/>
      <c r="ALG8" s="875"/>
      <c r="ALH8" s="875"/>
      <c r="ALI8" s="875"/>
      <c r="ALJ8" s="875"/>
      <c r="ALK8" s="875"/>
      <c r="ALL8" s="875"/>
      <c r="ALM8" s="875"/>
      <c r="ALN8" s="875"/>
      <c r="ALO8" s="875"/>
      <c r="ALP8" s="875"/>
      <c r="ALQ8" s="875"/>
      <c r="ALR8" s="875"/>
      <c r="ALS8" s="875"/>
      <c r="ALT8" s="875"/>
      <c r="ALU8" s="875"/>
      <c r="ALV8" s="875"/>
      <c r="ALW8" s="875"/>
      <c r="ALX8" s="875"/>
      <c r="ALY8" s="875"/>
      <c r="ALZ8" s="875"/>
      <c r="AMA8" s="875"/>
      <c r="AMB8" s="875"/>
      <c r="AMC8" s="875"/>
      <c r="AMD8" s="875"/>
      <c r="AME8" s="875"/>
      <c r="AMF8" s="875"/>
      <c r="AMG8" s="875"/>
      <c r="AMH8" s="875"/>
      <c r="AMI8" s="875"/>
      <c r="AMJ8" s="875"/>
      <c r="AMK8" s="875"/>
      <c r="AML8" s="875"/>
      <c r="AMM8" s="875"/>
      <c r="AMN8" s="875"/>
      <c r="AMO8" s="875"/>
      <c r="AMP8" s="875"/>
      <c r="AMQ8" s="875"/>
      <c r="AMR8" s="875"/>
      <c r="AMS8" s="875"/>
      <c r="AMT8" s="875"/>
      <c r="AMU8" s="875"/>
      <c r="AMV8" s="875"/>
      <c r="AMW8" s="875"/>
      <c r="AMX8" s="875"/>
      <c r="AMY8" s="875"/>
      <c r="AMZ8" s="875"/>
      <c r="ANA8" s="875"/>
      <c r="ANB8" s="875"/>
      <c r="ANC8" s="875"/>
      <c r="AND8" s="875"/>
      <c r="ANE8" s="875"/>
      <c r="ANF8" s="875"/>
      <c r="ANG8" s="875"/>
      <c r="ANH8" s="875"/>
      <c r="ANI8" s="875"/>
      <c r="ANJ8" s="875"/>
      <c r="ANK8" s="875"/>
      <c r="ANL8" s="875"/>
      <c r="ANM8" s="875"/>
      <c r="ANN8" s="875"/>
      <c r="ANO8" s="875"/>
      <c r="ANP8" s="875"/>
      <c r="ANQ8" s="875"/>
      <c r="ANR8" s="875"/>
      <c r="ANS8" s="875"/>
      <c r="ANT8" s="875"/>
      <c r="ANU8" s="875"/>
      <c r="ANV8" s="875"/>
      <c r="ANW8" s="875"/>
      <c r="ANX8" s="875"/>
      <c r="ANY8" s="875"/>
      <c r="ANZ8" s="875"/>
      <c r="AOA8" s="875"/>
      <c r="AOB8" s="875"/>
      <c r="AOC8" s="875"/>
      <c r="AOD8" s="875"/>
      <c r="AOE8" s="875"/>
      <c r="AOF8" s="875"/>
      <c r="AOG8" s="875"/>
      <c r="AOH8" s="875"/>
      <c r="AOI8" s="875"/>
      <c r="AOJ8" s="875"/>
      <c r="AOK8" s="875"/>
      <c r="AOL8" s="875"/>
      <c r="AOM8" s="875"/>
      <c r="AON8" s="875"/>
      <c r="AOO8" s="875"/>
      <c r="AOP8" s="875"/>
      <c r="AOQ8" s="875"/>
      <c r="AOR8" s="875"/>
      <c r="AOS8" s="875"/>
      <c r="AOT8" s="875"/>
      <c r="AOU8" s="875"/>
      <c r="AOV8" s="875"/>
      <c r="AOW8" s="875"/>
      <c r="AOX8" s="875"/>
      <c r="AOY8" s="875"/>
      <c r="AOZ8" s="875"/>
      <c r="APA8" s="875"/>
      <c r="APB8" s="875"/>
      <c r="APC8" s="875"/>
      <c r="APD8" s="875"/>
      <c r="APE8" s="875"/>
      <c r="APF8" s="875"/>
      <c r="APG8" s="875"/>
      <c r="APH8" s="875"/>
      <c r="API8" s="875"/>
      <c r="APJ8" s="875"/>
      <c r="APK8" s="875"/>
      <c r="APL8" s="875"/>
      <c r="APM8" s="875"/>
      <c r="APN8" s="875"/>
      <c r="APO8" s="875"/>
      <c r="APP8" s="875"/>
      <c r="APQ8" s="875"/>
      <c r="APR8" s="875"/>
      <c r="APS8" s="875"/>
      <c r="APT8" s="875"/>
      <c r="APU8" s="875"/>
      <c r="APV8" s="875"/>
      <c r="APW8" s="875"/>
      <c r="APX8" s="875"/>
      <c r="APY8" s="875"/>
      <c r="APZ8" s="875"/>
      <c r="AQA8" s="875"/>
      <c r="AQB8" s="875"/>
      <c r="AQC8" s="875"/>
      <c r="AQD8" s="875"/>
      <c r="AQE8" s="875"/>
      <c r="AQF8" s="875"/>
      <c r="AQG8" s="875"/>
      <c r="AQH8" s="875"/>
      <c r="AQI8" s="875"/>
      <c r="AQJ8" s="875"/>
      <c r="AQK8" s="875"/>
      <c r="AQL8" s="875"/>
      <c r="AQM8" s="875"/>
      <c r="AQN8" s="875"/>
      <c r="AQO8" s="875"/>
      <c r="AQP8" s="875"/>
      <c r="AQQ8" s="875"/>
      <c r="AQR8" s="875"/>
      <c r="AQS8" s="875"/>
      <c r="AQT8" s="875"/>
      <c r="AQU8" s="875"/>
      <c r="AQV8" s="875"/>
      <c r="AQW8" s="875"/>
      <c r="AQX8" s="875"/>
      <c r="AQY8" s="875"/>
      <c r="AQZ8" s="875"/>
      <c r="ARA8" s="875"/>
      <c r="ARB8" s="875"/>
      <c r="ARC8" s="875"/>
      <c r="ARD8" s="875"/>
      <c r="ARE8" s="875"/>
      <c r="ARF8" s="875"/>
      <c r="ARG8" s="875"/>
      <c r="ARH8" s="875"/>
      <c r="ARI8" s="875"/>
      <c r="ARJ8" s="875"/>
      <c r="ARK8" s="875"/>
      <c r="ARL8" s="875"/>
      <c r="ARM8" s="875"/>
      <c r="ARN8" s="875"/>
      <c r="ARO8" s="875"/>
      <c r="ARP8" s="875"/>
      <c r="ARQ8" s="875"/>
      <c r="ARR8" s="875"/>
      <c r="ARS8" s="875"/>
      <c r="ART8" s="875"/>
      <c r="ARU8" s="875"/>
      <c r="ARV8" s="875"/>
      <c r="ARW8" s="875"/>
      <c r="ARX8" s="875"/>
      <c r="ARY8" s="875"/>
      <c r="ARZ8" s="875"/>
      <c r="ASA8" s="875"/>
      <c r="ASB8" s="875"/>
      <c r="ASC8" s="875"/>
      <c r="ASD8" s="875"/>
      <c r="ASE8" s="875"/>
      <c r="ASF8" s="875"/>
      <c r="ASG8" s="875"/>
      <c r="ASH8" s="875"/>
      <c r="ASI8" s="875"/>
      <c r="ASJ8" s="875"/>
      <c r="ASK8" s="875"/>
      <c r="ASL8" s="875"/>
      <c r="ASM8" s="875"/>
      <c r="ASN8" s="875"/>
      <c r="ASO8" s="875"/>
      <c r="ASP8" s="875"/>
      <c r="ASQ8" s="875"/>
      <c r="ASR8" s="875"/>
      <c r="ASS8" s="875"/>
      <c r="AST8" s="875"/>
      <c r="ASU8" s="875"/>
      <c r="ASV8" s="875"/>
      <c r="ASW8" s="875"/>
      <c r="ASX8" s="875"/>
      <c r="ASY8" s="875"/>
      <c r="ASZ8" s="875"/>
      <c r="ATA8" s="875"/>
      <c r="ATB8" s="875"/>
      <c r="ATC8" s="875"/>
      <c r="ATD8" s="875"/>
      <c r="ATE8" s="875"/>
      <c r="ATF8" s="875"/>
      <c r="ATG8" s="875"/>
      <c r="ATH8" s="875"/>
      <c r="ATI8" s="875"/>
      <c r="ATJ8" s="875"/>
      <c r="ATK8" s="875"/>
      <c r="ATL8" s="875"/>
      <c r="ATM8" s="875"/>
      <c r="ATN8" s="875"/>
      <c r="ATO8" s="875"/>
      <c r="ATP8" s="875"/>
      <c r="ATQ8" s="875"/>
      <c r="ATR8" s="875"/>
      <c r="ATS8" s="875"/>
      <c r="ATT8" s="875"/>
      <c r="ATU8" s="875"/>
      <c r="ATV8" s="875"/>
      <c r="ATW8" s="875"/>
      <c r="ATX8" s="875"/>
      <c r="ATY8" s="875"/>
      <c r="ATZ8" s="875"/>
      <c r="AUA8" s="875"/>
      <c r="AUB8" s="875"/>
      <c r="AUC8" s="875"/>
      <c r="AUD8" s="875"/>
      <c r="AUE8" s="875"/>
      <c r="AUF8" s="875"/>
      <c r="AUG8" s="875"/>
      <c r="AUH8" s="875"/>
      <c r="AUI8" s="875"/>
      <c r="AUJ8" s="875"/>
      <c r="AUK8" s="875"/>
      <c r="AUL8" s="875"/>
      <c r="AUM8" s="875"/>
      <c r="AUN8" s="875"/>
      <c r="AUO8" s="875"/>
      <c r="AUP8" s="875"/>
      <c r="AUQ8" s="875"/>
      <c r="AUR8" s="875"/>
      <c r="AUS8" s="875"/>
      <c r="AUT8" s="875"/>
      <c r="AUU8" s="875"/>
      <c r="AUV8" s="875"/>
      <c r="AUW8" s="875"/>
      <c r="AUX8" s="875"/>
      <c r="AUY8" s="875"/>
      <c r="AUZ8" s="875"/>
      <c r="AVA8" s="875"/>
      <c r="AVB8" s="875"/>
      <c r="AVC8" s="875"/>
      <c r="AVD8" s="875"/>
      <c r="AVE8" s="875"/>
      <c r="AVF8" s="875"/>
      <c r="AVG8" s="875"/>
      <c r="AVH8" s="875"/>
      <c r="AVI8" s="875"/>
      <c r="AVJ8" s="875"/>
      <c r="AVK8" s="875"/>
      <c r="AVL8" s="875"/>
      <c r="AVM8" s="875"/>
      <c r="AVN8" s="875"/>
      <c r="AVO8" s="875"/>
      <c r="AVP8" s="875"/>
      <c r="AVQ8" s="875"/>
      <c r="AVR8" s="875"/>
      <c r="AVS8" s="875"/>
      <c r="AVT8" s="875"/>
      <c r="AVU8" s="875"/>
      <c r="AVV8" s="875"/>
      <c r="AVW8" s="875"/>
      <c r="AVX8" s="875"/>
      <c r="AVY8" s="875"/>
      <c r="AVZ8" s="875"/>
      <c r="AWA8" s="875"/>
      <c r="AWB8" s="875"/>
      <c r="AWC8" s="875"/>
      <c r="AWD8" s="875"/>
      <c r="AWE8" s="875"/>
      <c r="AWF8" s="875"/>
      <c r="AWG8" s="875"/>
      <c r="AWH8" s="875"/>
      <c r="AWI8" s="875"/>
      <c r="AWJ8" s="875"/>
      <c r="AWK8" s="875"/>
      <c r="AWL8" s="875"/>
      <c r="AWM8" s="875"/>
      <c r="AWN8" s="875"/>
      <c r="AWO8" s="875"/>
      <c r="AWP8" s="875"/>
      <c r="AWQ8" s="875"/>
      <c r="AWR8" s="875"/>
      <c r="AWS8" s="875"/>
      <c r="AWT8" s="875"/>
      <c r="AWU8" s="875"/>
      <c r="AWV8" s="875"/>
      <c r="AWW8" s="875"/>
      <c r="AWX8" s="875"/>
      <c r="AWY8" s="875"/>
      <c r="AWZ8" s="875"/>
      <c r="AXA8" s="875"/>
      <c r="AXB8" s="875"/>
      <c r="AXC8" s="875"/>
      <c r="AXD8" s="875"/>
      <c r="AXE8" s="875"/>
      <c r="AXF8" s="875"/>
      <c r="AXG8" s="875"/>
      <c r="AXH8" s="875"/>
      <c r="AXI8" s="875"/>
      <c r="AXJ8" s="875"/>
      <c r="AXK8" s="875"/>
      <c r="AXL8" s="875"/>
      <c r="AXM8" s="875"/>
      <c r="AXN8" s="875"/>
      <c r="AXO8" s="875"/>
      <c r="AXP8" s="875"/>
      <c r="AXQ8" s="875"/>
      <c r="AXR8" s="875"/>
      <c r="AXS8" s="875"/>
      <c r="AXT8" s="875"/>
      <c r="AXU8" s="875"/>
      <c r="AXV8" s="875"/>
      <c r="AXW8" s="875"/>
      <c r="AXX8" s="875"/>
      <c r="AXY8" s="875"/>
      <c r="AXZ8" s="875"/>
      <c r="AYA8" s="875"/>
      <c r="AYB8" s="875"/>
      <c r="AYC8" s="875"/>
      <c r="AYD8" s="875"/>
      <c r="AYE8" s="875"/>
      <c r="AYF8" s="875"/>
      <c r="AYG8" s="875"/>
      <c r="AYH8" s="875"/>
      <c r="AYI8" s="875"/>
      <c r="AYJ8" s="875"/>
      <c r="AYK8" s="875"/>
      <c r="AYL8" s="875"/>
      <c r="AYM8" s="875"/>
      <c r="AYN8" s="875"/>
      <c r="AYO8" s="875"/>
      <c r="AYP8" s="875"/>
      <c r="AYQ8" s="875"/>
      <c r="AYR8" s="875"/>
      <c r="AYS8" s="875"/>
      <c r="AYT8" s="875"/>
      <c r="AYU8" s="875"/>
      <c r="AYV8" s="875"/>
      <c r="AYW8" s="875"/>
      <c r="AYX8" s="875"/>
      <c r="AYY8" s="875"/>
      <c r="AYZ8" s="875"/>
      <c r="AZA8" s="875"/>
      <c r="AZB8" s="875"/>
      <c r="AZC8" s="875"/>
      <c r="AZD8" s="875"/>
      <c r="AZE8" s="875"/>
      <c r="AZF8" s="875"/>
      <c r="AZG8" s="875"/>
      <c r="AZH8" s="875"/>
      <c r="AZI8" s="875"/>
      <c r="AZJ8" s="875"/>
      <c r="AZK8" s="875"/>
      <c r="AZL8" s="875"/>
      <c r="AZM8" s="875"/>
      <c r="AZN8" s="875"/>
      <c r="AZO8" s="875"/>
      <c r="AZP8" s="875"/>
      <c r="AZQ8" s="875"/>
      <c r="AZR8" s="875"/>
      <c r="AZS8" s="875"/>
      <c r="AZT8" s="875"/>
      <c r="AZU8" s="875"/>
      <c r="AZV8" s="875"/>
      <c r="AZW8" s="875"/>
      <c r="AZX8" s="875"/>
      <c r="AZY8" s="875"/>
      <c r="AZZ8" s="875"/>
      <c r="BAA8" s="875"/>
      <c r="BAB8" s="875"/>
      <c r="BAC8" s="875"/>
      <c r="BAD8" s="875"/>
      <c r="BAE8" s="875"/>
      <c r="BAF8" s="875"/>
      <c r="BAG8" s="875"/>
      <c r="BAH8" s="875"/>
      <c r="BAI8" s="875"/>
      <c r="BAJ8" s="875"/>
      <c r="BAK8" s="875"/>
      <c r="BAL8" s="875"/>
      <c r="BAM8" s="875"/>
      <c r="BAN8" s="875"/>
      <c r="BAO8" s="875"/>
      <c r="BAP8" s="875"/>
      <c r="BAQ8" s="875"/>
      <c r="BAR8" s="875"/>
      <c r="BAS8" s="875"/>
      <c r="BAT8" s="875"/>
      <c r="BAU8" s="875"/>
      <c r="BAV8" s="875"/>
      <c r="BAW8" s="875"/>
      <c r="BAX8" s="875"/>
      <c r="BAY8" s="875"/>
      <c r="BAZ8" s="875"/>
      <c r="BBA8" s="875"/>
      <c r="BBB8" s="875"/>
      <c r="BBC8" s="875"/>
      <c r="BBD8" s="875"/>
      <c r="BBE8" s="875"/>
      <c r="BBF8" s="875"/>
      <c r="BBG8" s="875"/>
      <c r="BBH8" s="875"/>
      <c r="BBI8" s="875"/>
      <c r="BBJ8" s="875"/>
      <c r="BBK8" s="875"/>
      <c r="BBL8" s="875"/>
      <c r="BBM8" s="875"/>
      <c r="BBN8" s="875"/>
      <c r="BBO8" s="875"/>
      <c r="BBP8" s="875"/>
      <c r="BBQ8" s="875"/>
      <c r="BBR8" s="875"/>
      <c r="BBS8" s="875"/>
      <c r="BBT8" s="875"/>
      <c r="BBU8" s="875"/>
      <c r="BBV8" s="875"/>
      <c r="BBW8" s="875"/>
      <c r="BBX8" s="875"/>
      <c r="BBY8" s="875"/>
      <c r="BBZ8" s="875"/>
      <c r="BCA8" s="875"/>
      <c r="BCB8" s="875"/>
      <c r="BCC8" s="875"/>
      <c r="BCD8" s="875"/>
      <c r="BCE8" s="875"/>
      <c r="BCF8" s="875"/>
      <c r="BCG8" s="875"/>
      <c r="BCH8" s="875"/>
      <c r="BCI8" s="875"/>
      <c r="BCJ8" s="875"/>
      <c r="BCK8" s="875"/>
      <c r="BCL8" s="875"/>
      <c r="BCM8" s="875"/>
      <c r="BCN8" s="875"/>
      <c r="BCO8" s="875"/>
      <c r="BCP8" s="875"/>
      <c r="BCQ8" s="875"/>
      <c r="BCR8" s="875"/>
      <c r="BCS8" s="875"/>
      <c r="BCT8" s="875"/>
      <c r="BCU8" s="875"/>
      <c r="BCV8" s="875"/>
      <c r="BCW8" s="875"/>
      <c r="BCX8" s="875"/>
      <c r="BCY8" s="875"/>
      <c r="BCZ8" s="875"/>
      <c r="BDA8" s="875"/>
      <c r="BDB8" s="875"/>
      <c r="BDC8" s="875"/>
      <c r="BDD8" s="875"/>
      <c r="BDE8" s="875"/>
      <c r="BDF8" s="875"/>
      <c r="BDG8" s="875"/>
      <c r="BDH8" s="875"/>
      <c r="BDI8" s="875"/>
      <c r="BDJ8" s="875"/>
      <c r="BDK8" s="875"/>
      <c r="BDL8" s="875"/>
      <c r="BDM8" s="875"/>
      <c r="BDN8" s="875"/>
      <c r="BDO8" s="875"/>
      <c r="BDP8" s="875"/>
      <c r="BDQ8" s="875"/>
      <c r="BDR8" s="875"/>
      <c r="BDS8" s="875"/>
      <c r="BDT8" s="875"/>
      <c r="BDU8" s="875"/>
      <c r="BDV8" s="875"/>
      <c r="BDW8" s="875"/>
      <c r="BDX8" s="875"/>
      <c r="BDY8" s="875"/>
      <c r="BDZ8" s="875"/>
      <c r="BEA8" s="875"/>
      <c r="BEB8" s="875"/>
      <c r="BEC8" s="875"/>
      <c r="BED8" s="875"/>
      <c r="BEE8" s="875"/>
      <c r="BEF8" s="875"/>
      <c r="BEG8" s="875"/>
      <c r="BEH8" s="875"/>
      <c r="BEI8" s="875"/>
      <c r="BEJ8" s="875"/>
      <c r="BEK8" s="875"/>
      <c r="BEL8" s="875"/>
      <c r="BEM8" s="875"/>
      <c r="BEN8" s="875"/>
      <c r="BEO8" s="875"/>
      <c r="BEP8" s="875"/>
      <c r="BEQ8" s="875"/>
      <c r="BER8" s="875"/>
      <c r="BES8" s="875"/>
      <c r="BET8" s="875"/>
      <c r="BEU8" s="875"/>
      <c r="BEV8" s="875"/>
      <c r="BEW8" s="875"/>
      <c r="BEX8" s="875"/>
      <c r="BEY8" s="875"/>
      <c r="BEZ8" s="875"/>
      <c r="BFA8" s="875"/>
      <c r="BFB8" s="875"/>
      <c r="BFC8" s="875"/>
      <c r="BFD8" s="875"/>
      <c r="BFE8" s="875"/>
      <c r="BFF8" s="875"/>
      <c r="BFG8" s="875"/>
      <c r="BFH8" s="875"/>
      <c r="BFI8" s="875"/>
      <c r="BFJ8" s="875"/>
      <c r="BFK8" s="875"/>
      <c r="BFL8" s="875"/>
      <c r="BFM8" s="875"/>
      <c r="BFN8" s="875"/>
      <c r="BFO8" s="875"/>
      <c r="BFP8" s="875"/>
      <c r="BFQ8" s="875"/>
      <c r="BFR8" s="875"/>
      <c r="BFS8" s="875"/>
      <c r="BFT8" s="875"/>
      <c r="BFU8" s="875"/>
      <c r="BFV8" s="875"/>
      <c r="BFW8" s="875"/>
      <c r="BFX8" s="875"/>
      <c r="BFY8" s="875"/>
      <c r="BFZ8" s="875"/>
      <c r="BGA8" s="875"/>
      <c r="BGB8" s="875"/>
      <c r="BGC8" s="875"/>
      <c r="BGD8" s="875"/>
      <c r="BGE8" s="875"/>
      <c r="BGF8" s="875"/>
      <c r="BGG8" s="875"/>
      <c r="BGH8" s="875"/>
      <c r="BGI8" s="875"/>
      <c r="BGJ8" s="875"/>
      <c r="BGK8" s="875"/>
      <c r="BGL8" s="875"/>
      <c r="BGM8" s="875"/>
      <c r="BGN8" s="875"/>
      <c r="BGO8" s="875"/>
      <c r="BGP8" s="875"/>
      <c r="BGQ8" s="875"/>
      <c r="BGR8" s="875"/>
      <c r="BGS8" s="875"/>
      <c r="BGT8" s="875"/>
      <c r="BGU8" s="875"/>
      <c r="BGV8" s="875"/>
      <c r="BGW8" s="875"/>
      <c r="BGX8" s="875"/>
      <c r="BGY8" s="875"/>
      <c r="BGZ8" s="875"/>
      <c r="BHA8" s="875"/>
      <c r="BHB8" s="875"/>
      <c r="BHC8" s="875"/>
      <c r="BHD8" s="875"/>
      <c r="BHE8" s="875"/>
      <c r="BHF8" s="875"/>
      <c r="BHG8" s="875"/>
      <c r="BHH8" s="875"/>
      <c r="BHI8" s="875"/>
      <c r="BHJ8" s="875"/>
      <c r="BHK8" s="875"/>
      <c r="BHL8" s="875"/>
      <c r="BHM8" s="875"/>
      <c r="BHN8" s="875"/>
      <c r="BHO8" s="875"/>
      <c r="BHP8" s="875"/>
      <c r="BHQ8" s="875"/>
      <c r="BHR8" s="875"/>
      <c r="BHS8" s="875"/>
      <c r="BHT8" s="875"/>
      <c r="BHU8" s="875"/>
      <c r="BHV8" s="875"/>
      <c r="BHW8" s="875"/>
      <c r="BHX8" s="875"/>
      <c r="BHY8" s="875"/>
      <c r="BHZ8" s="875"/>
      <c r="BIA8" s="875"/>
      <c r="BIB8" s="875"/>
      <c r="BIC8" s="875"/>
      <c r="BID8" s="875"/>
      <c r="BIE8" s="875"/>
      <c r="BIF8" s="875"/>
      <c r="BIG8" s="875"/>
      <c r="BIH8" s="875"/>
      <c r="BII8" s="875"/>
      <c r="BIJ8" s="875"/>
      <c r="BIK8" s="875"/>
      <c r="BIL8" s="875"/>
      <c r="BIM8" s="875"/>
      <c r="BIN8" s="875"/>
      <c r="BIO8" s="875"/>
      <c r="BIP8" s="875"/>
      <c r="BIQ8" s="875"/>
      <c r="BIR8" s="875"/>
      <c r="BIS8" s="875"/>
      <c r="BIT8" s="875"/>
      <c r="BIU8" s="875"/>
      <c r="BIV8" s="875"/>
      <c r="BIW8" s="875"/>
      <c r="BIX8" s="875"/>
      <c r="BIY8" s="875"/>
      <c r="BIZ8" s="875"/>
      <c r="BJA8" s="875"/>
      <c r="BJB8" s="875"/>
      <c r="BJC8" s="875"/>
      <c r="BJD8" s="875"/>
      <c r="BJE8" s="875"/>
      <c r="BJF8" s="875"/>
      <c r="BJG8" s="875"/>
      <c r="BJH8" s="875"/>
      <c r="BJI8" s="875"/>
      <c r="BJJ8" s="875"/>
      <c r="BJK8" s="875"/>
      <c r="BJL8" s="875"/>
      <c r="BJM8" s="875"/>
      <c r="BJN8" s="875"/>
      <c r="BJO8" s="875"/>
      <c r="BJP8" s="875"/>
      <c r="BJQ8" s="875"/>
      <c r="BJR8" s="875"/>
      <c r="BJS8" s="875"/>
      <c r="BJT8" s="875"/>
      <c r="BJU8" s="875"/>
      <c r="BJV8" s="875"/>
      <c r="BJW8" s="875"/>
      <c r="BJX8" s="875"/>
      <c r="BJY8" s="875"/>
      <c r="BJZ8" s="875"/>
      <c r="BKA8" s="875"/>
      <c r="BKB8" s="875"/>
      <c r="BKC8" s="875"/>
      <c r="BKD8" s="875"/>
      <c r="BKE8" s="875"/>
      <c r="BKF8" s="875"/>
      <c r="BKG8" s="875"/>
      <c r="BKH8" s="875"/>
      <c r="BKI8" s="875"/>
      <c r="BKJ8" s="875"/>
      <c r="BKK8" s="875"/>
      <c r="BKL8" s="875"/>
      <c r="BKM8" s="875"/>
      <c r="BKN8" s="875"/>
      <c r="BKO8" s="875"/>
      <c r="BKP8" s="875"/>
      <c r="BKQ8" s="875"/>
      <c r="BKR8" s="875"/>
      <c r="BKS8" s="875"/>
      <c r="BKT8" s="875"/>
      <c r="BKU8" s="875"/>
      <c r="BKV8" s="875"/>
      <c r="BKW8" s="875"/>
      <c r="BKX8" s="875"/>
      <c r="BKY8" s="875"/>
      <c r="BKZ8" s="875"/>
      <c r="BLA8" s="875"/>
      <c r="BLB8" s="875"/>
      <c r="BLC8" s="875"/>
      <c r="BLD8" s="875"/>
      <c r="BLE8" s="875"/>
      <c r="BLF8" s="875"/>
      <c r="BLG8" s="875"/>
      <c r="BLH8" s="875"/>
      <c r="BLI8" s="875"/>
      <c r="BLJ8" s="875"/>
      <c r="BLK8" s="875"/>
      <c r="BLL8" s="875"/>
      <c r="BLM8" s="875"/>
      <c r="BLN8" s="875"/>
      <c r="BLO8" s="875"/>
      <c r="BLP8" s="875"/>
      <c r="BLQ8" s="875"/>
      <c r="BLR8" s="875"/>
      <c r="BLS8" s="875"/>
      <c r="BLT8" s="875"/>
      <c r="BLU8" s="875"/>
      <c r="BLV8" s="875"/>
      <c r="BLW8" s="875"/>
      <c r="BLX8" s="875"/>
      <c r="BLY8" s="875"/>
      <c r="BLZ8" s="875"/>
      <c r="BMA8" s="875"/>
      <c r="BMB8" s="875"/>
      <c r="BMC8" s="875"/>
      <c r="BMD8" s="875"/>
      <c r="BME8" s="875"/>
      <c r="BMF8" s="875"/>
      <c r="BMG8" s="875"/>
      <c r="BMH8" s="875"/>
      <c r="BMI8" s="875"/>
      <c r="BMJ8" s="875"/>
      <c r="BMK8" s="875"/>
      <c r="BML8" s="875"/>
      <c r="BMM8" s="875"/>
      <c r="BMN8" s="875"/>
      <c r="BMO8" s="875"/>
      <c r="BMP8" s="875"/>
      <c r="BMQ8" s="875"/>
      <c r="BMR8" s="875"/>
      <c r="BMS8" s="875"/>
      <c r="BMT8" s="875"/>
      <c r="BMU8" s="875"/>
      <c r="BMV8" s="875"/>
      <c r="BMW8" s="875"/>
      <c r="BMX8" s="875"/>
      <c r="BMY8" s="875"/>
      <c r="BMZ8" s="875"/>
      <c r="BNA8" s="875"/>
      <c r="BNB8" s="875"/>
      <c r="BNC8" s="875"/>
      <c r="BND8" s="875"/>
      <c r="BNE8" s="875"/>
      <c r="BNF8" s="875"/>
      <c r="BNG8" s="875"/>
      <c r="BNH8" s="875"/>
      <c r="BNI8" s="875"/>
      <c r="BNJ8" s="875"/>
      <c r="BNK8" s="875"/>
      <c r="BNL8" s="875"/>
      <c r="BNM8" s="875"/>
      <c r="BNN8" s="875"/>
      <c r="BNO8" s="875"/>
      <c r="BNP8" s="875"/>
      <c r="BNQ8" s="875"/>
      <c r="BNR8" s="875"/>
      <c r="BNS8" s="875"/>
      <c r="BNT8" s="875"/>
      <c r="BNU8" s="875"/>
      <c r="BNV8" s="875"/>
      <c r="BNW8" s="875"/>
      <c r="BNX8" s="875"/>
      <c r="BNY8" s="875"/>
      <c r="BNZ8" s="875"/>
      <c r="BOA8" s="875"/>
      <c r="BOB8" s="875"/>
      <c r="BOC8" s="875"/>
      <c r="BOD8" s="875"/>
      <c r="BOE8" s="875"/>
      <c r="BOF8" s="875"/>
      <c r="BOG8" s="875"/>
      <c r="BOH8" s="875"/>
      <c r="BOI8" s="875"/>
      <c r="BOJ8" s="875"/>
      <c r="BOK8" s="875"/>
      <c r="BOL8" s="875"/>
      <c r="BOM8" s="875"/>
      <c r="BON8" s="875"/>
      <c r="BOO8" s="875"/>
      <c r="BOP8" s="875"/>
      <c r="BOQ8" s="875"/>
      <c r="BOR8" s="875"/>
      <c r="BOS8" s="875"/>
      <c r="BOT8" s="875"/>
      <c r="BOU8" s="875"/>
      <c r="BOV8" s="875"/>
      <c r="BOW8" s="875"/>
      <c r="BOX8" s="875"/>
      <c r="BOY8" s="875"/>
      <c r="BOZ8" s="875"/>
      <c r="BPA8" s="875"/>
      <c r="BPB8" s="875"/>
      <c r="BPC8" s="875"/>
      <c r="BPD8" s="875"/>
      <c r="BPE8" s="875"/>
      <c r="BPF8" s="875"/>
      <c r="BPG8" s="875"/>
      <c r="BPH8" s="875"/>
      <c r="BPI8" s="875"/>
      <c r="BPJ8" s="875"/>
      <c r="BPK8" s="875"/>
      <c r="BPL8" s="875"/>
      <c r="BPM8" s="875"/>
      <c r="BPN8" s="875"/>
      <c r="BPO8" s="875"/>
      <c r="BPP8" s="875"/>
      <c r="BPQ8" s="875"/>
      <c r="BPR8" s="875"/>
      <c r="BPS8" s="875"/>
      <c r="BPT8" s="875"/>
      <c r="BPU8" s="875"/>
      <c r="BPV8" s="875"/>
      <c r="BPW8" s="875"/>
      <c r="BPX8" s="875"/>
      <c r="BPY8" s="875"/>
      <c r="BPZ8" s="875"/>
      <c r="BQA8" s="875"/>
      <c r="BQB8" s="875"/>
      <c r="BQC8" s="875"/>
      <c r="BQD8" s="875"/>
      <c r="BQE8" s="875"/>
      <c r="BQF8" s="875"/>
      <c r="BQG8" s="875"/>
      <c r="BQH8" s="875"/>
      <c r="BQI8" s="875"/>
      <c r="BQJ8" s="875"/>
      <c r="BQK8" s="875"/>
      <c r="BQL8" s="875"/>
      <c r="BQM8" s="875"/>
      <c r="BQN8" s="875"/>
      <c r="BQO8" s="875"/>
      <c r="BQP8" s="875"/>
      <c r="BQQ8" s="875"/>
      <c r="BQR8" s="875"/>
      <c r="BQS8" s="875"/>
      <c r="BQT8" s="875"/>
      <c r="BQU8" s="875"/>
      <c r="BQV8" s="875"/>
      <c r="BQW8" s="875"/>
      <c r="BQX8" s="875"/>
      <c r="BQY8" s="875"/>
      <c r="BQZ8" s="875"/>
      <c r="BRA8" s="875"/>
      <c r="BRB8" s="875"/>
      <c r="BRC8" s="875"/>
      <c r="BRD8" s="875"/>
      <c r="BRE8" s="875"/>
      <c r="BRF8" s="875"/>
      <c r="BRG8" s="875"/>
      <c r="BRH8" s="875"/>
      <c r="BRI8" s="875"/>
      <c r="BRJ8" s="875"/>
      <c r="BRK8" s="875"/>
      <c r="BRL8" s="875"/>
      <c r="BRM8" s="875"/>
      <c r="BRN8" s="875"/>
      <c r="BRO8" s="875"/>
      <c r="BRP8" s="875"/>
      <c r="BRQ8" s="875"/>
      <c r="BRR8" s="875"/>
      <c r="BRS8" s="875"/>
      <c r="BRT8" s="875"/>
      <c r="BRU8" s="875"/>
      <c r="BRV8" s="875"/>
      <c r="BRW8" s="875"/>
      <c r="BRX8" s="875"/>
      <c r="BRY8" s="875"/>
      <c r="BRZ8" s="875"/>
      <c r="BSA8" s="875"/>
      <c r="BSB8" s="875"/>
      <c r="BSC8" s="875"/>
      <c r="BSD8" s="875"/>
      <c r="BSE8" s="875"/>
      <c r="BSF8" s="875"/>
      <c r="BSG8" s="875"/>
      <c r="BSH8" s="875"/>
      <c r="BSI8" s="875"/>
      <c r="BSJ8" s="875"/>
      <c r="BSK8" s="875"/>
      <c r="BSL8" s="875"/>
      <c r="BSM8" s="875"/>
      <c r="BSN8" s="875"/>
      <c r="BSO8" s="875"/>
      <c r="BSP8" s="875"/>
      <c r="BSQ8" s="875"/>
      <c r="BSR8" s="875"/>
      <c r="BSS8" s="875"/>
      <c r="BST8" s="875"/>
      <c r="BSU8" s="875"/>
      <c r="BSV8" s="875"/>
      <c r="BSW8" s="875"/>
      <c r="BSX8" s="875"/>
      <c r="BSY8" s="875"/>
      <c r="BSZ8" s="875"/>
      <c r="BTA8" s="875"/>
      <c r="BTB8" s="875"/>
      <c r="BTC8" s="875"/>
      <c r="BTD8" s="875"/>
      <c r="BTE8" s="875"/>
      <c r="BTF8" s="875"/>
      <c r="BTG8" s="875"/>
      <c r="BTH8" s="875"/>
      <c r="BTI8" s="875"/>
      <c r="BTJ8" s="875"/>
      <c r="BTK8" s="875"/>
      <c r="BTL8" s="875"/>
      <c r="BTM8" s="875"/>
      <c r="BTN8" s="875"/>
      <c r="BTO8" s="875"/>
      <c r="BTP8" s="875"/>
      <c r="BTQ8" s="875"/>
      <c r="BTR8" s="875"/>
      <c r="BTS8" s="875"/>
      <c r="BTT8" s="875"/>
      <c r="BTU8" s="875"/>
      <c r="BTV8" s="875"/>
      <c r="BTW8" s="875"/>
      <c r="BTX8" s="875"/>
      <c r="BTY8" s="875"/>
      <c r="BTZ8" s="875"/>
      <c r="BUA8" s="875"/>
      <c r="BUB8" s="875"/>
      <c r="BUC8" s="875"/>
      <c r="BUD8" s="875"/>
      <c r="BUE8" s="875"/>
      <c r="BUF8" s="875"/>
      <c r="BUG8" s="875"/>
      <c r="BUH8" s="875"/>
      <c r="BUI8" s="875"/>
      <c r="BUJ8" s="875"/>
      <c r="BUK8" s="875"/>
      <c r="BUL8" s="875"/>
      <c r="BUM8" s="875"/>
      <c r="BUN8" s="875"/>
      <c r="BUO8" s="875"/>
      <c r="BUP8" s="875"/>
      <c r="BUQ8" s="875"/>
      <c r="BUR8" s="875"/>
      <c r="BUS8" s="875"/>
      <c r="BUT8" s="875"/>
      <c r="BUU8" s="875"/>
      <c r="BUV8" s="875"/>
      <c r="BUW8" s="875"/>
      <c r="BUX8" s="875"/>
      <c r="BUY8" s="875"/>
      <c r="BUZ8" s="875"/>
      <c r="BVA8" s="875"/>
      <c r="BVB8" s="875"/>
      <c r="BVC8" s="875"/>
      <c r="BVD8" s="875"/>
      <c r="BVE8" s="875"/>
      <c r="BVF8" s="875"/>
      <c r="BVG8" s="875"/>
      <c r="BVH8" s="875"/>
      <c r="BVI8" s="875"/>
      <c r="BVJ8" s="875"/>
      <c r="BVK8" s="875"/>
      <c r="BVL8" s="875"/>
      <c r="BVM8" s="875"/>
      <c r="BVN8" s="875"/>
      <c r="BVO8" s="875"/>
      <c r="BVP8" s="875"/>
      <c r="BVQ8" s="875"/>
      <c r="BVR8" s="875"/>
      <c r="BVS8" s="875"/>
      <c r="BVT8" s="875"/>
      <c r="BVU8" s="875"/>
      <c r="BVV8" s="875"/>
      <c r="BVW8" s="875"/>
      <c r="BVX8" s="875"/>
      <c r="BVY8" s="875"/>
      <c r="BVZ8" s="875"/>
      <c r="BWA8" s="875"/>
      <c r="BWB8" s="875"/>
      <c r="BWC8" s="875"/>
      <c r="BWD8" s="875"/>
      <c r="BWE8" s="875"/>
      <c r="BWF8" s="875"/>
      <c r="BWG8" s="875"/>
      <c r="BWH8" s="875"/>
      <c r="BWI8" s="875"/>
      <c r="BWJ8" s="875"/>
      <c r="BWK8" s="875"/>
      <c r="BWL8" s="875"/>
      <c r="BWM8" s="875"/>
      <c r="BWN8" s="875"/>
      <c r="BWO8" s="875"/>
      <c r="BWP8" s="875"/>
      <c r="BWQ8" s="875"/>
      <c r="BWR8" s="875"/>
      <c r="BWS8" s="875"/>
      <c r="BWT8" s="875"/>
      <c r="BWU8" s="875"/>
      <c r="BWV8" s="875"/>
      <c r="BWW8" s="875"/>
      <c r="BWX8" s="875"/>
      <c r="BWY8" s="875"/>
      <c r="BWZ8" s="875"/>
      <c r="BXA8" s="875"/>
      <c r="BXB8" s="875"/>
      <c r="BXC8" s="875"/>
      <c r="BXD8" s="875"/>
      <c r="BXE8" s="875"/>
      <c r="BXF8" s="875"/>
      <c r="BXG8" s="875"/>
      <c r="BXH8" s="875"/>
      <c r="BXI8" s="875"/>
      <c r="BXJ8" s="875"/>
      <c r="BXK8" s="875"/>
      <c r="BXL8" s="875"/>
      <c r="BXM8" s="875"/>
      <c r="BXN8" s="875"/>
      <c r="BXO8" s="875"/>
      <c r="BXP8" s="875"/>
      <c r="BXQ8" s="875"/>
      <c r="BXR8" s="875"/>
      <c r="BXS8" s="875"/>
      <c r="BXT8" s="875"/>
      <c r="BXU8" s="875"/>
      <c r="BXV8" s="875"/>
      <c r="BXW8" s="875"/>
      <c r="BXX8" s="875"/>
      <c r="BXY8" s="875"/>
      <c r="BXZ8" s="875"/>
      <c r="BYA8" s="875"/>
      <c r="BYB8" s="875"/>
      <c r="BYC8" s="875"/>
      <c r="BYD8" s="875"/>
      <c r="BYE8" s="875"/>
      <c r="BYF8" s="875"/>
      <c r="BYG8" s="875"/>
      <c r="BYH8" s="875"/>
      <c r="BYI8" s="875"/>
      <c r="BYJ8" s="875"/>
      <c r="BYK8" s="875"/>
      <c r="BYL8" s="875"/>
      <c r="BYM8" s="875"/>
      <c r="BYN8" s="875"/>
      <c r="BYO8" s="875"/>
      <c r="BYP8" s="875"/>
      <c r="BYQ8" s="875"/>
      <c r="BYR8" s="875"/>
      <c r="BYS8" s="875"/>
      <c r="BYT8" s="875"/>
      <c r="BYU8" s="875"/>
      <c r="BYV8" s="875"/>
      <c r="BYW8" s="875"/>
      <c r="BYX8" s="875"/>
      <c r="BYY8" s="875"/>
      <c r="BYZ8" s="875"/>
      <c r="BZA8" s="875"/>
      <c r="BZB8" s="875"/>
      <c r="BZC8" s="875"/>
      <c r="BZD8" s="875"/>
      <c r="BZE8" s="875"/>
      <c r="BZF8" s="875"/>
      <c r="BZG8" s="875"/>
      <c r="BZH8" s="875"/>
      <c r="BZI8" s="875"/>
      <c r="BZJ8" s="875"/>
      <c r="BZK8" s="875"/>
      <c r="BZL8" s="875"/>
      <c r="BZM8" s="875"/>
      <c r="BZN8" s="875"/>
      <c r="BZO8" s="875"/>
      <c r="BZP8" s="875"/>
      <c r="BZQ8" s="875"/>
      <c r="BZR8" s="875"/>
      <c r="BZS8" s="875"/>
      <c r="BZT8" s="875"/>
      <c r="BZU8" s="875"/>
      <c r="BZV8" s="875"/>
      <c r="BZW8" s="875"/>
      <c r="BZX8" s="875"/>
      <c r="BZY8" s="875"/>
      <c r="BZZ8" s="875"/>
      <c r="CAA8" s="875"/>
      <c r="CAB8" s="875"/>
      <c r="CAC8" s="875"/>
      <c r="CAD8" s="875"/>
      <c r="CAE8" s="875"/>
      <c r="CAF8" s="875"/>
      <c r="CAG8" s="875"/>
      <c r="CAH8" s="875"/>
      <c r="CAI8" s="875"/>
      <c r="CAJ8" s="875"/>
      <c r="CAK8" s="875"/>
      <c r="CAL8" s="875"/>
      <c r="CAM8" s="875"/>
      <c r="CAN8" s="875"/>
      <c r="CAO8" s="875"/>
      <c r="CAP8" s="875"/>
      <c r="CAQ8" s="875"/>
      <c r="CAR8" s="875"/>
      <c r="CAS8" s="875"/>
      <c r="CAT8" s="875"/>
      <c r="CAU8" s="875"/>
      <c r="CAV8" s="875"/>
      <c r="CAW8" s="875"/>
      <c r="CAX8" s="875"/>
      <c r="CAY8" s="875"/>
      <c r="CAZ8" s="875"/>
      <c r="CBA8" s="875"/>
      <c r="CBB8" s="875"/>
      <c r="CBC8" s="875"/>
      <c r="CBD8" s="875"/>
      <c r="CBE8" s="875"/>
      <c r="CBF8" s="875"/>
      <c r="CBG8" s="875"/>
      <c r="CBH8" s="875"/>
      <c r="CBI8" s="875"/>
      <c r="CBJ8" s="875"/>
      <c r="CBK8" s="875"/>
      <c r="CBL8" s="875"/>
      <c r="CBM8" s="875"/>
      <c r="CBN8" s="875"/>
      <c r="CBO8" s="875"/>
      <c r="CBP8" s="875"/>
      <c r="CBQ8" s="875"/>
      <c r="CBR8" s="875"/>
      <c r="CBS8" s="875"/>
      <c r="CBT8" s="875"/>
      <c r="CBU8" s="875"/>
      <c r="CBV8" s="875"/>
      <c r="CBW8" s="875"/>
      <c r="CBX8" s="875"/>
      <c r="CBY8" s="875"/>
      <c r="CBZ8" s="875"/>
      <c r="CCA8" s="875"/>
      <c r="CCB8" s="875"/>
      <c r="CCC8" s="875"/>
      <c r="CCD8" s="875"/>
      <c r="CCE8" s="875"/>
      <c r="CCF8" s="875"/>
      <c r="CCG8" s="875"/>
      <c r="CCH8" s="875"/>
      <c r="CCI8" s="875"/>
      <c r="CCJ8" s="875"/>
      <c r="CCK8" s="875"/>
      <c r="CCL8" s="875"/>
      <c r="CCM8" s="875"/>
      <c r="CCN8" s="875"/>
      <c r="CCO8" s="875"/>
      <c r="CCP8" s="875"/>
      <c r="CCQ8" s="875"/>
      <c r="CCR8" s="875"/>
      <c r="CCS8" s="875"/>
      <c r="CCT8" s="875"/>
      <c r="CCU8" s="875"/>
      <c r="CCV8" s="875"/>
      <c r="CCW8" s="875"/>
      <c r="CCX8" s="875"/>
      <c r="CCY8" s="875"/>
      <c r="CCZ8" s="875"/>
      <c r="CDA8" s="875"/>
      <c r="CDB8" s="875"/>
      <c r="CDC8" s="875"/>
      <c r="CDD8" s="875"/>
      <c r="CDE8" s="875"/>
      <c r="CDF8" s="875"/>
      <c r="CDG8" s="875"/>
      <c r="CDH8" s="875"/>
      <c r="CDI8" s="875"/>
      <c r="CDJ8" s="875"/>
      <c r="CDK8" s="875"/>
      <c r="CDL8" s="875"/>
      <c r="CDM8" s="875"/>
      <c r="CDN8" s="875"/>
      <c r="CDO8" s="875"/>
      <c r="CDP8" s="875"/>
      <c r="CDQ8" s="875"/>
      <c r="CDR8" s="875"/>
      <c r="CDS8" s="875"/>
      <c r="CDT8" s="875"/>
      <c r="CDU8" s="875"/>
      <c r="CDV8" s="875"/>
      <c r="CDW8" s="875"/>
      <c r="CDX8" s="875"/>
      <c r="CDY8" s="875"/>
      <c r="CDZ8" s="875"/>
      <c r="CEA8" s="875"/>
      <c r="CEB8" s="875"/>
      <c r="CEC8" s="875"/>
      <c r="CED8" s="875"/>
      <c r="CEE8" s="875"/>
      <c r="CEF8" s="875"/>
      <c r="CEG8" s="875"/>
      <c r="CEH8" s="875"/>
      <c r="CEI8" s="875"/>
      <c r="CEJ8" s="875"/>
      <c r="CEK8" s="875"/>
      <c r="CEL8" s="875"/>
      <c r="CEM8" s="875"/>
      <c r="CEN8" s="875"/>
      <c r="CEO8" s="875"/>
      <c r="CEP8" s="875"/>
      <c r="CEQ8" s="875"/>
      <c r="CER8" s="875"/>
      <c r="CES8" s="875"/>
      <c r="CET8" s="875"/>
      <c r="CEU8" s="875"/>
      <c r="CEV8" s="875"/>
      <c r="CEW8" s="875"/>
      <c r="CEX8" s="875"/>
      <c r="CEY8" s="875"/>
      <c r="CEZ8" s="875"/>
      <c r="CFA8" s="875"/>
      <c r="CFB8" s="875"/>
      <c r="CFC8" s="875"/>
      <c r="CFD8" s="875"/>
      <c r="CFE8" s="875"/>
      <c r="CFF8" s="875"/>
      <c r="CFG8" s="875"/>
      <c r="CFH8" s="875"/>
      <c r="CFI8" s="875"/>
      <c r="CFJ8" s="875"/>
      <c r="CFK8" s="875"/>
      <c r="CFL8" s="875"/>
      <c r="CFM8" s="875"/>
      <c r="CFN8" s="875"/>
      <c r="CFO8" s="875"/>
      <c r="CFP8" s="875"/>
      <c r="CFQ8" s="875"/>
      <c r="CFR8" s="875"/>
      <c r="CFS8" s="875"/>
      <c r="CFT8" s="875"/>
      <c r="CFU8" s="875"/>
      <c r="CFV8" s="875"/>
      <c r="CFW8" s="875"/>
      <c r="CFX8" s="875"/>
      <c r="CFY8" s="875"/>
      <c r="CFZ8" s="875"/>
      <c r="CGA8" s="875"/>
      <c r="CGB8" s="875"/>
      <c r="CGC8" s="875"/>
      <c r="CGD8" s="875"/>
      <c r="CGE8" s="875"/>
      <c r="CGF8" s="875"/>
      <c r="CGG8" s="875"/>
      <c r="CGH8" s="875"/>
      <c r="CGI8" s="875"/>
      <c r="CGJ8" s="875"/>
      <c r="CGK8" s="875"/>
      <c r="CGL8" s="875"/>
      <c r="CGM8" s="875"/>
      <c r="CGN8" s="875"/>
      <c r="CGO8" s="875"/>
      <c r="CGP8" s="875"/>
      <c r="CGQ8" s="875"/>
      <c r="CGR8" s="875"/>
      <c r="CGS8" s="875"/>
      <c r="CGT8" s="875"/>
      <c r="CGU8" s="875"/>
      <c r="CGV8" s="875"/>
      <c r="CGW8" s="875"/>
      <c r="CGX8" s="875"/>
      <c r="CGY8" s="875"/>
      <c r="CGZ8" s="875"/>
      <c r="CHA8" s="875"/>
      <c r="CHB8" s="875"/>
      <c r="CHC8" s="875"/>
      <c r="CHD8" s="875"/>
      <c r="CHE8" s="875"/>
      <c r="CHF8" s="875"/>
      <c r="CHG8" s="875"/>
      <c r="CHH8" s="875"/>
      <c r="CHI8" s="875"/>
      <c r="CHJ8" s="875"/>
      <c r="CHK8" s="875"/>
      <c r="CHL8" s="875"/>
      <c r="CHM8" s="875"/>
      <c r="CHN8" s="875"/>
      <c r="CHO8" s="875"/>
      <c r="CHP8" s="875"/>
      <c r="CHQ8" s="875"/>
      <c r="CHR8" s="875"/>
      <c r="CHS8" s="875"/>
      <c r="CHT8" s="875"/>
      <c r="CHU8" s="875"/>
      <c r="CHV8" s="875"/>
      <c r="CHW8" s="875"/>
      <c r="CHX8" s="875"/>
      <c r="CHY8" s="875"/>
      <c r="CHZ8" s="875"/>
      <c r="CIA8" s="875"/>
      <c r="CIB8" s="875"/>
      <c r="CIC8" s="875"/>
      <c r="CID8" s="875"/>
      <c r="CIE8" s="875"/>
      <c r="CIF8" s="875"/>
      <c r="CIG8" s="875"/>
      <c r="CIH8" s="875"/>
      <c r="CII8" s="875"/>
      <c r="CIJ8" s="875"/>
      <c r="CIK8" s="875"/>
      <c r="CIL8" s="875"/>
      <c r="CIM8" s="875"/>
      <c r="CIN8" s="875"/>
      <c r="CIO8" s="875"/>
      <c r="CIP8" s="875"/>
      <c r="CIQ8" s="875"/>
      <c r="CIR8" s="875"/>
      <c r="CIS8" s="875"/>
      <c r="CIT8" s="875"/>
      <c r="CIU8" s="875"/>
      <c r="CIV8" s="875"/>
      <c r="CIW8" s="875"/>
      <c r="CIX8" s="875"/>
      <c r="CIY8" s="875"/>
      <c r="CIZ8" s="875"/>
      <c r="CJA8" s="875"/>
      <c r="CJB8" s="875"/>
      <c r="CJC8" s="875"/>
      <c r="CJD8" s="875"/>
      <c r="CJE8" s="875"/>
      <c r="CJF8" s="875"/>
      <c r="CJG8" s="875"/>
      <c r="CJH8" s="875"/>
      <c r="CJI8" s="875"/>
      <c r="CJJ8" s="875"/>
      <c r="CJK8" s="875"/>
      <c r="CJL8" s="875"/>
      <c r="CJM8" s="875"/>
      <c r="CJN8" s="875"/>
      <c r="CJO8" s="875"/>
      <c r="CJP8" s="875"/>
      <c r="CJQ8" s="875"/>
      <c r="CJR8" s="875"/>
      <c r="CJS8" s="875"/>
      <c r="CJT8" s="875"/>
      <c r="CJU8" s="875"/>
      <c r="CJV8" s="875"/>
      <c r="CJW8" s="875"/>
      <c r="CJX8" s="875"/>
      <c r="CJY8" s="875"/>
      <c r="CJZ8" s="875"/>
      <c r="CKA8" s="875"/>
      <c r="CKB8" s="875"/>
      <c r="CKC8" s="875"/>
      <c r="CKD8" s="875"/>
      <c r="CKE8" s="875"/>
      <c r="CKF8" s="875"/>
      <c r="CKG8" s="875"/>
      <c r="CKH8" s="875"/>
      <c r="CKI8" s="875"/>
      <c r="CKJ8" s="875"/>
      <c r="CKK8" s="875"/>
      <c r="CKL8" s="875"/>
      <c r="CKM8" s="875"/>
      <c r="CKN8" s="875"/>
      <c r="CKO8" s="875"/>
      <c r="CKP8" s="875"/>
      <c r="CKQ8" s="875"/>
      <c r="CKR8" s="875"/>
      <c r="CKS8" s="875"/>
      <c r="CKT8" s="875"/>
      <c r="CKU8" s="875"/>
      <c r="CKV8" s="875"/>
      <c r="CKW8" s="875"/>
      <c r="CKX8" s="875"/>
      <c r="CKY8" s="875"/>
      <c r="CKZ8" s="875"/>
      <c r="CLA8" s="875"/>
      <c r="CLB8" s="875"/>
      <c r="CLC8" s="875"/>
      <c r="CLD8" s="875"/>
      <c r="CLE8" s="875"/>
      <c r="CLF8" s="875"/>
      <c r="CLG8" s="875"/>
      <c r="CLH8" s="875"/>
      <c r="CLI8" s="875"/>
      <c r="CLJ8" s="875"/>
      <c r="CLK8" s="875"/>
      <c r="CLL8" s="875"/>
      <c r="CLM8" s="875"/>
      <c r="CLN8" s="875"/>
      <c r="CLO8" s="875"/>
      <c r="CLP8" s="875"/>
      <c r="CLQ8" s="875"/>
      <c r="CLR8" s="875"/>
      <c r="CLS8" s="875"/>
      <c r="CLT8" s="875"/>
      <c r="CLU8" s="875"/>
      <c r="CLV8" s="875"/>
      <c r="CLW8" s="875"/>
      <c r="CLX8" s="875"/>
      <c r="CLY8" s="875"/>
      <c r="CLZ8" s="875"/>
      <c r="CMA8" s="875"/>
      <c r="CMB8" s="875"/>
      <c r="CMC8" s="875"/>
      <c r="CMD8" s="875"/>
      <c r="CME8" s="875"/>
      <c r="CMF8" s="875"/>
      <c r="CMG8" s="875"/>
      <c r="CMH8" s="875"/>
      <c r="CMI8" s="875"/>
      <c r="CMJ8" s="875"/>
      <c r="CMK8" s="875"/>
      <c r="CML8" s="875"/>
      <c r="CMM8" s="875"/>
      <c r="CMN8" s="875"/>
      <c r="CMO8" s="875"/>
      <c r="CMP8" s="875"/>
      <c r="CMQ8" s="875"/>
      <c r="CMR8" s="875"/>
      <c r="CMS8" s="875"/>
      <c r="CMT8" s="875"/>
      <c r="CMU8" s="875"/>
      <c r="CMV8" s="875"/>
      <c r="CMW8" s="875"/>
      <c r="CMX8" s="875"/>
      <c r="CMY8" s="875"/>
      <c r="CMZ8" s="875"/>
      <c r="CNA8" s="875"/>
      <c r="CNB8" s="875"/>
      <c r="CNC8" s="875"/>
      <c r="CND8" s="875"/>
      <c r="CNE8" s="875"/>
      <c r="CNF8" s="875"/>
      <c r="CNG8" s="875"/>
      <c r="CNH8" s="875"/>
      <c r="CNI8" s="875"/>
      <c r="CNJ8" s="875"/>
      <c r="CNK8" s="875"/>
      <c r="CNL8" s="875"/>
      <c r="CNM8" s="875"/>
      <c r="CNN8" s="875"/>
      <c r="CNO8" s="875"/>
      <c r="CNP8" s="875"/>
      <c r="CNQ8" s="875"/>
      <c r="CNR8" s="875"/>
      <c r="CNS8" s="875"/>
      <c r="CNT8" s="875"/>
      <c r="CNU8" s="875"/>
      <c r="CNV8" s="875"/>
      <c r="CNW8" s="875"/>
      <c r="CNX8" s="875"/>
      <c r="CNY8" s="875"/>
      <c r="CNZ8" s="875"/>
      <c r="COA8" s="875"/>
      <c r="COB8" s="875"/>
      <c r="COC8" s="875"/>
      <c r="COD8" s="875"/>
      <c r="COE8" s="875"/>
      <c r="COF8" s="875"/>
      <c r="COG8" s="875"/>
      <c r="COH8" s="875"/>
      <c r="COI8" s="875"/>
      <c r="COJ8" s="875"/>
      <c r="COK8" s="875"/>
      <c r="COL8" s="875"/>
      <c r="COM8" s="875"/>
      <c r="CON8" s="875"/>
      <c r="COO8" s="875"/>
      <c r="COP8" s="875"/>
      <c r="COQ8" s="875"/>
      <c r="COR8" s="875"/>
      <c r="COS8" s="875"/>
      <c r="COT8" s="875"/>
      <c r="COU8" s="875"/>
      <c r="COV8" s="875"/>
      <c r="COW8" s="875"/>
      <c r="COX8" s="875"/>
      <c r="COY8" s="875"/>
      <c r="COZ8" s="875"/>
      <c r="CPA8" s="875"/>
      <c r="CPB8" s="875"/>
      <c r="CPC8" s="875"/>
      <c r="CPD8" s="875"/>
      <c r="CPE8" s="875"/>
      <c r="CPF8" s="875"/>
      <c r="CPG8" s="875"/>
      <c r="CPH8" s="875"/>
      <c r="CPI8" s="875"/>
      <c r="CPJ8" s="875"/>
      <c r="CPK8" s="875"/>
      <c r="CPL8" s="875"/>
      <c r="CPM8" s="875"/>
      <c r="CPN8" s="875"/>
      <c r="CPO8" s="875"/>
      <c r="CPP8" s="875"/>
      <c r="CPQ8" s="875"/>
      <c r="CPR8" s="875"/>
      <c r="CPS8" s="875"/>
      <c r="CPT8" s="875"/>
      <c r="CPU8" s="875"/>
      <c r="CPV8" s="875"/>
      <c r="CPW8" s="875"/>
      <c r="CPX8" s="875"/>
      <c r="CPY8" s="875"/>
      <c r="CPZ8" s="875"/>
      <c r="CQA8" s="875"/>
      <c r="CQB8" s="875"/>
      <c r="CQC8" s="875"/>
      <c r="CQD8" s="875"/>
      <c r="CQE8" s="875"/>
      <c r="CQF8" s="875"/>
      <c r="CQG8" s="875"/>
      <c r="CQH8" s="875"/>
      <c r="CQI8" s="875"/>
      <c r="CQJ8" s="875"/>
      <c r="CQK8" s="875"/>
      <c r="CQL8" s="875"/>
      <c r="CQM8" s="875"/>
      <c r="CQN8" s="875"/>
      <c r="CQO8" s="875"/>
      <c r="CQP8" s="875"/>
      <c r="CQQ8" s="875"/>
      <c r="CQR8" s="875"/>
      <c r="CQS8" s="875"/>
      <c r="CQT8" s="875"/>
      <c r="CQU8" s="875"/>
      <c r="CQV8" s="875"/>
      <c r="CQW8" s="875"/>
      <c r="CQX8" s="875"/>
      <c r="CQY8" s="875"/>
      <c r="CQZ8" s="875"/>
      <c r="CRA8" s="875"/>
      <c r="CRB8" s="875"/>
      <c r="CRC8" s="875"/>
      <c r="CRD8" s="875"/>
      <c r="CRE8" s="875"/>
      <c r="CRF8" s="875"/>
      <c r="CRG8" s="875"/>
      <c r="CRH8" s="875"/>
      <c r="CRI8" s="875"/>
      <c r="CRJ8" s="875"/>
      <c r="CRK8" s="875"/>
      <c r="CRL8" s="875"/>
      <c r="CRM8" s="875"/>
      <c r="CRN8" s="875"/>
      <c r="CRO8" s="875"/>
      <c r="CRP8" s="875"/>
      <c r="CRQ8" s="875"/>
      <c r="CRR8" s="875"/>
      <c r="CRS8" s="875"/>
      <c r="CRT8" s="875"/>
      <c r="CRU8" s="875"/>
      <c r="CRV8" s="875"/>
      <c r="CRW8" s="875"/>
      <c r="CRX8" s="875"/>
      <c r="CRY8" s="875"/>
      <c r="CRZ8" s="875"/>
      <c r="CSA8" s="875"/>
      <c r="CSB8" s="875"/>
      <c r="CSC8" s="875"/>
      <c r="CSD8" s="875"/>
      <c r="CSE8" s="875"/>
      <c r="CSF8" s="875"/>
      <c r="CSG8" s="875"/>
      <c r="CSH8" s="875"/>
      <c r="CSI8" s="875"/>
      <c r="CSJ8" s="875"/>
      <c r="CSK8" s="875"/>
      <c r="CSL8" s="875"/>
      <c r="CSM8" s="875"/>
      <c r="CSN8" s="875"/>
      <c r="CSO8" s="875"/>
      <c r="CSP8" s="875"/>
      <c r="CSQ8" s="875"/>
      <c r="CSR8" s="875"/>
      <c r="CSS8" s="875"/>
      <c r="CST8" s="875"/>
      <c r="CSU8" s="875"/>
      <c r="CSV8" s="875"/>
      <c r="CSW8" s="875"/>
      <c r="CSX8" s="875"/>
      <c r="CSY8" s="875"/>
      <c r="CSZ8" s="875"/>
      <c r="CTA8" s="875"/>
      <c r="CTB8" s="875"/>
      <c r="CTC8" s="875"/>
      <c r="CTD8" s="875"/>
      <c r="CTE8" s="875"/>
      <c r="CTF8" s="875"/>
      <c r="CTG8" s="875"/>
      <c r="CTH8" s="875"/>
      <c r="CTI8" s="875"/>
      <c r="CTJ8" s="875"/>
      <c r="CTK8" s="875"/>
      <c r="CTL8" s="875"/>
      <c r="CTM8" s="875"/>
      <c r="CTN8" s="875"/>
      <c r="CTO8" s="875"/>
      <c r="CTP8" s="875"/>
      <c r="CTQ8" s="875"/>
      <c r="CTR8" s="875"/>
      <c r="CTS8" s="875"/>
      <c r="CTT8" s="875"/>
      <c r="CTU8" s="875"/>
      <c r="CTV8" s="875"/>
      <c r="CTW8" s="875"/>
      <c r="CTX8" s="875"/>
      <c r="CTY8" s="875"/>
      <c r="CTZ8" s="875"/>
      <c r="CUA8" s="875"/>
      <c r="CUB8" s="875"/>
      <c r="CUC8" s="875"/>
      <c r="CUD8" s="875"/>
      <c r="CUE8" s="875"/>
      <c r="CUF8" s="875"/>
      <c r="CUG8" s="875"/>
      <c r="CUH8" s="875"/>
      <c r="CUI8" s="875"/>
      <c r="CUJ8" s="875"/>
      <c r="CUK8" s="875"/>
      <c r="CUL8" s="875"/>
      <c r="CUM8" s="875"/>
      <c r="CUN8" s="875"/>
      <c r="CUO8" s="875"/>
      <c r="CUP8" s="875"/>
      <c r="CUQ8" s="875"/>
      <c r="CUR8" s="875"/>
      <c r="CUS8" s="875"/>
      <c r="CUT8" s="875"/>
      <c r="CUU8" s="875"/>
      <c r="CUV8" s="875"/>
      <c r="CUW8" s="875"/>
      <c r="CUX8" s="875"/>
      <c r="CUY8" s="875"/>
      <c r="CUZ8" s="875"/>
      <c r="CVA8" s="875"/>
      <c r="CVB8" s="875"/>
      <c r="CVC8" s="875"/>
      <c r="CVD8" s="875"/>
      <c r="CVE8" s="875"/>
      <c r="CVF8" s="875"/>
      <c r="CVG8" s="875"/>
      <c r="CVH8" s="875"/>
      <c r="CVI8" s="875"/>
      <c r="CVJ8" s="875"/>
      <c r="CVK8" s="875"/>
      <c r="CVL8" s="875"/>
      <c r="CVM8" s="875"/>
      <c r="CVN8" s="875"/>
      <c r="CVO8" s="875"/>
      <c r="CVP8" s="875"/>
      <c r="CVQ8" s="875"/>
      <c r="CVR8" s="875"/>
      <c r="CVS8" s="875"/>
      <c r="CVT8" s="875"/>
      <c r="CVU8" s="875"/>
      <c r="CVV8" s="875"/>
      <c r="CVW8" s="875"/>
      <c r="CVX8" s="875"/>
      <c r="CVY8" s="875"/>
      <c r="CVZ8" s="875"/>
      <c r="CWA8" s="875"/>
      <c r="CWB8" s="875"/>
      <c r="CWC8" s="875"/>
      <c r="CWD8" s="875"/>
      <c r="CWE8" s="875"/>
      <c r="CWF8" s="875"/>
      <c r="CWG8" s="875"/>
      <c r="CWH8" s="875"/>
      <c r="CWI8" s="875"/>
      <c r="CWJ8" s="875"/>
      <c r="CWK8" s="875"/>
      <c r="CWL8" s="875"/>
      <c r="CWM8" s="875"/>
      <c r="CWN8" s="875"/>
      <c r="CWO8" s="875"/>
      <c r="CWP8" s="875"/>
      <c r="CWQ8" s="875"/>
      <c r="CWR8" s="875"/>
      <c r="CWS8" s="875"/>
      <c r="CWT8" s="875"/>
      <c r="CWU8" s="875"/>
      <c r="CWV8" s="875"/>
      <c r="CWW8" s="875"/>
      <c r="CWX8" s="875"/>
      <c r="CWY8" s="875"/>
      <c r="CWZ8" s="875"/>
      <c r="CXA8" s="875"/>
      <c r="CXB8" s="875"/>
      <c r="CXC8" s="875"/>
      <c r="CXD8" s="875"/>
      <c r="CXE8" s="875"/>
      <c r="CXF8" s="875"/>
      <c r="CXG8" s="875"/>
      <c r="CXH8" s="875"/>
      <c r="CXI8" s="875"/>
      <c r="CXJ8" s="875"/>
      <c r="CXK8" s="875"/>
      <c r="CXL8" s="875"/>
      <c r="CXM8" s="875"/>
      <c r="CXN8" s="875"/>
      <c r="CXO8" s="875"/>
      <c r="CXP8" s="875"/>
      <c r="CXQ8" s="875"/>
      <c r="CXR8" s="875"/>
      <c r="CXS8" s="875"/>
      <c r="CXT8" s="875"/>
      <c r="CXU8" s="875"/>
      <c r="CXV8" s="875"/>
      <c r="CXW8" s="875"/>
      <c r="CXX8" s="875"/>
      <c r="CXY8" s="875"/>
      <c r="CXZ8" s="875"/>
      <c r="CYA8" s="875"/>
      <c r="CYB8" s="875"/>
      <c r="CYC8" s="875"/>
      <c r="CYD8" s="875"/>
      <c r="CYE8" s="875"/>
      <c r="CYF8" s="875"/>
      <c r="CYG8" s="875"/>
      <c r="CYH8" s="875"/>
      <c r="CYI8" s="875"/>
      <c r="CYJ8" s="875"/>
      <c r="CYK8" s="875"/>
      <c r="CYL8" s="875"/>
      <c r="CYM8" s="875"/>
      <c r="CYN8" s="875"/>
      <c r="CYO8" s="875"/>
      <c r="CYP8" s="875"/>
      <c r="CYQ8" s="875"/>
      <c r="CYR8" s="875"/>
      <c r="CYS8" s="875"/>
      <c r="CYT8" s="875"/>
      <c r="CYU8" s="875"/>
      <c r="CYV8" s="875"/>
      <c r="CYW8" s="875"/>
      <c r="CYX8" s="875"/>
      <c r="CYY8" s="875"/>
      <c r="CYZ8" s="875"/>
      <c r="CZA8" s="875"/>
      <c r="CZB8" s="875"/>
      <c r="CZC8" s="875"/>
      <c r="CZD8" s="875"/>
      <c r="CZE8" s="875"/>
      <c r="CZF8" s="875"/>
      <c r="CZG8" s="875"/>
      <c r="CZH8" s="875"/>
      <c r="CZI8" s="875"/>
      <c r="CZJ8" s="875"/>
      <c r="CZK8" s="875"/>
      <c r="CZL8" s="875"/>
      <c r="CZM8" s="875"/>
      <c r="CZN8" s="875"/>
      <c r="CZO8" s="875"/>
      <c r="CZP8" s="875"/>
      <c r="CZQ8" s="875"/>
      <c r="CZR8" s="875"/>
      <c r="CZS8" s="875"/>
      <c r="CZT8" s="875"/>
      <c r="CZU8" s="875"/>
      <c r="CZV8" s="875"/>
      <c r="CZW8" s="875"/>
      <c r="CZX8" s="875"/>
      <c r="CZY8" s="875"/>
      <c r="CZZ8" s="875"/>
      <c r="DAA8" s="875"/>
      <c r="DAB8" s="875"/>
      <c r="DAC8" s="875"/>
      <c r="DAD8" s="875"/>
      <c r="DAE8" s="875"/>
      <c r="DAF8" s="875"/>
      <c r="DAG8" s="875"/>
      <c r="DAH8" s="875"/>
      <c r="DAI8" s="875"/>
      <c r="DAJ8" s="875"/>
      <c r="DAK8" s="875"/>
      <c r="DAL8" s="875"/>
      <c r="DAM8" s="875"/>
      <c r="DAN8" s="875"/>
      <c r="DAO8" s="875"/>
      <c r="DAP8" s="875"/>
      <c r="DAQ8" s="875"/>
      <c r="DAR8" s="875"/>
      <c r="DAS8" s="875"/>
      <c r="DAT8" s="875"/>
      <c r="DAU8" s="875"/>
      <c r="DAV8" s="875"/>
      <c r="DAW8" s="875"/>
      <c r="DAX8" s="875"/>
      <c r="DAY8" s="875"/>
      <c r="DAZ8" s="875"/>
      <c r="DBA8" s="875"/>
      <c r="DBB8" s="875"/>
      <c r="DBC8" s="875"/>
      <c r="DBD8" s="875"/>
      <c r="DBE8" s="875"/>
      <c r="DBF8" s="875"/>
      <c r="DBG8" s="875"/>
      <c r="DBH8" s="875"/>
      <c r="DBI8" s="875"/>
      <c r="DBJ8" s="875"/>
      <c r="DBK8" s="875"/>
      <c r="DBL8" s="875"/>
      <c r="DBM8" s="875"/>
      <c r="DBN8" s="875"/>
      <c r="DBO8" s="875"/>
      <c r="DBP8" s="875"/>
      <c r="DBQ8" s="875"/>
      <c r="DBR8" s="875"/>
      <c r="DBS8" s="875"/>
      <c r="DBT8" s="875"/>
      <c r="DBU8" s="875"/>
      <c r="DBV8" s="875"/>
      <c r="DBW8" s="875"/>
      <c r="DBX8" s="875"/>
      <c r="DBY8" s="875"/>
      <c r="DBZ8" s="875"/>
      <c r="DCA8" s="875"/>
      <c r="DCB8" s="875"/>
      <c r="DCC8" s="875"/>
      <c r="DCD8" s="875"/>
      <c r="DCE8" s="875"/>
      <c r="DCF8" s="875"/>
      <c r="DCG8" s="875"/>
      <c r="DCH8" s="875"/>
      <c r="DCI8" s="875"/>
      <c r="DCJ8" s="875"/>
      <c r="DCK8" s="875"/>
      <c r="DCL8" s="875"/>
      <c r="DCM8" s="875"/>
      <c r="DCN8" s="875"/>
      <c r="DCO8" s="875"/>
      <c r="DCP8" s="875"/>
      <c r="DCQ8" s="875"/>
      <c r="DCR8" s="875"/>
      <c r="DCS8" s="875"/>
      <c r="DCT8" s="875"/>
      <c r="DCU8" s="875"/>
      <c r="DCV8" s="875"/>
      <c r="DCW8" s="875"/>
      <c r="DCX8" s="875"/>
      <c r="DCY8" s="875"/>
      <c r="DCZ8" s="875"/>
      <c r="DDA8" s="875"/>
      <c r="DDB8" s="875"/>
      <c r="DDC8" s="875"/>
      <c r="DDD8" s="875"/>
      <c r="DDE8" s="875"/>
      <c r="DDF8" s="875"/>
      <c r="DDG8" s="875"/>
      <c r="DDH8" s="875"/>
      <c r="DDI8" s="875"/>
      <c r="DDJ8" s="875"/>
      <c r="DDK8" s="875"/>
      <c r="DDL8" s="875"/>
      <c r="DDM8" s="875"/>
      <c r="DDN8" s="875"/>
      <c r="DDO8" s="875"/>
      <c r="DDP8" s="875"/>
      <c r="DDQ8" s="875"/>
      <c r="DDR8" s="875"/>
      <c r="DDS8" s="875"/>
      <c r="DDT8" s="875"/>
      <c r="DDU8" s="875"/>
      <c r="DDV8" s="875"/>
      <c r="DDW8" s="875"/>
      <c r="DDX8" s="875"/>
      <c r="DDY8" s="875"/>
      <c r="DDZ8" s="875"/>
      <c r="DEA8" s="875"/>
      <c r="DEB8" s="875"/>
      <c r="DEC8" s="875"/>
      <c r="DED8" s="875"/>
      <c r="DEE8" s="875"/>
      <c r="DEF8" s="875"/>
      <c r="DEG8" s="875"/>
      <c r="DEH8" s="875"/>
      <c r="DEI8" s="875"/>
      <c r="DEJ8" s="875"/>
      <c r="DEK8" s="875"/>
      <c r="DEL8" s="875"/>
      <c r="DEM8" s="875"/>
      <c r="DEN8" s="875"/>
      <c r="DEO8" s="875"/>
      <c r="DEP8" s="875"/>
      <c r="DEQ8" s="875"/>
      <c r="DER8" s="875"/>
      <c r="DES8" s="875"/>
      <c r="DET8" s="875"/>
      <c r="DEU8" s="875"/>
      <c r="DEV8" s="875"/>
      <c r="DEW8" s="875"/>
      <c r="DEX8" s="875"/>
      <c r="DEY8" s="875"/>
      <c r="DEZ8" s="875"/>
      <c r="DFA8" s="875"/>
      <c r="DFB8" s="875"/>
      <c r="DFC8" s="875"/>
      <c r="DFD8" s="875"/>
      <c r="DFE8" s="875"/>
      <c r="DFF8" s="875"/>
      <c r="DFG8" s="875"/>
      <c r="DFH8" s="875"/>
      <c r="DFI8" s="875"/>
      <c r="DFJ8" s="875"/>
      <c r="DFK8" s="875"/>
      <c r="DFL8" s="875"/>
      <c r="DFM8" s="875"/>
      <c r="DFN8" s="875"/>
      <c r="DFO8" s="875"/>
      <c r="DFP8" s="875"/>
      <c r="DFQ8" s="875"/>
      <c r="DFR8" s="875"/>
      <c r="DFS8" s="875"/>
      <c r="DFT8" s="875"/>
      <c r="DFU8" s="875"/>
      <c r="DFV8" s="875"/>
      <c r="DFW8" s="875"/>
      <c r="DFX8" s="875"/>
      <c r="DFY8" s="875"/>
      <c r="DFZ8" s="875"/>
      <c r="DGA8" s="875"/>
      <c r="DGB8" s="875"/>
      <c r="DGC8" s="875"/>
      <c r="DGD8" s="875"/>
      <c r="DGE8" s="875"/>
      <c r="DGF8" s="875"/>
      <c r="DGG8" s="875"/>
      <c r="DGH8" s="875"/>
      <c r="DGI8" s="875"/>
      <c r="DGJ8" s="875"/>
      <c r="DGK8" s="875"/>
      <c r="DGL8" s="875"/>
      <c r="DGM8" s="875"/>
      <c r="DGN8" s="875"/>
      <c r="DGO8" s="875"/>
      <c r="DGP8" s="875"/>
      <c r="DGQ8" s="875"/>
      <c r="DGR8" s="875"/>
      <c r="DGS8" s="875"/>
      <c r="DGT8" s="875"/>
      <c r="DGU8" s="875"/>
      <c r="DGV8" s="875"/>
      <c r="DGW8" s="875"/>
      <c r="DGX8" s="875"/>
      <c r="DGY8" s="875"/>
      <c r="DGZ8" s="875"/>
      <c r="DHA8" s="875"/>
      <c r="DHB8" s="875"/>
      <c r="DHC8" s="875"/>
      <c r="DHD8" s="875"/>
      <c r="DHE8" s="875"/>
      <c r="DHF8" s="875"/>
      <c r="DHG8" s="875"/>
      <c r="DHH8" s="875"/>
      <c r="DHI8" s="875"/>
      <c r="DHJ8" s="875"/>
      <c r="DHK8" s="875"/>
      <c r="DHL8" s="875"/>
      <c r="DHM8" s="875"/>
      <c r="DHN8" s="875"/>
      <c r="DHO8" s="875"/>
      <c r="DHP8" s="875"/>
      <c r="DHQ8" s="875"/>
      <c r="DHR8" s="875"/>
      <c r="DHS8" s="875"/>
      <c r="DHT8" s="875"/>
      <c r="DHU8" s="875"/>
      <c r="DHV8" s="875"/>
      <c r="DHW8" s="875"/>
      <c r="DHX8" s="875"/>
      <c r="DHY8" s="875"/>
      <c r="DHZ8" s="875"/>
      <c r="DIA8" s="875"/>
      <c r="DIB8" s="875"/>
      <c r="DIC8" s="875"/>
      <c r="DID8" s="875"/>
      <c r="DIE8" s="875"/>
      <c r="DIF8" s="875"/>
      <c r="DIG8" s="875"/>
      <c r="DIH8" s="875"/>
      <c r="DII8" s="875"/>
      <c r="DIJ8" s="875"/>
      <c r="DIK8" s="875"/>
      <c r="DIL8" s="875"/>
      <c r="DIM8" s="875"/>
      <c r="DIN8" s="875"/>
      <c r="DIO8" s="875"/>
      <c r="DIP8" s="875"/>
      <c r="DIQ8" s="875"/>
      <c r="DIR8" s="875"/>
      <c r="DIS8" s="875"/>
      <c r="DIT8" s="875"/>
      <c r="DIU8" s="875"/>
      <c r="DIV8" s="875"/>
      <c r="DIW8" s="875"/>
      <c r="DIX8" s="875"/>
      <c r="DIY8" s="875"/>
      <c r="DIZ8" s="875"/>
      <c r="DJA8" s="875"/>
      <c r="DJB8" s="875"/>
      <c r="DJC8" s="875"/>
      <c r="DJD8" s="875"/>
      <c r="DJE8" s="875"/>
      <c r="DJF8" s="875"/>
      <c r="DJG8" s="875"/>
      <c r="DJH8" s="875"/>
      <c r="DJI8" s="875"/>
      <c r="DJJ8" s="875"/>
      <c r="DJK8" s="875"/>
      <c r="DJL8" s="875"/>
      <c r="DJM8" s="875"/>
      <c r="DJN8" s="875"/>
      <c r="DJO8" s="875"/>
      <c r="DJP8" s="875"/>
      <c r="DJQ8" s="875"/>
      <c r="DJR8" s="875"/>
      <c r="DJS8" s="875"/>
      <c r="DJT8" s="875"/>
      <c r="DJU8" s="875"/>
      <c r="DJV8" s="875"/>
      <c r="DJW8" s="875"/>
      <c r="DJX8" s="875"/>
      <c r="DJY8" s="875"/>
      <c r="DJZ8" s="875"/>
      <c r="DKA8" s="875"/>
      <c r="DKB8" s="875"/>
      <c r="DKC8" s="875"/>
      <c r="DKD8" s="875"/>
      <c r="DKE8" s="875"/>
      <c r="DKF8" s="875"/>
      <c r="DKG8" s="875"/>
      <c r="DKH8" s="875"/>
      <c r="DKI8" s="875"/>
      <c r="DKJ8" s="875"/>
      <c r="DKK8" s="875"/>
      <c r="DKL8" s="875"/>
      <c r="DKM8" s="875"/>
      <c r="DKN8" s="875"/>
      <c r="DKO8" s="875"/>
      <c r="DKP8" s="875"/>
      <c r="DKQ8" s="875"/>
      <c r="DKR8" s="875"/>
      <c r="DKS8" s="875"/>
      <c r="DKT8" s="875"/>
      <c r="DKU8" s="875"/>
      <c r="DKV8" s="875"/>
      <c r="DKW8" s="875"/>
      <c r="DKX8" s="875"/>
      <c r="DKY8" s="875"/>
      <c r="DKZ8" s="875"/>
      <c r="DLA8" s="875"/>
      <c r="DLB8" s="875"/>
      <c r="DLC8" s="875"/>
      <c r="DLD8" s="875"/>
      <c r="DLE8" s="875"/>
      <c r="DLF8" s="875"/>
      <c r="DLG8" s="875"/>
      <c r="DLH8" s="875"/>
      <c r="DLI8" s="875"/>
      <c r="DLJ8" s="875"/>
      <c r="DLK8" s="875"/>
      <c r="DLL8" s="875"/>
      <c r="DLM8" s="875"/>
      <c r="DLN8" s="875"/>
      <c r="DLO8" s="875"/>
      <c r="DLP8" s="875"/>
      <c r="DLQ8" s="875"/>
      <c r="DLR8" s="875"/>
      <c r="DLS8" s="875"/>
      <c r="DLT8" s="875"/>
      <c r="DLU8" s="875"/>
      <c r="DLV8" s="875"/>
      <c r="DLW8" s="875"/>
      <c r="DLX8" s="875"/>
      <c r="DLY8" s="875"/>
      <c r="DLZ8" s="875"/>
      <c r="DMA8" s="875"/>
      <c r="DMB8" s="875"/>
      <c r="DMC8" s="875"/>
      <c r="DMD8" s="875"/>
      <c r="DME8" s="875"/>
      <c r="DMF8" s="875"/>
      <c r="DMG8" s="875"/>
      <c r="DMH8" s="875"/>
      <c r="DMI8" s="875"/>
      <c r="DMJ8" s="875"/>
      <c r="DMK8" s="875"/>
      <c r="DML8" s="875"/>
      <c r="DMM8" s="875"/>
      <c r="DMN8" s="875"/>
      <c r="DMO8" s="875"/>
      <c r="DMP8" s="875"/>
      <c r="DMQ8" s="875"/>
      <c r="DMR8" s="875"/>
      <c r="DMS8" s="875"/>
      <c r="DMT8" s="875"/>
      <c r="DMU8" s="875"/>
      <c r="DMV8" s="875"/>
      <c r="DMW8" s="875"/>
      <c r="DMX8" s="875"/>
      <c r="DMY8" s="875"/>
      <c r="DMZ8" s="875"/>
      <c r="DNA8" s="875"/>
      <c r="DNB8" s="875"/>
      <c r="DNC8" s="875"/>
      <c r="DND8" s="875"/>
      <c r="DNE8" s="875"/>
      <c r="DNF8" s="875"/>
      <c r="DNG8" s="875"/>
      <c r="DNH8" s="875"/>
      <c r="DNI8" s="875"/>
      <c r="DNJ8" s="875"/>
      <c r="DNK8" s="875"/>
      <c r="DNL8" s="875"/>
      <c r="DNM8" s="875"/>
      <c r="DNN8" s="875"/>
      <c r="DNO8" s="875"/>
      <c r="DNP8" s="875"/>
      <c r="DNQ8" s="875"/>
      <c r="DNR8" s="875"/>
      <c r="DNS8" s="875"/>
      <c r="DNT8" s="875"/>
      <c r="DNU8" s="875"/>
      <c r="DNV8" s="875"/>
      <c r="DNW8" s="875"/>
      <c r="DNX8" s="875"/>
      <c r="DNY8" s="875"/>
      <c r="DNZ8" s="875"/>
      <c r="DOA8" s="875"/>
      <c r="DOB8" s="875"/>
      <c r="DOC8" s="875"/>
      <c r="DOD8" s="875"/>
      <c r="DOE8" s="875"/>
      <c r="DOF8" s="875"/>
      <c r="DOG8" s="875"/>
      <c r="DOH8" s="875"/>
      <c r="DOI8" s="875"/>
      <c r="DOJ8" s="875"/>
      <c r="DOK8" s="875"/>
      <c r="DOL8" s="875"/>
      <c r="DOM8" s="875"/>
      <c r="DON8" s="875"/>
      <c r="DOO8" s="875"/>
      <c r="DOP8" s="875"/>
      <c r="DOQ8" s="875"/>
      <c r="DOR8" s="875"/>
      <c r="DOS8" s="875"/>
      <c r="DOT8" s="875"/>
      <c r="DOU8" s="875"/>
      <c r="DOV8" s="875"/>
      <c r="DOW8" s="875"/>
      <c r="DOX8" s="875"/>
      <c r="DOY8" s="875"/>
      <c r="DOZ8" s="875"/>
      <c r="DPA8" s="875"/>
      <c r="DPB8" s="875"/>
      <c r="DPC8" s="875"/>
      <c r="DPD8" s="875"/>
      <c r="DPE8" s="875"/>
      <c r="DPF8" s="875"/>
      <c r="DPG8" s="875"/>
      <c r="DPH8" s="875"/>
      <c r="DPI8" s="875"/>
      <c r="DPJ8" s="875"/>
      <c r="DPK8" s="875"/>
      <c r="DPL8" s="875"/>
      <c r="DPM8" s="875"/>
      <c r="DPN8" s="875"/>
      <c r="DPO8" s="875"/>
      <c r="DPP8" s="875"/>
      <c r="DPQ8" s="875"/>
      <c r="DPR8" s="875"/>
      <c r="DPS8" s="875"/>
      <c r="DPT8" s="875"/>
      <c r="DPU8" s="875"/>
      <c r="DPV8" s="875"/>
      <c r="DPW8" s="875"/>
      <c r="DPX8" s="875"/>
      <c r="DPY8" s="875"/>
      <c r="DPZ8" s="875"/>
      <c r="DQA8" s="875"/>
      <c r="DQB8" s="875"/>
      <c r="DQC8" s="875"/>
      <c r="DQD8" s="875"/>
      <c r="DQE8" s="875"/>
      <c r="DQF8" s="875"/>
      <c r="DQG8" s="875"/>
      <c r="DQH8" s="875"/>
      <c r="DQI8" s="875"/>
      <c r="DQJ8" s="875"/>
      <c r="DQK8" s="875"/>
      <c r="DQL8" s="875"/>
      <c r="DQM8" s="875"/>
      <c r="DQN8" s="875"/>
      <c r="DQO8" s="875"/>
      <c r="DQP8" s="875"/>
      <c r="DQQ8" s="875"/>
      <c r="DQR8" s="875"/>
      <c r="DQS8" s="875"/>
      <c r="DQT8" s="875"/>
      <c r="DQU8" s="875"/>
      <c r="DQV8" s="875"/>
      <c r="DQW8" s="875"/>
      <c r="DQX8" s="875"/>
      <c r="DQY8" s="875"/>
      <c r="DQZ8" s="875"/>
      <c r="DRA8" s="875"/>
      <c r="DRB8" s="875"/>
      <c r="DRC8" s="875"/>
      <c r="DRD8" s="875"/>
      <c r="DRE8" s="875"/>
      <c r="DRF8" s="875"/>
      <c r="DRG8" s="875"/>
      <c r="DRH8" s="875"/>
      <c r="DRI8" s="875"/>
      <c r="DRJ8" s="875"/>
      <c r="DRK8" s="875"/>
      <c r="DRL8" s="875"/>
      <c r="DRM8" s="875"/>
      <c r="DRN8" s="875"/>
      <c r="DRO8" s="875"/>
      <c r="DRP8" s="875"/>
      <c r="DRQ8" s="875"/>
      <c r="DRR8" s="875"/>
      <c r="DRS8" s="875"/>
      <c r="DRT8" s="875"/>
      <c r="DRU8" s="875"/>
      <c r="DRV8" s="875"/>
      <c r="DRW8" s="875"/>
      <c r="DRX8" s="875"/>
      <c r="DRY8" s="875"/>
      <c r="DRZ8" s="875"/>
      <c r="DSA8" s="875"/>
      <c r="DSB8" s="875"/>
      <c r="DSC8" s="875"/>
      <c r="DSD8" s="875"/>
      <c r="DSE8" s="875"/>
      <c r="DSF8" s="875"/>
      <c r="DSG8" s="875"/>
      <c r="DSH8" s="875"/>
      <c r="DSI8" s="875"/>
      <c r="DSJ8" s="875"/>
      <c r="DSK8" s="875"/>
      <c r="DSL8" s="875"/>
      <c r="DSM8" s="875"/>
      <c r="DSN8" s="875"/>
      <c r="DSO8" s="875"/>
      <c r="DSP8" s="875"/>
      <c r="DSQ8" s="875"/>
      <c r="DSR8" s="875"/>
      <c r="DSS8" s="875"/>
      <c r="DST8" s="875"/>
      <c r="DSU8" s="875"/>
      <c r="DSV8" s="875"/>
      <c r="DSW8" s="875"/>
      <c r="DSX8" s="875"/>
      <c r="DSY8" s="875"/>
      <c r="DSZ8" s="875"/>
      <c r="DTA8" s="875"/>
      <c r="DTB8" s="875"/>
      <c r="DTC8" s="875"/>
      <c r="DTD8" s="875"/>
      <c r="DTE8" s="875"/>
      <c r="DTF8" s="875"/>
      <c r="DTG8" s="875"/>
      <c r="DTH8" s="875"/>
      <c r="DTI8" s="875"/>
      <c r="DTJ8" s="875"/>
      <c r="DTK8" s="875"/>
      <c r="DTL8" s="875"/>
      <c r="DTM8" s="875"/>
      <c r="DTN8" s="875"/>
      <c r="DTO8" s="875"/>
      <c r="DTP8" s="875"/>
      <c r="DTQ8" s="875"/>
      <c r="DTR8" s="875"/>
      <c r="DTS8" s="875"/>
      <c r="DTT8" s="875"/>
      <c r="DTU8" s="875"/>
      <c r="DTV8" s="875"/>
      <c r="DTW8" s="875"/>
      <c r="DTX8" s="875"/>
      <c r="DTY8" s="875"/>
      <c r="DTZ8" s="875"/>
      <c r="DUA8" s="875"/>
      <c r="DUB8" s="875"/>
      <c r="DUC8" s="875"/>
      <c r="DUD8" s="875"/>
      <c r="DUE8" s="875"/>
      <c r="DUF8" s="875"/>
      <c r="DUG8" s="875"/>
      <c r="DUH8" s="875"/>
      <c r="DUI8" s="875"/>
      <c r="DUJ8" s="875"/>
      <c r="DUK8" s="875"/>
      <c r="DUL8" s="875"/>
      <c r="DUM8" s="875"/>
      <c r="DUN8" s="875"/>
      <c r="DUO8" s="875"/>
      <c r="DUP8" s="875"/>
      <c r="DUQ8" s="875"/>
      <c r="DUR8" s="875"/>
      <c r="DUS8" s="875"/>
      <c r="DUT8" s="875"/>
      <c r="DUU8" s="875"/>
      <c r="DUV8" s="875"/>
      <c r="DUW8" s="875"/>
      <c r="DUX8" s="875"/>
      <c r="DUY8" s="875"/>
      <c r="DUZ8" s="875"/>
      <c r="DVA8" s="875"/>
      <c r="DVB8" s="875"/>
      <c r="DVC8" s="875"/>
      <c r="DVD8" s="875"/>
      <c r="DVE8" s="875"/>
      <c r="DVF8" s="875"/>
      <c r="DVG8" s="875"/>
      <c r="DVH8" s="875"/>
      <c r="DVI8" s="875"/>
      <c r="DVJ8" s="875"/>
      <c r="DVK8" s="875"/>
      <c r="DVL8" s="875"/>
      <c r="DVM8" s="875"/>
      <c r="DVN8" s="875"/>
      <c r="DVO8" s="875"/>
      <c r="DVP8" s="875"/>
      <c r="DVQ8" s="875"/>
      <c r="DVR8" s="875"/>
      <c r="DVS8" s="875"/>
      <c r="DVT8" s="875"/>
      <c r="DVU8" s="875"/>
      <c r="DVV8" s="875"/>
      <c r="DVW8" s="875"/>
      <c r="DVX8" s="875"/>
      <c r="DVY8" s="875"/>
      <c r="DVZ8" s="875"/>
      <c r="DWA8" s="875"/>
      <c r="DWB8" s="875"/>
      <c r="DWC8" s="875"/>
      <c r="DWD8" s="875"/>
      <c r="DWE8" s="875"/>
      <c r="DWF8" s="875"/>
      <c r="DWG8" s="875"/>
      <c r="DWH8" s="875"/>
      <c r="DWI8" s="875"/>
      <c r="DWJ8" s="875"/>
      <c r="DWK8" s="875"/>
      <c r="DWL8" s="875"/>
      <c r="DWM8" s="875"/>
      <c r="DWN8" s="875"/>
      <c r="DWO8" s="875"/>
      <c r="DWP8" s="875"/>
      <c r="DWQ8" s="875"/>
      <c r="DWR8" s="875"/>
      <c r="DWS8" s="875"/>
      <c r="DWT8" s="875"/>
      <c r="DWU8" s="875"/>
      <c r="DWV8" s="875"/>
      <c r="DWW8" s="875"/>
      <c r="DWX8" s="875"/>
      <c r="DWY8" s="875"/>
      <c r="DWZ8" s="875"/>
      <c r="DXA8" s="875"/>
      <c r="DXB8" s="875"/>
      <c r="DXC8" s="875"/>
      <c r="DXD8" s="875"/>
      <c r="DXE8" s="875"/>
      <c r="DXF8" s="875"/>
      <c r="DXG8" s="875"/>
      <c r="DXH8" s="875"/>
      <c r="DXI8" s="875"/>
      <c r="DXJ8" s="875"/>
      <c r="DXK8" s="875"/>
      <c r="DXL8" s="875"/>
      <c r="DXM8" s="875"/>
      <c r="DXN8" s="875"/>
      <c r="DXO8" s="875"/>
      <c r="DXP8" s="875"/>
      <c r="DXQ8" s="875"/>
      <c r="DXR8" s="875"/>
      <c r="DXS8" s="875"/>
      <c r="DXT8" s="875"/>
      <c r="DXU8" s="875"/>
      <c r="DXV8" s="875"/>
      <c r="DXW8" s="875"/>
      <c r="DXX8" s="875"/>
      <c r="DXY8" s="875"/>
      <c r="DXZ8" s="875"/>
      <c r="DYA8" s="875"/>
      <c r="DYB8" s="875"/>
      <c r="DYC8" s="875"/>
      <c r="DYD8" s="875"/>
      <c r="DYE8" s="875"/>
      <c r="DYF8" s="875"/>
      <c r="DYG8" s="875"/>
      <c r="DYH8" s="875"/>
      <c r="DYI8" s="875"/>
      <c r="DYJ8" s="875"/>
      <c r="DYK8" s="875"/>
      <c r="DYL8" s="875"/>
      <c r="DYM8" s="875"/>
      <c r="DYN8" s="875"/>
      <c r="DYO8" s="875"/>
      <c r="DYP8" s="875"/>
      <c r="DYQ8" s="875"/>
      <c r="DYR8" s="875"/>
      <c r="DYS8" s="875"/>
      <c r="DYT8" s="875"/>
      <c r="DYU8" s="875"/>
      <c r="DYV8" s="875"/>
      <c r="DYW8" s="875"/>
      <c r="DYX8" s="875"/>
      <c r="DYY8" s="875"/>
      <c r="DYZ8" s="875"/>
      <c r="DZA8" s="875"/>
      <c r="DZB8" s="875"/>
      <c r="DZC8" s="875"/>
      <c r="DZD8" s="875"/>
      <c r="DZE8" s="875"/>
      <c r="DZF8" s="875"/>
      <c r="DZG8" s="875"/>
      <c r="DZH8" s="875"/>
      <c r="DZI8" s="875"/>
      <c r="DZJ8" s="875"/>
      <c r="DZK8" s="875"/>
      <c r="DZL8" s="875"/>
      <c r="DZM8" s="875"/>
      <c r="DZN8" s="875"/>
      <c r="DZO8" s="875"/>
      <c r="DZP8" s="875"/>
      <c r="DZQ8" s="875"/>
      <c r="DZR8" s="875"/>
      <c r="DZS8" s="875"/>
      <c r="DZT8" s="875"/>
      <c r="DZU8" s="875"/>
      <c r="DZV8" s="875"/>
      <c r="DZW8" s="875"/>
      <c r="DZX8" s="875"/>
      <c r="DZY8" s="875"/>
      <c r="DZZ8" s="875"/>
      <c r="EAA8" s="875"/>
      <c r="EAB8" s="875"/>
      <c r="EAC8" s="875"/>
      <c r="EAD8" s="875"/>
      <c r="EAE8" s="875"/>
      <c r="EAF8" s="875"/>
      <c r="EAG8" s="875"/>
      <c r="EAH8" s="875"/>
      <c r="EAI8" s="875"/>
      <c r="EAJ8" s="875"/>
      <c r="EAK8" s="875"/>
      <c r="EAL8" s="875"/>
      <c r="EAM8" s="875"/>
      <c r="EAN8" s="875"/>
      <c r="EAO8" s="875"/>
      <c r="EAP8" s="875"/>
      <c r="EAQ8" s="875"/>
      <c r="EAR8" s="875"/>
      <c r="EAS8" s="875"/>
      <c r="EAT8" s="875"/>
      <c r="EAU8" s="875"/>
      <c r="EAV8" s="875"/>
      <c r="EAW8" s="875"/>
      <c r="EAX8" s="875"/>
      <c r="EAY8" s="875"/>
      <c r="EAZ8" s="875"/>
      <c r="EBA8" s="875"/>
      <c r="EBB8" s="875"/>
      <c r="EBC8" s="875"/>
      <c r="EBD8" s="875"/>
      <c r="EBE8" s="875"/>
      <c r="EBF8" s="875"/>
      <c r="EBG8" s="875"/>
      <c r="EBH8" s="875"/>
      <c r="EBI8" s="875"/>
      <c r="EBJ8" s="875"/>
      <c r="EBK8" s="875"/>
      <c r="EBL8" s="875"/>
      <c r="EBM8" s="875"/>
      <c r="EBN8" s="875"/>
      <c r="EBO8" s="875"/>
      <c r="EBP8" s="875"/>
      <c r="EBQ8" s="875"/>
      <c r="EBR8" s="875"/>
      <c r="EBS8" s="875"/>
      <c r="EBT8" s="875"/>
      <c r="EBU8" s="875"/>
      <c r="EBV8" s="875"/>
      <c r="EBW8" s="875"/>
      <c r="EBX8" s="875"/>
      <c r="EBY8" s="875"/>
      <c r="EBZ8" s="875"/>
      <c r="ECA8" s="875"/>
      <c r="ECB8" s="875"/>
      <c r="ECC8" s="875"/>
      <c r="ECD8" s="875"/>
      <c r="ECE8" s="875"/>
      <c r="ECF8" s="875"/>
      <c r="ECG8" s="875"/>
      <c r="ECH8" s="875"/>
      <c r="ECI8" s="875"/>
      <c r="ECJ8" s="875"/>
      <c r="ECK8" s="875"/>
      <c r="ECL8" s="875"/>
      <c r="ECM8" s="875"/>
      <c r="ECN8" s="875"/>
      <c r="ECO8" s="875"/>
      <c r="ECP8" s="875"/>
      <c r="ECQ8" s="875"/>
      <c r="ECR8" s="875"/>
      <c r="ECS8" s="875"/>
      <c r="ECT8" s="875"/>
      <c r="ECU8" s="875"/>
      <c r="ECV8" s="875"/>
      <c r="ECW8" s="875"/>
      <c r="ECX8" s="875"/>
      <c r="ECY8" s="875"/>
      <c r="ECZ8" s="875"/>
      <c r="EDA8" s="875"/>
      <c r="EDB8" s="875"/>
      <c r="EDC8" s="875"/>
      <c r="EDD8" s="875"/>
      <c r="EDE8" s="875"/>
      <c r="EDF8" s="875"/>
      <c r="EDG8" s="875"/>
      <c r="EDH8" s="875"/>
      <c r="EDI8" s="875"/>
      <c r="EDJ8" s="875"/>
      <c r="EDK8" s="875"/>
      <c r="EDL8" s="875"/>
      <c r="EDM8" s="875"/>
      <c r="EDN8" s="875"/>
      <c r="EDO8" s="875"/>
      <c r="EDP8" s="875"/>
      <c r="EDQ8" s="875"/>
      <c r="EDR8" s="875"/>
      <c r="EDS8" s="875"/>
      <c r="EDT8" s="875"/>
      <c r="EDU8" s="875"/>
      <c r="EDV8" s="875"/>
      <c r="EDW8" s="875"/>
      <c r="EDX8" s="875"/>
      <c r="EDY8" s="875"/>
      <c r="EDZ8" s="875"/>
      <c r="EEA8" s="875"/>
      <c r="EEB8" s="875"/>
      <c r="EEC8" s="875"/>
      <c r="EED8" s="875"/>
      <c r="EEE8" s="875"/>
      <c r="EEF8" s="875"/>
      <c r="EEG8" s="875"/>
      <c r="EEH8" s="875"/>
      <c r="EEI8" s="875"/>
      <c r="EEJ8" s="875"/>
      <c r="EEK8" s="875"/>
      <c r="EEL8" s="875"/>
      <c r="EEM8" s="875"/>
      <c r="EEN8" s="875"/>
      <c r="EEO8" s="875"/>
      <c r="EEP8" s="875"/>
      <c r="EEQ8" s="875"/>
      <c r="EER8" s="875"/>
      <c r="EES8" s="875"/>
      <c r="EET8" s="875"/>
      <c r="EEU8" s="875"/>
      <c r="EEV8" s="875"/>
      <c r="EEW8" s="875"/>
      <c r="EEX8" s="875"/>
      <c r="EEY8" s="875"/>
      <c r="EEZ8" s="875"/>
      <c r="EFA8" s="875"/>
      <c r="EFB8" s="875"/>
      <c r="EFC8" s="875"/>
      <c r="EFD8" s="875"/>
      <c r="EFE8" s="875"/>
      <c r="EFF8" s="875"/>
      <c r="EFG8" s="875"/>
      <c r="EFH8" s="875"/>
      <c r="EFI8" s="875"/>
      <c r="EFJ8" s="875"/>
      <c r="EFK8" s="875"/>
      <c r="EFL8" s="875"/>
      <c r="EFM8" s="875"/>
      <c r="EFN8" s="875"/>
      <c r="EFO8" s="875"/>
      <c r="EFP8" s="875"/>
      <c r="EFQ8" s="875"/>
      <c r="EFR8" s="875"/>
      <c r="EFS8" s="875"/>
      <c r="EFT8" s="875"/>
      <c r="EFU8" s="875"/>
      <c r="EFV8" s="875"/>
      <c r="EFW8" s="875"/>
      <c r="EFX8" s="875"/>
      <c r="EFY8" s="875"/>
      <c r="EFZ8" s="875"/>
      <c r="EGA8" s="875"/>
      <c r="EGB8" s="875"/>
      <c r="EGC8" s="875"/>
      <c r="EGD8" s="875"/>
      <c r="EGE8" s="875"/>
      <c r="EGF8" s="875"/>
      <c r="EGG8" s="875"/>
      <c r="EGH8" s="875"/>
      <c r="EGI8" s="875"/>
      <c r="EGJ8" s="875"/>
      <c r="EGK8" s="875"/>
      <c r="EGL8" s="875"/>
      <c r="EGM8" s="875"/>
      <c r="EGN8" s="875"/>
      <c r="EGO8" s="875"/>
      <c r="EGP8" s="875"/>
      <c r="EGQ8" s="875"/>
      <c r="EGR8" s="875"/>
      <c r="EGS8" s="875"/>
      <c r="EGT8" s="875"/>
      <c r="EGU8" s="875"/>
      <c r="EGV8" s="875"/>
      <c r="EGW8" s="875"/>
      <c r="EGX8" s="875"/>
      <c r="EGY8" s="875"/>
      <c r="EGZ8" s="875"/>
      <c r="EHA8" s="875"/>
      <c r="EHB8" s="875"/>
      <c r="EHC8" s="875"/>
      <c r="EHD8" s="875"/>
      <c r="EHE8" s="875"/>
      <c r="EHF8" s="875"/>
      <c r="EHG8" s="875"/>
      <c r="EHH8" s="875"/>
      <c r="EHI8" s="875"/>
      <c r="EHJ8" s="875"/>
      <c r="EHK8" s="875"/>
      <c r="EHL8" s="875"/>
      <c r="EHM8" s="875"/>
      <c r="EHN8" s="875"/>
      <c r="EHO8" s="875"/>
      <c r="EHP8" s="875"/>
      <c r="EHQ8" s="875"/>
      <c r="EHR8" s="875"/>
      <c r="EHS8" s="875"/>
      <c r="EHT8" s="875"/>
      <c r="EHU8" s="875"/>
      <c r="EHV8" s="875"/>
      <c r="EHW8" s="875"/>
      <c r="EHX8" s="875"/>
      <c r="EHY8" s="875"/>
      <c r="EHZ8" s="875"/>
      <c r="EIA8" s="875"/>
      <c r="EIB8" s="875"/>
      <c r="EIC8" s="875"/>
      <c r="EID8" s="875"/>
      <c r="EIE8" s="875"/>
      <c r="EIF8" s="875"/>
      <c r="EIG8" s="875"/>
      <c r="EIH8" s="875"/>
      <c r="EII8" s="875"/>
      <c r="EIJ8" s="875"/>
      <c r="EIK8" s="875"/>
      <c r="EIL8" s="875"/>
      <c r="EIM8" s="875"/>
      <c r="EIN8" s="875"/>
      <c r="EIO8" s="875"/>
      <c r="EIP8" s="875"/>
      <c r="EIQ8" s="875"/>
      <c r="EIR8" s="875"/>
      <c r="EIS8" s="875"/>
      <c r="EIT8" s="875"/>
      <c r="EIU8" s="875"/>
      <c r="EIV8" s="875"/>
      <c r="EIW8" s="875"/>
      <c r="EIX8" s="875"/>
      <c r="EIY8" s="875"/>
      <c r="EIZ8" s="875"/>
      <c r="EJA8" s="875"/>
      <c r="EJB8" s="875"/>
      <c r="EJC8" s="875"/>
      <c r="EJD8" s="875"/>
      <c r="EJE8" s="875"/>
      <c r="EJF8" s="875"/>
      <c r="EJG8" s="875"/>
      <c r="EJH8" s="875"/>
      <c r="EJI8" s="875"/>
      <c r="EJJ8" s="875"/>
      <c r="EJK8" s="875"/>
      <c r="EJL8" s="875"/>
      <c r="EJM8" s="875"/>
      <c r="EJN8" s="875"/>
      <c r="EJO8" s="875"/>
      <c r="EJP8" s="875"/>
      <c r="EJQ8" s="875"/>
      <c r="EJR8" s="875"/>
      <c r="EJS8" s="875"/>
      <c r="EJT8" s="875"/>
      <c r="EJU8" s="875"/>
      <c r="EJV8" s="875"/>
      <c r="EJW8" s="875"/>
      <c r="EJX8" s="875"/>
      <c r="EJY8" s="875"/>
      <c r="EJZ8" s="875"/>
      <c r="EKA8" s="875"/>
      <c r="EKB8" s="875"/>
      <c r="EKC8" s="875"/>
      <c r="EKD8" s="875"/>
      <c r="EKE8" s="875"/>
      <c r="EKF8" s="875"/>
      <c r="EKG8" s="875"/>
      <c r="EKH8" s="875"/>
      <c r="EKI8" s="875"/>
      <c r="EKJ8" s="875"/>
      <c r="EKK8" s="875"/>
      <c r="EKL8" s="875"/>
      <c r="EKM8" s="875"/>
      <c r="EKN8" s="875"/>
      <c r="EKO8" s="875"/>
      <c r="EKP8" s="875"/>
      <c r="EKQ8" s="875"/>
      <c r="EKR8" s="875"/>
      <c r="EKS8" s="875"/>
      <c r="EKT8" s="875"/>
      <c r="EKU8" s="875"/>
      <c r="EKV8" s="875"/>
      <c r="EKW8" s="875"/>
      <c r="EKX8" s="875"/>
      <c r="EKY8" s="875"/>
      <c r="EKZ8" s="875"/>
      <c r="ELA8" s="875"/>
      <c r="ELB8" s="875"/>
      <c r="ELC8" s="875"/>
      <c r="ELD8" s="875"/>
      <c r="ELE8" s="875"/>
      <c r="ELF8" s="875"/>
      <c r="ELG8" s="875"/>
      <c r="ELH8" s="875"/>
      <c r="ELI8" s="875"/>
      <c r="ELJ8" s="875"/>
      <c r="ELK8" s="875"/>
      <c r="ELL8" s="875"/>
      <c r="ELM8" s="875"/>
      <c r="ELN8" s="875"/>
      <c r="ELO8" s="875"/>
      <c r="ELP8" s="875"/>
      <c r="ELQ8" s="875"/>
      <c r="ELR8" s="875"/>
      <c r="ELS8" s="875"/>
      <c r="ELT8" s="875"/>
      <c r="ELU8" s="875"/>
      <c r="ELV8" s="875"/>
      <c r="ELW8" s="875"/>
      <c r="ELX8" s="875"/>
      <c r="ELY8" s="875"/>
      <c r="ELZ8" s="875"/>
      <c r="EMA8" s="875"/>
      <c r="EMB8" s="875"/>
      <c r="EMC8" s="875"/>
      <c r="EMD8" s="875"/>
      <c r="EME8" s="875"/>
      <c r="EMF8" s="875"/>
      <c r="EMG8" s="875"/>
      <c r="EMH8" s="875"/>
      <c r="EMI8" s="875"/>
      <c r="EMJ8" s="875"/>
      <c r="EMK8" s="875"/>
      <c r="EML8" s="875"/>
      <c r="EMM8" s="875"/>
      <c r="EMN8" s="875"/>
      <c r="EMO8" s="875"/>
      <c r="EMP8" s="875"/>
      <c r="EMQ8" s="875"/>
      <c r="EMR8" s="875"/>
      <c r="EMS8" s="875"/>
      <c r="EMT8" s="875"/>
      <c r="EMU8" s="875"/>
      <c r="EMV8" s="875"/>
      <c r="EMW8" s="875"/>
      <c r="EMX8" s="875"/>
      <c r="EMY8" s="875"/>
      <c r="EMZ8" s="875"/>
      <c r="ENA8" s="875"/>
      <c r="ENB8" s="875"/>
      <c r="ENC8" s="875"/>
      <c r="END8" s="875"/>
      <c r="ENE8" s="875"/>
      <c r="ENF8" s="875"/>
      <c r="ENG8" s="875"/>
      <c r="ENH8" s="875"/>
      <c r="ENI8" s="875"/>
      <c r="ENJ8" s="875"/>
      <c r="ENK8" s="875"/>
      <c r="ENL8" s="875"/>
      <c r="ENM8" s="875"/>
      <c r="ENN8" s="875"/>
      <c r="ENO8" s="875"/>
      <c r="ENP8" s="875"/>
      <c r="ENQ8" s="875"/>
      <c r="ENR8" s="875"/>
      <c r="ENS8" s="875"/>
      <c r="ENT8" s="875"/>
      <c r="ENU8" s="875"/>
      <c r="ENV8" s="875"/>
      <c r="ENW8" s="875"/>
      <c r="ENX8" s="875"/>
      <c r="ENY8" s="875"/>
      <c r="ENZ8" s="875"/>
      <c r="EOA8" s="875"/>
      <c r="EOB8" s="875"/>
      <c r="EOC8" s="875"/>
      <c r="EOD8" s="875"/>
      <c r="EOE8" s="875"/>
      <c r="EOF8" s="875"/>
      <c r="EOG8" s="875"/>
      <c r="EOH8" s="875"/>
      <c r="EOI8" s="875"/>
      <c r="EOJ8" s="875"/>
      <c r="EOK8" s="875"/>
      <c r="EOL8" s="875"/>
      <c r="EOM8" s="875"/>
      <c r="EON8" s="875"/>
      <c r="EOO8" s="875"/>
      <c r="EOP8" s="875"/>
      <c r="EOQ8" s="875"/>
      <c r="EOR8" s="875"/>
      <c r="EOS8" s="875"/>
      <c r="EOT8" s="875"/>
      <c r="EOU8" s="875"/>
      <c r="EOV8" s="875"/>
      <c r="EOW8" s="875"/>
      <c r="EOX8" s="875"/>
      <c r="EOY8" s="875"/>
      <c r="EOZ8" s="875"/>
      <c r="EPA8" s="875"/>
      <c r="EPB8" s="875"/>
      <c r="EPC8" s="875"/>
      <c r="EPD8" s="875"/>
      <c r="EPE8" s="875"/>
      <c r="EPF8" s="875"/>
      <c r="EPG8" s="875"/>
      <c r="EPH8" s="875"/>
      <c r="EPI8" s="875"/>
      <c r="EPJ8" s="875"/>
      <c r="EPK8" s="875"/>
      <c r="EPL8" s="875"/>
      <c r="EPM8" s="875"/>
      <c r="EPN8" s="875"/>
      <c r="EPO8" s="875"/>
      <c r="EPP8" s="875"/>
      <c r="EPQ8" s="875"/>
      <c r="EPR8" s="875"/>
      <c r="EPS8" s="875"/>
      <c r="EPT8" s="875"/>
      <c r="EPU8" s="875"/>
      <c r="EPV8" s="875"/>
      <c r="EPW8" s="875"/>
      <c r="EPX8" s="875"/>
      <c r="EPY8" s="875"/>
      <c r="EPZ8" s="875"/>
      <c r="EQA8" s="875"/>
      <c r="EQB8" s="875"/>
      <c r="EQC8" s="875"/>
      <c r="EQD8" s="875"/>
      <c r="EQE8" s="875"/>
      <c r="EQF8" s="875"/>
      <c r="EQG8" s="875"/>
      <c r="EQH8" s="875"/>
      <c r="EQI8" s="875"/>
      <c r="EQJ8" s="875"/>
      <c r="EQK8" s="875"/>
      <c r="EQL8" s="875"/>
      <c r="EQM8" s="875"/>
      <c r="EQN8" s="875"/>
      <c r="EQO8" s="875"/>
      <c r="EQP8" s="875"/>
      <c r="EQQ8" s="875"/>
      <c r="EQR8" s="875"/>
      <c r="EQS8" s="875"/>
      <c r="EQT8" s="875"/>
      <c r="EQU8" s="875"/>
      <c r="EQV8" s="875"/>
      <c r="EQW8" s="875"/>
      <c r="EQX8" s="875"/>
      <c r="EQY8" s="875"/>
      <c r="EQZ8" s="875"/>
      <c r="ERA8" s="875"/>
      <c r="ERB8" s="875"/>
      <c r="ERC8" s="875"/>
      <c r="ERD8" s="875"/>
      <c r="ERE8" s="875"/>
      <c r="ERF8" s="875"/>
      <c r="ERG8" s="875"/>
      <c r="ERH8" s="875"/>
      <c r="ERI8" s="875"/>
      <c r="ERJ8" s="875"/>
      <c r="ERK8" s="875"/>
      <c r="ERL8" s="875"/>
      <c r="ERM8" s="875"/>
      <c r="ERN8" s="875"/>
      <c r="ERO8" s="875"/>
      <c r="ERP8" s="875"/>
      <c r="ERQ8" s="875"/>
      <c r="ERR8" s="875"/>
      <c r="ERS8" s="875"/>
      <c r="ERT8" s="875"/>
      <c r="ERU8" s="875"/>
      <c r="ERV8" s="875"/>
      <c r="ERW8" s="875"/>
      <c r="ERX8" s="875"/>
      <c r="ERY8" s="875"/>
      <c r="ERZ8" s="875"/>
      <c r="ESA8" s="875"/>
      <c r="ESB8" s="875"/>
      <c r="ESC8" s="875"/>
      <c r="ESD8" s="875"/>
      <c r="ESE8" s="875"/>
      <c r="ESF8" s="875"/>
      <c r="ESG8" s="875"/>
      <c r="ESH8" s="875"/>
      <c r="ESI8" s="875"/>
      <c r="ESJ8" s="875"/>
      <c r="ESK8" s="875"/>
      <c r="ESL8" s="875"/>
      <c r="ESM8" s="875"/>
      <c r="ESN8" s="875"/>
      <c r="ESO8" s="875"/>
      <c r="ESP8" s="875"/>
      <c r="ESQ8" s="875"/>
      <c r="ESR8" s="875"/>
      <c r="ESS8" s="875"/>
      <c r="EST8" s="875"/>
      <c r="ESU8" s="875"/>
      <c r="ESV8" s="875"/>
      <c r="ESW8" s="875"/>
      <c r="ESX8" s="875"/>
      <c r="ESY8" s="875"/>
      <c r="ESZ8" s="875"/>
      <c r="ETA8" s="875"/>
      <c r="ETB8" s="875"/>
      <c r="ETC8" s="875"/>
      <c r="ETD8" s="875"/>
      <c r="ETE8" s="875"/>
      <c r="ETF8" s="875"/>
      <c r="ETG8" s="875"/>
      <c r="ETH8" s="875"/>
      <c r="ETI8" s="875"/>
      <c r="ETJ8" s="875"/>
      <c r="ETK8" s="875"/>
      <c r="ETL8" s="875"/>
      <c r="ETM8" s="875"/>
      <c r="ETN8" s="875"/>
      <c r="ETO8" s="875"/>
      <c r="ETP8" s="875"/>
      <c r="ETQ8" s="875"/>
      <c r="ETR8" s="875"/>
      <c r="ETS8" s="875"/>
      <c r="ETT8" s="875"/>
      <c r="ETU8" s="875"/>
      <c r="ETV8" s="875"/>
      <c r="ETW8" s="875"/>
      <c r="ETX8" s="875"/>
      <c r="ETY8" s="875"/>
      <c r="ETZ8" s="875"/>
      <c r="EUA8" s="875"/>
      <c r="EUB8" s="875"/>
      <c r="EUC8" s="875"/>
      <c r="EUD8" s="875"/>
      <c r="EUE8" s="875"/>
      <c r="EUF8" s="875"/>
      <c r="EUG8" s="875"/>
      <c r="EUH8" s="875"/>
      <c r="EUI8" s="875"/>
      <c r="EUJ8" s="875"/>
      <c r="EUK8" s="875"/>
      <c r="EUL8" s="875"/>
      <c r="EUM8" s="875"/>
      <c r="EUN8" s="875"/>
      <c r="EUO8" s="875"/>
      <c r="EUP8" s="875"/>
      <c r="EUQ8" s="875"/>
      <c r="EUR8" s="875"/>
      <c r="EUS8" s="875"/>
      <c r="EUT8" s="875"/>
      <c r="EUU8" s="875"/>
      <c r="EUV8" s="875"/>
      <c r="EUW8" s="875"/>
      <c r="EUX8" s="875"/>
      <c r="EUY8" s="875"/>
      <c r="EUZ8" s="875"/>
      <c r="EVA8" s="875"/>
      <c r="EVB8" s="875"/>
      <c r="EVC8" s="875"/>
      <c r="EVD8" s="875"/>
      <c r="EVE8" s="875"/>
      <c r="EVF8" s="875"/>
      <c r="EVG8" s="875"/>
      <c r="EVH8" s="875"/>
      <c r="EVI8" s="875"/>
      <c r="EVJ8" s="875"/>
      <c r="EVK8" s="875"/>
      <c r="EVL8" s="875"/>
      <c r="EVM8" s="875"/>
      <c r="EVN8" s="875"/>
      <c r="EVO8" s="875"/>
      <c r="EVP8" s="875"/>
      <c r="EVQ8" s="875"/>
      <c r="EVR8" s="875"/>
      <c r="EVS8" s="875"/>
      <c r="EVT8" s="875"/>
      <c r="EVU8" s="875"/>
      <c r="EVV8" s="875"/>
      <c r="EVW8" s="875"/>
      <c r="EVX8" s="875"/>
      <c r="EVY8" s="875"/>
      <c r="EVZ8" s="875"/>
      <c r="EWA8" s="875"/>
      <c r="EWB8" s="875"/>
      <c r="EWC8" s="875"/>
      <c r="EWD8" s="875"/>
      <c r="EWE8" s="875"/>
      <c r="EWF8" s="875"/>
      <c r="EWG8" s="875"/>
      <c r="EWH8" s="875"/>
      <c r="EWI8" s="875"/>
      <c r="EWJ8" s="875"/>
      <c r="EWK8" s="875"/>
      <c r="EWL8" s="875"/>
      <c r="EWM8" s="875"/>
      <c r="EWN8" s="875"/>
      <c r="EWO8" s="875"/>
      <c r="EWP8" s="875"/>
      <c r="EWQ8" s="875"/>
      <c r="EWR8" s="875"/>
      <c r="EWS8" s="875"/>
      <c r="EWT8" s="875"/>
      <c r="EWU8" s="875"/>
      <c r="EWV8" s="875"/>
      <c r="EWW8" s="875"/>
      <c r="EWX8" s="875"/>
      <c r="EWY8" s="875"/>
      <c r="EWZ8" s="875"/>
      <c r="EXA8" s="875"/>
      <c r="EXB8" s="875"/>
      <c r="EXC8" s="875"/>
      <c r="EXD8" s="875"/>
      <c r="EXE8" s="875"/>
      <c r="EXF8" s="875"/>
      <c r="EXG8" s="875"/>
      <c r="EXH8" s="875"/>
      <c r="EXI8" s="875"/>
      <c r="EXJ8" s="875"/>
      <c r="EXK8" s="875"/>
      <c r="EXL8" s="875"/>
      <c r="EXM8" s="875"/>
      <c r="EXN8" s="875"/>
      <c r="EXO8" s="875"/>
      <c r="EXP8" s="875"/>
      <c r="EXQ8" s="875"/>
      <c r="EXR8" s="875"/>
      <c r="EXS8" s="875"/>
      <c r="EXT8" s="875"/>
      <c r="EXU8" s="875"/>
      <c r="EXV8" s="875"/>
      <c r="EXW8" s="875"/>
      <c r="EXX8" s="875"/>
      <c r="EXY8" s="875"/>
      <c r="EXZ8" s="875"/>
      <c r="EYA8" s="875"/>
      <c r="EYB8" s="875"/>
      <c r="EYC8" s="875"/>
      <c r="EYD8" s="875"/>
      <c r="EYE8" s="875"/>
      <c r="EYF8" s="875"/>
      <c r="EYG8" s="875"/>
      <c r="EYH8" s="875"/>
      <c r="EYI8" s="875"/>
      <c r="EYJ8" s="875"/>
      <c r="EYK8" s="875"/>
      <c r="EYL8" s="875"/>
      <c r="EYM8" s="875"/>
      <c r="EYN8" s="875"/>
      <c r="EYO8" s="875"/>
      <c r="EYP8" s="875"/>
      <c r="EYQ8" s="875"/>
      <c r="EYR8" s="875"/>
      <c r="EYS8" s="875"/>
      <c r="EYT8" s="875"/>
      <c r="EYU8" s="875"/>
      <c r="EYV8" s="875"/>
      <c r="EYW8" s="875"/>
      <c r="EYX8" s="875"/>
      <c r="EYY8" s="875"/>
      <c r="EYZ8" s="875"/>
      <c r="EZA8" s="875"/>
      <c r="EZB8" s="875"/>
      <c r="EZC8" s="875"/>
      <c r="EZD8" s="875"/>
      <c r="EZE8" s="875"/>
      <c r="EZF8" s="875"/>
      <c r="EZG8" s="875"/>
      <c r="EZH8" s="875"/>
      <c r="EZI8" s="875"/>
      <c r="EZJ8" s="875"/>
      <c r="EZK8" s="875"/>
      <c r="EZL8" s="875"/>
      <c r="EZM8" s="875"/>
      <c r="EZN8" s="875"/>
      <c r="EZO8" s="875"/>
      <c r="EZP8" s="875"/>
      <c r="EZQ8" s="875"/>
      <c r="EZR8" s="875"/>
      <c r="EZS8" s="875"/>
      <c r="EZT8" s="875"/>
      <c r="EZU8" s="875"/>
      <c r="EZV8" s="875"/>
      <c r="EZW8" s="875"/>
      <c r="EZX8" s="875"/>
      <c r="EZY8" s="875"/>
      <c r="EZZ8" s="875"/>
      <c r="FAA8" s="875"/>
      <c r="FAB8" s="875"/>
      <c r="FAC8" s="875"/>
      <c r="FAD8" s="875"/>
      <c r="FAE8" s="875"/>
      <c r="FAF8" s="875"/>
      <c r="FAG8" s="875"/>
      <c r="FAH8" s="875"/>
      <c r="FAI8" s="875"/>
      <c r="FAJ8" s="875"/>
      <c r="FAK8" s="875"/>
      <c r="FAL8" s="875"/>
      <c r="FAM8" s="875"/>
      <c r="FAN8" s="875"/>
      <c r="FAO8" s="875"/>
      <c r="FAP8" s="875"/>
      <c r="FAQ8" s="875"/>
      <c r="FAR8" s="875"/>
      <c r="FAS8" s="875"/>
      <c r="FAT8" s="875"/>
      <c r="FAU8" s="875"/>
      <c r="FAV8" s="875"/>
      <c r="FAW8" s="875"/>
      <c r="FAX8" s="875"/>
      <c r="FAY8" s="875"/>
      <c r="FAZ8" s="875"/>
      <c r="FBA8" s="875"/>
      <c r="FBB8" s="875"/>
      <c r="FBC8" s="875"/>
      <c r="FBD8" s="875"/>
      <c r="FBE8" s="875"/>
      <c r="FBF8" s="875"/>
      <c r="FBG8" s="875"/>
      <c r="FBH8" s="875"/>
      <c r="FBI8" s="875"/>
      <c r="FBJ8" s="875"/>
      <c r="FBK8" s="875"/>
      <c r="FBL8" s="875"/>
      <c r="FBM8" s="875"/>
      <c r="FBN8" s="875"/>
      <c r="FBO8" s="875"/>
      <c r="FBP8" s="875"/>
      <c r="FBQ8" s="875"/>
      <c r="FBR8" s="875"/>
      <c r="FBS8" s="875"/>
      <c r="FBT8" s="875"/>
      <c r="FBU8" s="875"/>
      <c r="FBV8" s="875"/>
      <c r="FBW8" s="875"/>
      <c r="FBX8" s="875"/>
      <c r="FBY8" s="875"/>
      <c r="FBZ8" s="875"/>
      <c r="FCA8" s="875"/>
      <c r="FCB8" s="875"/>
      <c r="FCC8" s="875"/>
      <c r="FCD8" s="875"/>
      <c r="FCE8" s="875"/>
      <c r="FCF8" s="875"/>
      <c r="FCG8" s="875"/>
      <c r="FCH8" s="875"/>
      <c r="FCI8" s="875"/>
      <c r="FCJ8" s="875"/>
      <c r="FCK8" s="875"/>
      <c r="FCL8" s="875"/>
      <c r="FCM8" s="875"/>
      <c r="FCN8" s="875"/>
      <c r="FCO8" s="875"/>
      <c r="FCP8" s="875"/>
      <c r="FCQ8" s="875"/>
      <c r="FCR8" s="875"/>
      <c r="FCS8" s="875"/>
      <c r="FCT8" s="875"/>
      <c r="FCU8" s="875"/>
      <c r="FCV8" s="875"/>
      <c r="FCW8" s="875"/>
      <c r="FCX8" s="875"/>
      <c r="FCY8" s="875"/>
      <c r="FCZ8" s="875"/>
      <c r="FDA8" s="875"/>
      <c r="FDB8" s="875"/>
      <c r="FDC8" s="875"/>
      <c r="FDD8" s="875"/>
      <c r="FDE8" s="875"/>
      <c r="FDF8" s="875"/>
      <c r="FDG8" s="875"/>
      <c r="FDH8" s="875"/>
      <c r="FDI8" s="875"/>
      <c r="FDJ8" s="875"/>
      <c r="FDK8" s="875"/>
      <c r="FDL8" s="875"/>
      <c r="FDM8" s="875"/>
      <c r="FDN8" s="875"/>
      <c r="FDO8" s="875"/>
      <c r="FDP8" s="875"/>
      <c r="FDQ8" s="875"/>
      <c r="FDR8" s="875"/>
      <c r="FDS8" s="875"/>
      <c r="FDT8" s="875"/>
      <c r="FDU8" s="875"/>
      <c r="FDV8" s="875"/>
      <c r="FDW8" s="875"/>
      <c r="FDX8" s="875"/>
      <c r="FDY8" s="875"/>
      <c r="FDZ8" s="875"/>
      <c r="FEA8" s="875"/>
      <c r="FEB8" s="875"/>
      <c r="FEC8" s="875"/>
      <c r="FED8" s="875"/>
      <c r="FEE8" s="875"/>
      <c r="FEF8" s="875"/>
      <c r="FEG8" s="875"/>
      <c r="FEH8" s="875"/>
      <c r="FEI8" s="875"/>
      <c r="FEJ8" s="875"/>
      <c r="FEK8" s="875"/>
      <c r="FEL8" s="875"/>
      <c r="FEM8" s="875"/>
      <c r="FEN8" s="875"/>
      <c r="FEO8" s="875"/>
      <c r="FEP8" s="875"/>
      <c r="FEQ8" s="875"/>
      <c r="FER8" s="875"/>
      <c r="FES8" s="875"/>
      <c r="FET8" s="875"/>
      <c r="FEU8" s="875"/>
      <c r="FEV8" s="875"/>
      <c r="FEW8" s="875"/>
      <c r="FEX8" s="875"/>
      <c r="FEY8" s="875"/>
      <c r="FEZ8" s="875"/>
      <c r="FFA8" s="875"/>
      <c r="FFB8" s="875"/>
      <c r="FFC8" s="875"/>
      <c r="FFD8" s="875"/>
      <c r="FFE8" s="875"/>
      <c r="FFF8" s="875"/>
      <c r="FFG8" s="875"/>
      <c r="FFH8" s="875"/>
      <c r="FFI8" s="875"/>
      <c r="FFJ8" s="875"/>
      <c r="FFK8" s="875"/>
      <c r="FFL8" s="875"/>
      <c r="FFM8" s="875"/>
      <c r="FFN8" s="875"/>
      <c r="FFO8" s="875"/>
      <c r="FFP8" s="875"/>
      <c r="FFQ8" s="875"/>
      <c r="FFR8" s="875"/>
      <c r="FFS8" s="875"/>
      <c r="FFT8" s="875"/>
      <c r="FFU8" s="875"/>
      <c r="FFV8" s="875"/>
      <c r="FFW8" s="875"/>
      <c r="FFX8" s="875"/>
      <c r="FFY8" s="875"/>
      <c r="FFZ8" s="875"/>
      <c r="FGA8" s="875"/>
      <c r="FGB8" s="875"/>
      <c r="FGC8" s="875"/>
      <c r="FGD8" s="875"/>
      <c r="FGE8" s="875"/>
      <c r="FGF8" s="875"/>
      <c r="FGG8" s="875"/>
      <c r="FGH8" s="875"/>
      <c r="FGI8" s="875"/>
      <c r="FGJ8" s="875"/>
      <c r="FGK8" s="875"/>
      <c r="FGL8" s="875"/>
      <c r="FGM8" s="875"/>
      <c r="FGN8" s="875"/>
      <c r="FGO8" s="875"/>
      <c r="FGP8" s="875"/>
      <c r="FGQ8" s="875"/>
      <c r="FGR8" s="875"/>
      <c r="FGS8" s="875"/>
      <c r="FGT8" s="875"/>
      <c r="FGU8" s="875"/>
      <c r="FGV8" s="875"/>
      <c r="FGW8" s="875"/>
      <c r="FGX8" s="875"/>
      <c r="FGY8" s="875"/>
      <c r="FGZ8" s="875"/>
      <c r="FHA8" s="875"/>
      <c r="FHB8" s="875"/>
      <c r="FHC8" s="875"/>
      <c r="FHD8" s="875"/>
      <c r="FHE8" s="875"/>
      <c r="FHF8" s="875"/>
      <c r="FHG8" s="875"/>
      <c r="FHH8" s="875"/>
      <c r="FHI8" s="875"/>
      <c r="FHJ8" s="875"/>
      <c r="FHK8" s="875"/>
      <c r="FHL8" s="875"/>
      <c r="FHM8" s="875"/>
      <c r="FHN8" s="875"/>
      <c r="FHO8" s="875"/>
      <c r="FHP8" s="875"/>
      <c r="FHQ8" s="875"/>
      <c r="FHR8" s="875"/>
      <c r="FHS8" s="875"/>
      <c r="FHT8" s="875"/>
      <c r="FHU8" s="875"/>
      <c r="FHV8" s="875"/>
      <c r="FHW8" s="875"/>
      <c r="FHX8" s="875"/>
      <c r="FHY8" s="875"/>
      <c r="FHZ8" s="875"/>
      <c r="FIA8" s="875"/>
      <c r="FIB8" s="875"/>
      <c r="FIC8" s="875"/>
      <c r="FID8" s="875"/>
      <c r="FIE8" s="875"/>
      <c r="FIF8" s="875"/>
      <c r="FIG8" s="875"/>
      <c r="FIH8" s="875"/>
      <c r="FII8" s="875"/>
      <c r="FIJ8" s="875"/>
      <c r="FIK8" s="875"/>
      <c r="FIL8" s="875"/>
      <c r="FIM8" s="875"/>
      <c r="FIN8" s="875"/>
      <c r="FIO8" s="875"/>
      <c r="FIP8" s="875"/>
      <c r="FIQ8" s="875"/>
      <c r="FIR8" s="875"/>
      <c r="FIS8" s="875"/>
      <c r="FIT8" s="875"/>
      <c r="FIU8" s="875"/>
      <c r="FIV8" s="875"/>
      <c r="FIW8" s="875"/>
      <c r="FIX8" s="875"/>
      <c r="FIY8" s="875"/>
      <c r="FIZ8" s="875"/>
      <c r="FJA8" s="875"/>
      <c r="FJB8" s="875"/>
      <c r="FJC8" s="875"/>
      <c r="FJD8" s="875"/>
      <c r="FJE8" s="875"/>
      <c r="FJF8" s="875"/>
      <c r="FJG8" s="875"/>
      <c r="FJH8" s="875"/>
      <c r="FJI8" s="875"/>
      <c r="FJJ8" s="875"/>
      <c r="FJK8" s="875"/>
      <c r="FJL8" s="875"/>
      <c r="FJM8" s="875"/>
      <c r="FJN8" s="875"/>
      <c r="FJO8" s="875"/>
      <c r="FJP8" s="875"/>
      <c r="FJQ8" s="875"/>
      <c r="FJR8" s="875"/>
      <c r="FJS8" s="875"/>
      <c r="FJT8" s="875"/>
      <c r="FJU8" s="875"/>
      <c r="FJV8" s="875"/>
      <c r="FJW8" s="875"/>
      <c r="FJX8" s="875"/>
      <c r="FJY8" s="875"/>
      <c r="FJZ8" s="875"/>
      <c r="FKA8" s="875"/>
      <c r="FKB8" s="875"/>
      <c r="FKC8" s="875"/>
      <c r="FKD8" s="875"/>
      <c r="FKE8" s="875"/>
      <c r="FKF8" s="875"/>
      <c r="FKG8" s="875"/>
      <c r="FKH8" s="875"/>
      <c r="FKI8" s="875"/>
      <c r="FKJ8" s="875"/>
      <c r="FKK8" s="875"/>
      <c r="FKL8" s="875"/>
      <c r="FKM8" s="875"/>
      <c r="FKN8" s="875"/>
      <c r="FKO8" s="875"/>
      <c r="FKP8" s="875"/>
      <c r="FKQ8" s="875"/>
      <c r="FKR8" s="875"/>
      <c r="FKS8" s="875"/>
      <c r="FKT8" s="875"/>
      <c r="FKU8" s="875"/>
      <c r="FKV8" s="875"/>
      <c r="FKW8" s="875"/>
      <c r="FKX8" s="875"/>
      <c r="FKY8" s="875"/>
      <c r="FKZ8" s="875"/>
      <c r="FLA8" s="875"/>
      <c r="FLB8" s="875"/>
      <c r="FLC8" s="875"/>
      <c r="FLD8" s="875"/>
      <c r="FLE8" s="875"/>
      <c r="FLF8" s="875"/>
      <c r="FLG8" s="875"/>
      <c r="FLH8" s="875"/>
      <c r="FLI8" s="875"/>
      <c r="FLJ8" s="875"/>
      <c r="FLK8" s="875"/>
      <c r="FLL8" s="875"/>
      <c r="FLM8" s="875"/>
      <c r="FLN8" s="875"/>
      <c r="FLO8" s="875"/>
      <c r="FLP8" s="875"/>
      <c r="FLQ8" s="875"/>
      <c r="FLR8" s="875"/>
      <c r="FLS8" s="875"/>
      <c r="FLT8" s="875"/>
      <c r="FLU8" s="875"/>
      <c r="FLV8" s="875"/>
      <c r="FLW8" s="875"/>
      <c r="FLX8" s="875"/>
      <c r="FLY8" s="875"/>
      <c r="FLZ8" s="875"/>
      <c r="FMA8" s="875"/>
      <c r="FMB8" s="875"/>
      <c r="FMC8" s="875"/>
      <c r="FMD8" s="875"/>
      <c r="FME8" s="875"/>
      <c r="FMF8" s="875"/>
      <c r="FMG8" s="875"/>
      <c r="FMH8" s="875"/>
      <c r="FMI8" s="875"/>
      <c r="FMJ8" s="875"/>
      <c r="FMK8" s="875"/>
      <c r="FML8" s="875"/>
      <c r="FMM8" s="875"/>
      <c r="FMN8" s="875"/>
      <c r="FMO8" s="875"/>
      <c r="FMP8" s="875"/>
      <c r="FMQ8" s="875"/>
      <c r="FMR8" s="875"/>
      <c r="FMS8" s="875"/>
      <c r="FMT8" s="875"/>
      <c r="FMU8" s="875"/>
      <c r="FMV8" s="875"/>
      <c r="FMW8" s="875"/>
      <c r="FMX8" s="875"/>
      <c r="FMY8" s="875"/>
      <c r="FMZ8" s="875"/>
      <c r="FNA8" s="875"/>
      <c r="FNB8" s="875"/>
      <c r="FNC8" s="875"/>
      <c r="FND8" s="875"/>
      <c r="FNE8" s="875"/>
      <c r="FNF8" s="875"/>
      <c r="FNG8" s="875"/>
      <c r="FNH8" s="875"/>
      <c r="FNI8" s="875"/>
      <c r="FNJ8" s="875"/>
      <c r="FNK8" s="875"/>
      <c r="FNL8" s="875"/>
      <c r="FNM8" s="875"/>
      <c r="FNN8" s="875"/>
      <c r="FNO8" s="875"/>
      <c r="FNP8" s="875"/>
      <c r="FNQ8" s="875"/>
      <c r="FNR8" s="875"/>
      <c r="FNS8" s="875"/>
      <c r="FNT8" s="875"/>
      <c r="FNU8" s="875"/>
      <c r="FNV8" s="875"/>
      <c r="FNW8" s="875"/>
      <c r="FNX8" s="875"/>
      <c r="FNY8" s="875"/>
      <c r="FNZ8" s="875"/>
      <c r="FOA8" s="875"/>
      <c r="FOB8" s="875"/>
      <c r="FOC8" s="875"/>
      <c r="FOD8" s="875"/>
      <c r="FOE8" s="875"/>
      <c r="FOF8" s="875"/>
      <c r="FOG8" s="875"/>
      <c r="FOH8" s="875"/>
      <c r="FOI8" s="875"/>
      <c r="FOJ8" s="875"/>
      <c r="FOK8" s="875"/>
      <c r="FOL8" s="875"/>
      <c r="FOM8" s="875"/>
      <c r="FON8" s="875"/>
      <c r="FOO8" s="875"/>
      <c r="FOP8" s="875"/>
      <c r="FOQ8" s="875"/>
      <c r="FOR8" s="875"/>
      <c r="FOS8" s="875"/>
      <c r="FOT8" s="875"/>
      <c r="FOU8" s="875"/>
      <c r="FOV8" s="875"/>
      <c r="FOW8" s="875"/>
      <c r="FOX8" s="875"/>
      <c r="FOY8" s="875"/>
      <c r="FOZ8" s="875"/>
      <c r="FPA8" s="875"/>
      <c r="FPB8" s="875"/>
      <c r="FPC8" s="875"/>
      <c r="FPD8" s="875"/>
      <c r="FPE8" s="875"/>
      <c r="FPF8" s="875"/>
      <c r="FPG8" s="875"/>
      <c r="FPH8" s="875"/>
      <c r="FPI8" s="875"/>
      <c r="FPJ8" s="875"/>
      <c r="FPK8" s="875"/>
      <c r="FPL8" s="875"/>
      <c r="FPM8" s="875"/>
      <c r="FPN8" s="875"/>
      <c r="FPO8" s="875"/>
      <c r="FPP8" s="875"/>
      <c r="FPQ8" s="875"/>
      <c r="FPR8" s="875"/>
      <c r="FPS8" s="875"/>
      <c r="FPT8" s="875"/>
      <c r="FPU8" s="875"/>
      <c r="FPV8" s="875"/>
      <c r="FPW8" s="875"/>
      <c r="FPX8" s="875"/>
      <c r="FPY8" s="875"/>
      <c r="FPZ8" s="875"/>
      <c r="FQA8" s="875"/>
      <c r="FQB8" s="875"/>
      <c r="FQC8" s="875"/>
      <c r="FQD8" s="875"/>
      <c r="FQE8" s="875"/>
      <c r="FQF8" s="875"/>
      <c r="FQG8" s="875"/>
      <c r="FQH8" s="875"/>
      <c r="FQI8" s="875"/>
      <c r="FQJ8" s="875"/>
      <c r="FQK8" s="875"/>
      <c r="FQL8" s="875"/>
      <c r="FQM8" s="875"/>
      <c r="FQN8" s="875"/>
      <c r="FQO8" s="875"/>
      <c r="FQP8" s="875"/>
      <c r="FQQ8" s="875"/>
      <c r="FQR8" s="875"/>
      <c r="FQS8" s="875"/>
      <c r="FQT8" s="875"/>
      <c r="FQU8" s="875"/>
      <c r="FQV8" s="875"/>
      <c r="FQW8" s="875"/>
      <c r="FQX8" s="875"/>
      <c r="FQY8" s="875"/>
      <c r="FQZ8" s="875"/>
      <c r="FRA8" s="875"/>
      <c r="FRB8" s="875"/>
      <c r="FRC8" s="875"/>
      <c r="FRD8" s="875"/>
      <c r="FRE8" s="875"/>
      <c r="FRF8" s="875"/>
      <c r="FRG8" s="875"/>
      <c r="FRH8" s="875"/>
      <c r="FRI8" s="875"/>
      <c r="FRJ8" s="875"/>
      <c r="FRK8" s="875"/>
      <c r="FRL8" s="875"/>
      <c r="FRM8" s="875"/>
      <c r="FRN8" s="875"/>
      <c r="FRO8" s="875"/>
      <c r="FRP8" s="875"/>
      <c r="FRQ8" s="875"/>
      <c r="FRR8" s="875"/>
      <c r="FRS8" s="875"/>
      <c r="FRT8" s="875"/>
      <c r="FRU8" s="875"/>
      <c r="FRV8" s="875"/>
      <c r="FRW8" s="875"/>
      <c r="FRX8" s="875"/>
      <c r="FRY8" s="875"/>
      <c r="FRZ8" s="875"/>
      <c r="FSA8" s="875"/>
      <c r="FSB8" s="875"/>
      <c r="FSC8" s="875"/>
      <c r="FSD8" s="875"/>
      <c r="FSE8" s="875"/>
      <c r="FSF8" s="875"/>
      <c r="FSG8" s="875"/>
      <c r="FSH8" s="875"/>
      <c r="FSI8" s="875"/>
      <c r="FSJ8" s="875"/>
      <c r="FSK8" s="875"/>
      <c r="FSL8" s="875"/>
      <c r="FSM8" s="875"/>
      <c r="FSN8" s="875"/>
      <c r="FSO8" s="875"/>
      <c r="FSP8" s="875"/>
      <c r="FSQ8" s="875"/>
      <c r="FSR8" s="875"/>
      <c r="FSS8" s="875"/>
      <c r="FST8" s="875"/>
      <c r="FSU8" s="875"/>
      <c r="FSV8" s="875"/>
      <c r="FSW8" s="875"/>
      <c r="FSX8" s="875"/>
      <c r="FSY8" s="875"/>
      <c r="FSZ8" s="875"/>
      <c r="FTA8" s="875"/>
      <c r="FTB8" s="875"/>
      <c r="FTC8" s="875"/>
      <c r="FTD8" s="875"/>
      <c r="FTE8" s="875"/>
      <c r="FTF8" s="875"/>
      <c r="FTG8" s="875"/>
      <c r="FTH8" s="875"/>
      <c r="FTI8" s="875"/>
      <c r="FTJ8" s="875"/>
      <c r="FTK8" s="875"/>
      <c r="FTL8" s="875"/>
      <c r="FTM8" s="875"/>
      <c r="FTN8" s="875"/>
      <c r="FTO8" s="875"/>
      <c r="FTP8" s="875"/>
      <c r="FTQ8" s="875"/>
      <c r="FTR8" s="875"/>
      <c r="FTS8" s="875"/>
      <c r="FTT8" s="875"/>
      <c r="FTU8" s="875"/>
      <c r="FTV8" s="875"/>
      <c r="FTW8" s="875"/>
      <c r="FTX8" s="875"/>
      <c r="FTY8" s="875"/>
      <c r="FTZ8" s="875"/>
      <c r="FUA8" s="875"/>
      <c r="FUB8" s="875"/>
      <c r="FUC8" s="875"/>
      <c r="FUD8" s="875"/>
      <c r="FUE8" s="875"/>
      <c r="FUF8" s="875"/>
      <c r="FUG8" s="875"/>
      <c r="FUH8" s="875"/>
      <c r="FUI8" s="875"/>
      <c r="FUJ8" s="875"/>
      <c r="FUK8" s="875"/>
      <c r="FUL8" s="875"/>
      <c r="FUM8" s="875"/>
      <c r="FUN8" s="875"/>
      <c r="FUO8" s="875"/>
      <c r="FUP8" s="875"/>
      <c r="FUQ8" s="875"/>
      <c r="FUR8" s="875"/>
      <c r="FUS8" s="875"/>
      <c r="FUT8" s="875"/>
      <c r="FUU8" s="875"/>
      <c r="FUV8" s="875"/>
      <c r="FUW8" s="875"/>
      <c r="FUX8" s="875"/>
      <c r="FUY8" s="875"/>
      <c r="FUZ8" s="875"/>
      <c r="FVA8" s="875"/>
      <c r="FVB8" s="875"/>
      <c r="FVC8" s="875"/>
      <c r="FVD8" s="875"/>
      <c r="FVE8" s="875"/>
      <c r="FVF8" s="875"/>
      <c r="FVG8" s="875"/>
      <c r="FVH8" s="875"/>
      <c r="FVI8" s="875"/>
      <c r="FVJ8" s="875"/>
      <c r="FVK8" s="875"/>
      <c r="FVL8" s="875"/>
      <c r="FVM8" s="875"/>
      <c r="FVN8" s="875"/>
      <c r="FVO8" s="875"/>
      <c r="FVP8" s="875"/>
      <c r="FVQ8" s="875"/>
      <c r="FVR8" s="875"/>
      <c r="FVS8" s="875"/>
      <c r="FVT8" s="875"/>
      <c r="FVU8" s="875"/>
      <c r="FVV8" s="875"/>
      <c r="FVW8" s="875"/>
      <c r="FVX8" s="875"/>
      <c r="FVY8" s="875"/>
      <c r="FVZ8" s="875"/>
      <c r="FWA8" s="875"/>
      <c r="FWB8" s="875"/>
      <c r="FWC8" s="875"/>
      <c r="FWD8" s="875"/>
      <c r="FWE8" s="875"/>
      <c r="FWF8" s="875"/>
      <c r="FWG8" s="875"/>
      <c r="FWH8" s="875"/>
      <c r="FWI8" s="875"/>
      <c r="FWJ8" s="875"/>
      <c r="FWK8" s="875"/>
      <c r="FWL8" s="875"/>
      <c r="FWM8" s="875"/>
      <c r="FWN8" s="875"/>
      <c r="FWO8" s="875"/>
      <c r="FWP8" s="875"/>
      <c r="FWQ8" s="875"/>
      <c r="FWR8" s="875"/>
      <c r="FWS8" s="875"/>
      <c r="FWT8" s="875"/>
      <c r="FWU8" s="875"/>
      <c r="FWV8" s="875"/>
      <c r="FWW8" s="875"/>
      <c r="FWX8" s="875"/>
      <c r="FWY8" s="875"/>
      <c r="FWZ8" s="875"/>
      <c r="FXA8" s="875"/>
      <c r="FXB8" s="875"/>
      <c r="FXC8" s="875"/>
      <c r="FXD8" s="875"/>
      <c r="FXE8" s="875"/>
      <c r="FXF8" s="875"/>
      <c r="FXG8" s="875"/>
      <c r="FXH8" s="875"/>
      <c r="FXI8" s="875"/>
      <c r="FXJ8" s="875"/>
      <c r="FXK8" s="875"/>
      <c r="FXL8" s="875"/>
      <c r="FXM8" s="875"/>
      <c r="FXN8" s="875"/>
      <c r="FXO8" s="875"/>
      <c r="FXP8" s="875"/>
      <c r="FXQ8" s="875"/>
      <c r="FXR8" s="875"/>
      <c r="FXS8" s="875"/>
      <c r="FXT8" s="875"/>
      <c r="FXU8" s="875"/>
      <c r="FXV8" s="875"/>
      <c r="FXW8" s="875"/>
      <c r="FXX8" s="875"/>
      <c r="FXY8" s="875"/>
      <c r="FXZ8" s="875"/>
      <c r="FYA8" s="875"/>
      <c r="FYB8" s="875"/>
      <c r="FYC8" s="875"/>
      <c r="FYD8" s="875"/>
      <c r="FYE8" s="875"/>
      <c r="FYF8" s="875"/>
      <c r="FYG8" s="875"/>
      <c r="FYH8" s="875"/>
      <c r="FYI8" s="875"/>
      <c r="FYJ8" s="875"/>
      <c r="FYK8" s="875"/>
      <c r="FYL8" s="875"/>
      <c r="FYM8" s="875"/>
      <c r="FYN8" s="875"/>
      <c r="FYO8" s="875"/>
      <c r="FYP8" s="875"/>
      <c r="FYQ8" s="875"/>
      <c r="FYR8" s="875"/>
      <c r="FYS8" s="875"/>
      <c r="FYT8" s="875"/>
      <c r="FYU8" s="875"/>
      <c r="FYV8" s="875"/>
      <c r="FYW8" s="875"/>
      <c r="FYX8" s="875"/>
      <c r="FYY8" s="875"/>
      <c r="FYZ8" s="875"/>
      <c r="FZA8" s="875"/>
      <c r="FZB8" s="875"/>
      <c r="FZC8" s="875"/>
      <c r="FZD8" s="875"/>
      <c r="FZE8" s="875"/>
      <c r="FZF8" s="875"/>
      <c r="FZG8" s="875"/>
      <c r="FZH8" s="875"/>
      <c r="FZI8" s="875"/>
      <c r="FZJ8" s="875"/>
      <c r="FZK8" s="875"/>
      <c r="FZL8" s="875"/>
      <c r="FZM8" s="875"/>
      <c r="FZN8" s="875"/>
      <c r="FZO8" s="875"/>
      <c r="FZP8" s="875"/>
      <c r="FZQ8" s="875"/>
      <c r="FZR8" s="875"/>
      <c r="FZS8" s="875"/>
      <c r="FZT8" s="875"/>
      <c r="FZU8" s="875"/>
      <c r="FZV8" s="875"/>
      <c r="FZW8" s="875"/>
      <c r="FZX8" s="875"/>
      <c r="FZY8" s="875"/>
      <c r="FZZ8" s="875"/>
      <c r="GAA8" s="875"/>
      <c r="GAB8" s="875"/>
      <c r="GAC8" s="875"/>
      <c r="GAD8" s="875"/>
      <c r="GAE8" s="875"/>
      <c r="GAF8" s="875"/>
      <c r="GAG8" s="875"/>
      <c r="GAH8" s="875"/>
      <c r="GAI8" s="875"/>
      <c r="GAJ8" s="875"/>
      <c r="GAK8" s="875"/>
      <c r="GAL8" s="875"/>
      <c r="GAM8" s="875"/>
      <c r="GAN8" s="875"/>
      <c r="GAO8" s="875"/>
      <c r="GAP8" s="875"/>
      <c r="GAQ8" s="875"/>
      <c r="GAR8" s="875"/>
      <c r="GAS8" s="875"/>
      <c r="GAT8" s="875"/>
      <c r="GAU8" s="875"/>
      <c r="GAV8" s="875"/>
      <c r="GAW8" s="875"/>
      <c r="GAX8" s="875"/>
      <c r="GAY8" s="875"/>
      <c r="GAZ8" s="875"/>
      <c r="GBA8" s="875"/>
      <c r="GBB8" s="875"/>
      <c r="GBC8" s="875"/>
      <c r="GBD8" s="875"/>
      <c r="GBE8" s="875"/>
      <c r="GBF8" s="875"/>
      <c r="GBG8" s="875"/>
      <c r="GBH8" s="875"/>
      <c r="GBI8" s="875"/>
      <c r="GBJ8" s="875"/>
      <c r="GBK8" s="875"/>
      <c r="GBL8" s="875"/>
      <c r="GBM8" s="875"/>
      <c r="GBN8" s="875"/>
      <c r="GBO8" s="875"/>
      <c r="GBP8" s="875"/>
      <c r="GBQ8" s="875"/>
      <c r="GBR8" s="875"/>
      <c r="GBS8" s="875"/>
      <c r="GBT8" s="875"/>
      <c r="GBU8" s="875"/>
      <c r="GBV8" s="875"/>
      <c r="GBW8" s="875"/>
      <c r="GBX8" s="875"/>
      <c r="GBY8" s="875"/>
      <c r="GBZ8" s="875"/>
      <c r="GCA8" s="875"/>
      <c r="GCB8" s="875"/>
      <c r="GCC8" s="875"/>
      <c r="GCD8" s="875"/>
      <c r="GCE8" s="875"/>
      <c r="GCF8" s="875"/>
      <c r="GCG8" s="875"/>
      <c r="GCH8" s="875"/>
      <c r="GCI8" s="875"/>
      <c r="GCJ8" s="875"/>
      <c r="GCK8" s="875"/>
      <c r="GCL8" s="875"/>
      <c r="GCM8" s="875"/>
      <c r="GCN8" s="875"/>
      <c r="GCO8" s="875"/>
      <c r="GCP8" s="875"/>
      <c r="GCQ8" s="875"/>
      <c r="GCR8" s="875"/>
      <c r="GCS8" s="875"/>
      <c r="GCT8" s="875"/>
      <c r="GCU8" s="875"/>
      <c r="GCV8" s="875"/>
      <c r="GCW8" s="875"/>
      <c r="GCX8" s="875"/>
      <c r="GCY8" s="875"/>
      <c r="GCZ8" s="875"/>
      <c r="GDA8" s="875"/>
      <c r="GDB8" s="875"/>
      <c r="GDC8" s="875"/>
      <c r="GDD8" s="875"/>
      <c r="GDE8" s="875"/>
      <c r="GDF8" s="875"/>
      <c r="GDG8" s="875"/>
      <c r="GDH8" s="875"/>
      <c r="GDI8" s="875"/>
      <c r="GDJ8" s="875"/>
      <c r="GDK8" s="875"/>
      <c r="GDL8" s="875"/>
      <c r="GDM8" s="875"/>
      <c r="GDN8" s="875"/>
      <c r="GDO8" s="875"/>
      <c r="GDP8" s="875"/>
      <c r="GDQ8" s="875"/>
      <c r="GDR8" s="875"/>
      <c r="GDS8" s="875"/>
      <c r="GDT8" s="875"/>
      <c r="GDU8" s="875"/>
      <c r="GDV8" s="875"/>
      <c r="GDW8" s="875"/>
      <c r="GDX8" s="875"/>
      <c r="GDY8" s="875"/>
      <c r="GDZ8" s="875"/>
      <c r="GEA8" s="875"/>
      <c r="GEB8" s="875"/>
      <c r="GEC8" s="875"/>
      <c r="GED8" s="875"/>
      <c r="GEE8" s="875"/>
      <c r="GEF8" s="875"/>
      <c r="GEG8" s="875"/>
      <c r="GEH8" s="875"/>
      <c r="GEI8" s="875"/>
      <c r="GEJ8" s="875"/>
      <c r="GEK8" s="875"/>
      <c r="GEL8" s="875"/>
      <c r="GEM8" s="875"/>
      <c r="GEN8" s="875"/>
      <c r="GEO8" s="875"/>
      <c r="GEP8" s="875"/>
      <c r="GEQ8" s="875"/>
      <c r="GER8" s="875"/>
      <c r="GES8" s="875"/>
      <c r="GET8" s="875"/>
      <c r="GEU8" s="875"/>
      <c r="GEV8" s="875"/>
      <c r="GEW8" s="875"/>
      <c r="GEX8" s="875"/>
      <c r="GEY8" s="875"/>
      <c r="GEZ8" s="875"/>
      <c r="GFA8" s="875"/>
      <c r="GFB8" s="875"/>
      <c r="GFC8" s="875"/>
      <c r="GFD8" s="875"/>
      <c r="GFE8" s="875"/>
      <c r="GFF8" s="875"/>
      <c r="GFG8" s="875"/>
      <c r="GFH8" s="875"/>
      <c r="GFI8" s="875"/>
      <c r="GFJ8" s="875"/>
      <c r="GFK8" s="875"/>
      <c r="GFL8" s="875"/>
      <c r="GFM8" s="875"/>
      <c r="GFN8" s="875"/>
      <c r="GFO8" s="875"/>
      <c r="GFP8" s="875"/>
      <c r="GFQ8" s="875"/>
      <c r="GFR8" s="875"/>
      <c r="GFS8" s="875"/>
      <c r="GFT8" s="875"/>
      <c r="GFU8" s="875"/>
      <c r="GFV8" s="875"/>
      <c r="GFW8" s="875"/>
      <c r="GFX8" s="875"/>
      <c r="GFY8" s="875"/>
      <c r="GFZ8" s="875"/>
      <c r="GGA8" s="875"/>
      <c r="GGB8" s="875"/>
      <c r="GGC8" s="875"/>
      <c r="GGD8" s="875"/>
      <c r="GGE8" s="875"/>
      <c r="GGF8" s="875"/>
      <c r="GGG8" s="875"/>
      <c r="GGH8" s="875"/>
      <c r="GGI8" s="875"/>
      <c r="GGJ8" s="875"/>
      <c r="GGK8" s="875"/>
      <c r="GGL8" s="875"/>
      <c r="GGM8" s="875"/>
      <c r="GGN8" s="875"/>
      <c r="GGO8" s="875"/>
      <c r="GGP8" s="875"/>
      <c r="GGQ8" s="875"/>
      <c r="GGR8" s="875"/>
      <c r="GGS8" s="875"/>
      <c r="GGT8" s="875"/>
      <c r="GGU8" s="875"/>
      <c r="GGV8" s="875"/>
      <c r="GGW8" s="875"/>
      <c r="GGX8" s="875"/>
      <c r="GGY8" s="875"/>
      <c r="GGZ8" s="875"/>
      <c r="GHA8" s="875"/>
      <c r="GHB8" s="875"/>
      <c r="GHC8" s="875"/>
      <c r="GHD8" s="875"/>
      <c r="GHE8" s="875"/>
      <c r="GHF8" s="875"/>
      <c r="GHG8" s="875"/>
      <c r="GHH8" s="875"/>
      <c r="GHI8" s="875"/>
      <c r="GHJ8" s="875"/>
      <c r="GHK8" s="875"/>
      <c r="GHL8" s="875"/>
      <c r="GHM8" s="875"/>
      <c r="GHN8" s="875"/>
      <c r="GHO8" s="875"/>
      <c r="GHP8" s="875"/>
      <c r="GHQ8" s="875"/>
      <c r="GHR8" s="875"/>
      <c r="GHS8" s="875"/>
      <c r="GHT8" s="875"/>
      <c r="GHU8" s="875"/>
      <c r="GHV8" s="875"/>
      <c r="GHW8" s="875"/>
      <c r="GHX8" s="875"/>
      <c r="GHY8" s="875"/>
      <c r="GHZ8" s="875"/>
      <c r="GIA8" s="875"/>
      <c r="GIB8" s="875"/>
      <c r="GIC8" s="875"/>
      <c r="GID8" s="875"/>
      <c r="GIE8" s="875"/>
      <c r="GIF8" s="875"/>
      <c r="GIG8" s="875"/>
      <c r="GIH8" s="875"/>
      <c r="GII8" s="875"/>
      <c r="GIJ8" s="875"/>
      <c r="GIK8" s="875"/>
      <c r="GIL8" s="875"/>
      <c r="GIM8" s="875"/>
      <c r="GIN8" s="875"/>
      <c r="GIO8" s="875"/>
      <c r="GIP8" s="875"/>
      <c r="GIQ8" s="875"/>
      <c r="GIR8" s="875"/>
      <c r="GIS8" s="875"/>
      <c r="GIT8" s="875"/>
      <c r="GIU8" s="875"/>
      <c r="GIV8" s="875"/>
      <c r="GIW8" s="875"/>
      <c r="GIX8" s="875"/>
      <c r="GIY8" s="875"/>
      <c r="GIZ8" s="875"/>
      <c r="GJA8" s="875"/>
      <c r="GJB8" s="875"/>
      <c r="GJC8" s="875"/>
      <c r="GJD8" s="875"/>
      <c r="GJE8" s="875"/>
      <c r="GJF8" s="875"/>
      <c r="GJG8" s="875"/>
      <c r="GJH8" s="875"/>
      <c r="GJI8" s="875"/>
      <c r="GJJ8" s="875"/>
      <c r="GJK8" s="875"/>
      <c r="GJL8" s="875"/>
      <c r="GJM8" s="875"/>
      <c r="GJN8" s="875"/>
      <c r="GJO8" s="875"/>
      <c r="GJP8" s="875"/>
      <c r="GJQ8" s="875"/>
      <c r="GJR8" s="875"/>
      <c r="GJS8" s="875"/>
      <c r="GJT8" s="875"/>
      <c r="GJU8" s="875"/>
      <c r="GJV8" s="875"/>
      <c r="GJW8" s="875"/>
      <c r="GJX8" s="875"/>
      <c r="GJY8" s="875"/>
      <c r="GJZ8" s="875"/>
      <c r="GKA8" s="875"/>
      <c r="GKB8" s="875"/>
      <c r="GKC8" s="875"/>
      <c r="GKD8" s="875"/>
      <c r="GKE8" s="875"/>
      <c r="GKF8" s="875"/>
      <c r="GKG8" s="875"/>
      <c r="GKH8" s="875"/>
      <c r="GKI8" s="875"/>
      <c r="GKJ8" s="875"/>
      <c r="GKK8" s="875"/>
      <c r="GKL8" s="875"/>
      <c r="GKM8" s="875"/>
      <c r="GKN8" s="875"/>
      <c r="GKO8" s="875"/>
      <c r="GKP8" s="875"/>
      <c r="GKQ8" s="875"/>
      <c r="GKR8" s="875"/>
      <c r="GKS8" s="875"/>
      <c r="GKT8" s="875"/>
      <c r="GKU8" s="875"/>
      <c r="GKV8" s="875"/>
      <c r="GKW8" s="875"/>
      <c r="GKX8" s="875"/>
      <c r="GKY8" s="875"/>
      <c r="GKZ8" s="875"/>
      <c r="GLA8" s="875"/>
      <c r="GLB8" s="875"/>
      <c r="GLC8" s="875"/>
      <c r="GLD8" s="875"/>
      <c r="GLE8" s="875"/>
      <c r="GLF8" s="875"/>
      <c r="GLG8" s="875"/>
      <c r="GLH8" s="875"/>
      <c r="GLI8" s="875"/>
      <c r="GLJ8" s="875"/>
      <c r="GLK8" s="875"/>
      <c r="GLL8" s="875"/>
      <c r="GLM8" s="875"/>
      <c r="GLN8" s="875"/>
      <c r="GLO8" s="875"/>
      <c r="GLP8" s="875"/>
      <c r="GLQ8" s="875"/>
      <c r="GLR8" s="875"/>
      <c r="GLS8" s="875"/>
      <c r="GLT8" s="875"/>
      <c r="GLU8" s="875"/>
      <c r="GLV8" s="875"/>
      <c r="GLW8" s="875"/>
      <c r="GLX8" s="875"/>
      <c r="GLY8" s="875"/>
      <c r="GLZ8" s="875"/>
      <c r="GMA8" s="875"/>
      <c r="GMB8" s="875"/>
      <c r="GMC8" s="875"/>
      <c r="GMD8" s="875"/>
      <c r="GME8" s="875"/>
      <c r="GMF8" s="875"/>
      <c r="GMG8" s="875"/>
      <c r="GMH8" s="875"/>
      <c r="GMI8" s="875"/>
      <c r="GMJ8" s="875"/>
      <c r="GMK8" s="875"/>
      <c r="GML8" s="875"/>
      <c r="GMM8" s="875"/>
      <c r="GMN8" s="875"/>
      <c r="GMO8" s="875"/>
      <c r="GMP8" s="875"/>
      <c r="GMQ8" s="875"/>
      <c r="GMR8" s="875"/>
      <c r="GMS8" s="875"/>
      <c r="GMT8" s="875"/>
      <c r="GMU8" s="875"/>
      <c r="GMV8" s="875"/>
      <c r="GMW8" s="875"/>
      <c r="GMX8" s="875"/>
      <c r="GMY8" s="875"/>
      <c r="GMZ8" s="875"/>
      <c r="GNA8" s="875"/>
      <c r="GNB8" s="875"/>
      <c r="GNC8" s="875"/>
      <c r="GND8" s="875"/>
      <c r="GNE8" s="875"/>
      <c r="GNF8" s="875"/>
      <c r="GNG8" s="875"/>
      <c r="GNH8" s="875"/>
      <c r="GNI8" s="875"/>
      <c r="GNJ8" s="875"/>
      <c r="GNK8" s="875"/>
      <c r="GNL8" s="875"/>
      <c r="GNM8" s="875"/>
      <c r="GNN8" s="875"/>
      <c r="GNO8" s="875"/>
      <c r="GNP8" s="875"/>
      <c r="GNQ8" s="875"/>
      <c r="GNR8" s="875"/>
      <c r="GNS8" s="875"/>
      <c r="GNT8" s="875"/>
      <c r="GNU8" s="875"/>
      <c r="GNV8" s="875"/>
      <c r="GNW8" s="875"/>
      <c r="GNX8" s="875"/>
      <c r="GNY8" s="875"/>
      <c r="GNZ8" s="875"/>
      <c r="GOA8" s="875"/>
      <c r="GOB8" s="875"/>
      <c r="GOC8" s="875"/>
      <c r="GOD8" s="875"/>
      <c r="GOE8" s="875"/>
      <c r="GOF8" s="875"/>
      <c r="GOG8" s="875"/>
      <c r="GOH8" s="875"/>
      <c r="GOI8" s="875"/>
      <c r="GOJ8" s="875"/>
      <c r="GOK8" s="875"/>
      <c r="GOL8" s="875"/>
      <c r="GOM8" s="875"/>
      <c r="GON8" s="875"/>
      <c r="GOO8" s="875"/>
      <c r="GOP8" s="875"/>
      <c r="GOQ8" s="875"/>
      <c r="GOR8" s="875"/>
      <c r="GOS8" s="875"/>
      <c r="GOT8" s="875"/>
      <c r="GOU8" s="875"/>
      <c r="GOV8" s="875"/>
      <c r="GOW8" s="875"/>
      <c r="GOX8" s="875"/>
      <c r="GOY8" s="875"/>
      <c r="GOZ8" s="875"/>
      <c r="GPA8" s="875"/>
      <c r="GPB8" s="875"/>
      <c r="GPC8" s="875"/>
      <c r="GPD8" s="875"/>
      <c r="GPE8" s="875"/>
      <c r="GPF8" s="875"/>
      <c r="GPG8" s="875"/>
      <c r="GPH8" s="875"/>
      <c r="GPI8" s="875"/>
      <c r="GPJ8" s="875"/>
      <c r="GPK8" s="875"/>
      <c r="GPL8" s="875"/>
      <c r="GPM8" s="875"/>
      <c r="GPN8" s="875"/>
      <c r="GPO8" s="875"/>
      <c r="GPP8" s="875"/>
      <c r="GPQ8" s="875"/>
      <c r="GPR8" s="875"/>
      <c r="GPS8" s="875"/>
      <c r="GPT8" s="875"/>
      <c r="GPU8" s="875"/>
      <c r="GPV8" s="875"/>
      <c r="GPW8" s="875"/>
      <c r="GPX8" s="875"/>
      <c r="GPY8" s="875"/>
      <c r="GPZ8" s="875"/>
      <c r="GQA8" s="875"/>
      <c r="GQB8" s="875"/>
      <c r="GQC8" s="875"/>
      <c r="GQD8" s="875"/>
      <c r="GQE8" s="875"/>
      <c r="GQF8" s="875"/>
      <c r="GQG8" s="875"/>
      <c r="GQH8" s="875"/>
      <c r="GQI8" s="875"/>
      <c r="GQJ8" s="875"/>
      <c r="GQK8" s="875"/>
      <c r="GQL8" s="875"/>
      <c r="GQM8" s="875"/>
      <c r="GQN8" s="875"/>
      <c r="GQO8" s="875"/>
      <c r="GQP8" s="875"/>
      <c r="GQQ8" s="875"/>
      <c r="GQR8" s="875"/>
      <c r="GQS8" s="875"/>
      <c r="GQT8" s="875"/>
      <c r="GQU8" s="875"/>
      <c r="GQV8" s="875"/>
      <c r="GQW8" s="875"/>
      <c r="GQX8" s="875"/>
      <c r="GQY8" s="875"/>
      <c r="GQZ8" s="875"/>
      <c r="GRA8" s="875"/>
      <c r="GRB8" s="875"/>
      <c r="GRC8" s="875"/>
      <c r="GRD8" s="875"/>
      <c r="GRE8" s="875"/>
      <c r="GRF8" s="875"/>
      <c r="GRG8" s="875"/>
      <c r="GRH8" s="875"/>
      <c r="GRI8" s="875"/>
      <c r="GRJ8" s="875"/>
      <c r="GRK8" s="875"/>
      <c r="GRL8" s="875"/>
      <c r="GRM8" s="875"/>
      <c r="GRN8" s="875"/>
      <c r="GRO8" s="875"/>
      <c r="GRP8" s="875"/>
      <c r="GRQ8" s="875"/>
      <c r="GRR8" s="875"/>
      <c r="GRS8" s="875"/>
      <c r="GRT8" s="875"/>
      <c r="GRU8" s="875"/>
      <c r="GRV8" s="875"/>
      <c r="GRW8" s="875"/>
      <c r="GRX8" s="875"/>
      <c r="GRY8" s="875"/>
      <c r="GRZ8" s="875"/>
      <c r="GSA8" s="875"/>
      <c r="GSB8" s="875"/>
      <c r="GSC8" s="875"/>
      <c r="GSD8" s="875"/>
      <c r="GSE8" s="875"/>
      <c r="GSF8" s="875"/>
      <c r="GSG8" s="875"/>
      <c r="GSH8" s="875"/>
      <c r="GSI8" s="875"/>
      <c r="GSJ8" s="875"/>
      <c r="GSK8" s="875"/>
      <c r="GSL8" s="875"/>
      <c r="GSM8" s="875"/>
      <c r="GSN8" s="875"/>
      <c r="GSO8" s="875"/>
      <c r="GSP8" s="875"/>
      <c r="GSQ8" s="875"/>
      <c r="GSR8" s="875"/>
      <c r="GSS8" s="875"/>
      <c r="GST8" s="875"/>
      <c r="GSU8" s="875"/>
      <c r="GSV8" s="875"/>
      <c r="GSW8" s="875"/>
      <c r="GSX8" s="875"/>
      <c r="GSY8" s="875"/>
      <c r="GSZ8" s="875"/>
      <c r="GTA8" s="875"/>
      <c r="GTB8" s="875"/>
      <c r="GTC8" s="875"/>
      <c r="GTD8" s="875"/>
      <c r="GTE8" s="875"/>
      <c r="GTF8" s="875"/>
      <c r="GTG8" s="875"/>
      <c r="GTH8" s="875"/>
      <c r="GTI8" s="875"/>
      <c r="GTJ8" s="875"/>
      <c r="GTK8" s="875"/>
      <c r="GTL8" s="875"/>
      <c r="GTM8" s="875"/>
      <c r="GTN8" s="875"/>
      <c r="GTO8" s="875"/>
      <c r="GTP8" s="875"/>
      <c r="GTQ8" s="875"/>
      <c r="GTR8" s="875"/>
      <c r="GTS8" s="875"/>
      <c r="GTT8" s="875"/>
      <c r="GTU8" s="875"/>
      <c r="GTV8" s="875"/>
      <c r="GTW8" s="875"/>
      <c r="GTX8" s="875"/>
      <c r="GTY8" s="875"/>
      <c r="GTZ8" s="875"/>
      <c r="GUA8" s="875"/>
      <c r="GUB8" s="875"/>
      <c r="GUC8" s="875"/>
      <c r="GUD8" s="875"/>
      <c r="GUE8" s="875"/>
      <c r="GUF8" s="875"/>
      <c r="GUG8" s="875"/>
      <c r="GUH8" s="875"/>
      <c r="GUI8" s="875"/>
      <c r="GUJ8" s="875"/>
      <c r="GUK8" s="875"/>
      <c r="GUL8" s="875"/>
      <c r="GUM8" s="875"/>
      <c r="GUN8" s="875"/>
      <c r="GUO8" s="875"/>
      <c r="GUP8" s="875"/>
      <c r="GUQ8" s="875"/>
      <c r="GUR8" s="875"/>
      <c r="GUS8" s="875"/>
      <c r="GUT8" s="875"/>
      <c r="GUU8" s="875"/>
      <c r="GUV8" s="875"/>
      <c r="GUW8" s="875"/>
      <c r="GUX8" s="875"/>
      <c r="GUY8" s="875"/>
      <c r="GUZ8" s="875"/>
      <c r="GVA8" s="875"/>
      <c r="GVB8" s="875"/>
      <c r="GVC8" s="875"/>
      <c r="GVD8" s="875"/>
      <c r="GVE8" s="875"/>
      <c r="GVF8" s="875"/>
      <c r="GVG8" s="875"/>
      <c r="GVH8" s="875"/>
      <c r="GVI8" s="875"/>
      <c r="GVJ8" s="875"/>
      <c r="GVK8" s="875"/>
      <c r="GVL8" s="875"/>
      <c r="GVM8" s="875"/>
      <c r="GVN8" s="875"/>
      <c r="GVO8" s="875"/>
      <c r="GVP8" s="875"/>
      <c r="GVQ8" s="875"/>
      <c r="GVR8" s="875"/>
      <c r="GVS8" s="875"/>
      <c r="GVT8" s="875"/>
      <c r="GVU8" s="875"/>
      <c r="GVV8" s="875"/>
      <c r="GVW8" s="875"/>
      <c r="GVX8" s="875"/>
      <c r="GVY8" s="875"/>
      <c r="GVZ8" s="875"/>
      <c r="GWA8" s="875"/>
      <c r="GWB8" s="875"/>
      <c r="GWC8" s="875"/>
      <c r="GWD8" s="875"/>
      <c r="GWE8" s="875"/>
      <c r="GWF8" s="875"/>
      <c r="GWG8" s="875"/>
      <c r="GWH8" s="875"/>
      <c r="GWI8" s="875"/>
      <c r="GWJ8" s="875"/>
      <c r="GWK8" s="875"/>
      <c r="GWL8" s="875"/>
      <c r="GWM8" s="875"/>
      <c r="GWN8" s="875"/>
      <c r="GWO8" s="875"/>
      <c r="GWP8" s="875"/>
      <c r="GWQ8" s="875"/>
      <c r="GWR8" s="875"/>
      <c r="GWS8" s="875"/>
      <c r="GWT8" s="875"/>
      <c r="GWU8" s="875"/>
      <c r="GWV8" s="875"/>
      <c r="GWW8" s="875"/>
      <c r="GWX8" s="875"/>
      <c r="GWY8" s="875"/>
      <c r="GWZ8" s="875"/>
      <c r="GXA8" s="875"/>
      <c r="GXB8" s="875"/>
      <c r="GXC8" s="875"/>
      <c r="GXD8" s="875"/>
      <c r="GXE8" s="875"/>
      <c r="GXF8" s="875"/>
      <c r="GXG8" s="875"/>
      <c r="GXH8" s="875"/>
      <c r="GXI8" s="875"/>
      <c r="GXJ8" s="875"/>
      <c r="GXK8" s="875"/>
      <c r="GXL8" s="875"/>
      <c r="GXM8" s="875"/>
      <c r="GXN8" s="875"/>
      <c r="GXO8" s="875"/>
      <c r="GXP8" s="875"/>
      <c r="GXQ8" s="875"/>
      <c r="GXR8" s="875"/>
      <c r="GXS8" s="875"/>
      <c r="GXT8" s="875"/>
      <c r="GXU8" s="875"/>
      <c r="GXV8" s="875"/>
      <c r="GXW8" s="875"/>
      <c r="GXX8" s="875"/>
      <c r="GXY8" s="875"/>
      <c r="GXZ8" s="875"/>
      <c r="GYA8" s="875"/>
      <c r="GYB8" s="875"/>
      <c r="GYC8" s="875"/>
      <c r="GYD8" s="875"/>
      <c r="GYE8" s="875"/>
      <c r="GYF8" s="875"/>
      <c r="GYG8" s="875"/>
      <c r="GYH8" s="875"/>
      <c r="GYI8" s="875"/>
      <c r="GYJ8" s="875"/>
      <c r="GYK8" s="875"/>
      <c r="GYL8" s="875"/>
      <c r="GYM8" s="875"/>
      <c r="GYN8" s="875"/>
      <c r="GYO8" s="875"/>
      <c r="GYP8" s="875"/>
      <c r="GYQ8" s="875"/>
      <c r="GYR8" s="875"/>
      <c r="GYS8" s="875"/>
      <c r="GYT8" s="875"/>
      <c r="GYU8" s="875"/>
      <c r="GYV8" s="875"/>
      <c r="GYW8" s="875"/>
      <c r="GYX8" s="875"/>
      <c r="GYY8" s="875"/>
      <c r="GYZ8" s="875"/>
      <c r="GZA8" s="875"/>
      <c r="GZB8" s="875"/>
      <c r="GZC8" s="875"/>
      <c r="GZD8" s="875"/>
      <c r="GZE8" s="875"/>
      <c r="GZF8" s="875"/>
      <c r="GZG8" s="875"/>
      <c r="GZH8" s="875"/>
      <c r="GZI8" s="875"/>
      <c r="GZJ8" s="875"/>
      <c r="GZK8" s="875"/>
      <c r="GZL8" s="875"/>
      <c r="GZM8" s="875"/>
      <c r="GZN8" s="875"/>
      <c r="GZO8" s="875"/>
      <c r="GZP8" s="875"/>
      <c r="GZQ8" s="875"/>
      <c r="GZR8" s="875"/>
      <c r="GZS8" s="875"/>
      <c r="GZT8" s="875"/>
      <c r="GZU8" s="875"/>
      <c r="GZV8" s="875"/>
      <c r="GZW8" s="875"/>
      <c r="GZX8" s="875"/>
      <c r="GZY8" s="875"/>
      <c r="GZZ8" s="875"/>
      <c r="HAA8" s="875"/>
      <c r="HAB8" s="875"/>
      <c r="HAC8" s="875"/>
      <c r="HAD8" s="875"/>
      <c r="HAE8" s="875"/>
      <c r="HAF8" s="875"/>
      <c r="HAG8" s="875"/>
      <c r="HAH8" s="875"/>
      <c r="HAI8" s="875"/>
      <c r="HAJ8" s="875"/>
      <c r="HAK8" s="875"/>
      <c r="HAL8" s="875"/>
      <c r="HAM8" s="875"/>
      <c r="HAN8" s="875"/>
      <c r="HAO8" s="875"/>
      <c r="HAP8" s="875"/>
      <c r="HAQ8" s="875"/>
      <c r="HAR8" s="875"/>
      <c r="HAS8" s="875"/>
      <c r="HAT8" s="875"/>
      <c r="HAU8" s="875"/>
      <c r="HAV8" s="875"/>
      <c r="HAW8" s="875"/>
      <c r="HAX8" s="875"/>
      <c r="HAY8" s="875"/>
      <c r="HAZ8" s="875"/>
      <c r="HBA8" s="875"/>
      <c r="HBB8" s="875"/>
      <c r="HBC8" s="875"/>
      <c r="HBD8" s="875"/>
      <c r="HBE8" s="875"/>
      <c r="HBF8" s="875"/>
      <c r="HBG8" s="875"/>
      <c r="HBH8" s="875"/>
      <c r="HBI8" s="875"/>
      <c r="HBJ8" s="875"/>
      <c r="HBK8" s="875"/>
      <c r="HBL8" s="875"/>
      <c r="HBM8" s="875"/>
      <c r="HBN8" s="875"/>
      <c r="HBO8" s="875"/>
      <c r="HBP8" s="875"/>
      <c r="HBQ8" s="875"/>
      <c r="HBR8" s="875"/>
      <c r="HBS8" s="875"/>
      <c r="HBT8" s="875"/>
      <c r="HBU8" s="875"/>
      <c r="HBV8" s="875"/>
      <c r="HBW8" s="875"/>
      <c r="HBX8" s="875"/>
      <c r="HBY8" s="875"/>
      <c r="HBZ8" s="875"/>
      <c r="HCA8" s="875"/>
      <c r="HCB8" s="875"/>
      <c r="HCC8" s="875"/>
      <c r="HCD8" s="875"/>
      <c r="HCE8" s="875"/>
      <c r="HCF8" s="875"/>
      <c r="HCG8" s="875"/>
      <c r="HCH8" s="875"/>
      <c r="HCI8" s="875"/>
      <c r="HCJ8" s="875"/>
      <c r="HCK8" s="875"/>
      <c r="HCL8" s="875"/>
      <c r="HCM8" s="875"/>
      <c r="HCN8" s="875"/>
      <c r="HCO8" s="875"/>
      <c r="HCP8" s="875"/>
      <c r="HCQ8" s="875"/>
      <c r="HCR8" s="875"/>
      <c r="HCS8" s="875"/>
      <c r="HCT8" s="875"/>
      <c r="HCU8" s="875"/>
      <c r="HCV8" s="875"/>
      <c r="HCW8" s="875"/>
      <c r="HCX8" s="875"/>
      <c r="HCY8" s="875"/>
      <c r="HCZ8" s="875"/>
      <c r="HDA8" s="875"/>
      <c r="HDB8" s="875"/>
      <c r="HDC8" s="875"/>
      <c r="HDD8" s="875"/>
      <c r="HDE8" s="875"/>
      <c r="HDF8" s="875"/>
      <c r="HDG8" s="875"/>
      <c r="HDH8" s="875"/>
      <c r="HDI8" s="875"/>
      <c r="HDJ8" s="875"/>
      <c r="HDK8" s="875"/>
      <c r="HDL8" s="875"/>
      <c r="HDM8" s="875"/>
      <c r="HDN8" s="875"/>
      <c r="HDO8" s="875"/>
      <c r="HDP8" s="875"/>
      <c r="HDQ8" s="875"/>
      <c r="HDR8" s="875"/>
      <c r="HDS8" s="875"/>
      <c r="HDT8" s="875"/>
      <c r="HDU8" s="875"/>
      <c r="HDV8" s="875"/>
      <c r="HDW8" s="875"/>
      <c r="HDX8" s="875"/>
      <c r="HDY8" s="875"/>
      <c r="HDZ8" s="875"/>
      <c r="HEA8" s="875"/>
      <c r="HEB8" s="875"/>
      <c r="HEC8" s="875"/>
      <c r="HED8" s="875"/>
      <c r="HEE8" s="875"/>
      <c r="HEF8" s="875"/>
      <c r="HEG8" s="875"/>
      <c r="HEH8" s="875"/>
      <c r="HEI8" s="875"/>
      <c r="HEJ8" s="875"/>
      <c r="HEK8" s="875"/>
      <c r="HEL8" s="875"/>
      <c r="HEM8" s="875"/>
      <c r="HEN8" s="875"/>
      <c r="HEO8" s="875"/>
      <c r="HEP8" s="875"/>
      <c r="HEQ8" s="875"/>
      <c r="HER8" s="875"/>
      <c r="HES8" s="875"/>
      <c r="HET8" s="875"/>
      <c r="HEU8" s="875"/>
      <c r="HEV8" s="875"/>
      <c r="HEW8" s="875"/>
      <c r="HEX8" s="875"/>
      <c r="HEY8" s="875"/>
      <c r="HEZ8" s="875"/>
      <c r="HFA8" s="875"/>
      <c r="HFB8" s="875"/>
      <c r="HFC8" s="875"/>
      <c r="HFD8" s="875"/>
      <c r="HFE8" s="875"/>
      <c r="HFF8" s="875"/>
      <c r="HFG8" s="875"/>
      <c r="HFH8" s="875"/>
      <c r="HFI8" s="875"/>
      <c r="HFJ8" s="875"/>
      <c r="HFK8" s="875"/>
      <c r="HFL8" s="875"/>
      <c r="HFM8" s="875"/>
      <c r="HFN8" s="875"/>
      <c r="HFO8" s="875"/>
      <c r="HFP8" s="875"/>
      <c r="HFQ8" s="875"/>
      <c r="HFR8" s="875"/>
      <c r="HFS8" s="875"/>
      <c r="HFT8" s="875"/>
      <c r="HFU8" s="875"/>
      <c r="HFV8" s="875"/>
      <c r="HFW8" s="875"/>
      <c r="HFX8" s="875"/>
      <c r="HFY8" s="875"/>
      <c r="HFZ8" s="875"/>
      <c r="HGA8" s="875"/>
      <c r="HGB8" s="875"/>
      <c r="HGC8" s="875"/>
      <c r="HGD8" s="875"/>
      <c r="HGE8" s="875"/>
      <c r="HGF8" s="875"/>
      <c r="HGG8" s="875"/>
      <c r="HGH8" s="875"/>
      <c r="HGI8" s="875"/>
      <c r="HGJ8" s="875"/>
      <c r="HGK8" s="875"/>
      <c r="HGL8" s="875"/>
      <c r="HGM8" s="875"/>
      <c r="HGN8" s="875"/>
      <c r="HGO8" s="875"/>
      <c r="HGP8" s="875"/>
      <c r="HGQ8" s="875"/>
      <c r="HGR8" s="875"/>
      <c r="HGS8" s="875"/>
      <c r="HGT8" s="875"/>
      <c r="HGU8" s="875"/>
      <c r="HGV8" s="875"/>
      <c r="HGW8" s="875"/>
      <c r="HGX8" s="875"/>
      <c r="HGY8" s="875"/>
      <c r="HGZ8" s="875"/>
      <c r="HHA8" s="875"/>
      <c r="HHB8" s="875"/>
      <c r="HHC8" s="875"/>
      <c r="HHD8" s="875"/>
      <c r="HHE8" s="875"/>
      <c r="HHF8" s="875"/>
      <c r="HHG8" s="875"/>
      <c r="HHH8" s="875"/>
      <c r="HHI8" s="875"/>
      <c r="HHJ8" s="875"/>
      <c r="HHK8" s="875"/>
      <c r="HHL8" s="875"/>
      <c r="HHM8" s="875"/>
      <c r="HHN8" s="875"/>
      <c r="HHO8" s="875"/>
      <c r="HHP8" s="875"/>
      <c r="HHQ8" s="875"/>
      <c r="HHR8" s="875"/>
      <c r="HHS8" s="875"/>
      <c r="HHT8" s="875"/>
      <c r="HHU8" s="875"/>
      <c r="HHV8" s="875"/>
      <c r="HHW8" s="875"/>
      <c r="HHX8" s="875"/>
      <c r="HHY8" s="875"/>
      <c r="HHZ8" s="875"/>
      <c r="HIA8" s="875"/>
      <c r="HIB8" s="875"/>
      <c r="HIC8" s="875"/>
      <c r="HID8" s="875"/>
      <c r="HIE8" s="875"/>
      <c r="HIF8" s="875"/>
      <c r="HIG8" s="875"/>
      <c r="HIH8" s="875"/>
      <c r="HII8" s="875"/>
      <c r="HIJ8" s="875"/>
      <c r="HIK8" s="875"/>
      <c r="HIL8" s="875"/>
      <c r="HIM8" s="875"/>
      <c r="HIN8" s="875"/>
      <c r="HIO8" s="875"/>
      <c r="HIP8" s="875"/>
      <c r="HIQ8" s="875"/>
      <c r="HIR8" s="875"/>
      <c r="HIS8" s="875"/>
      <c r="HIT8" s="875"/>
      <c r="HIU8" s="875"/>
      <c r="HIV8" s="875"/>
      <c r="HIW8" s="875"/>
      <c r="HIX8" s="875"/>
      <c r="HIY8" s="875"/>
      <c r="HIZ8" s="875"/>
      <c r="HJA8" s="875"/>
      <c r="HJB8" s="875"/>
      <c r="HJC8" s="875"/>
      <c r="HJD8" s="875"/>
      <c r="HJE8" s="875"/>
      <c r="HJF8" s="875"/>
      <c r="HJG8" s="875"/>
      <c r="HJH8" s="875"/>
      <c r="HJI8" s="875"/>
      <c r="HJJ8" s="875"/>
      <c r="HJK8" s="875"/>
      <c r="HJL8" s="875"/>
      <c r="HJM8" s="875"/>
      <c r="HJN8" s="875"/>
      <c r="HJO8" s="875"/>
      <c r="HJP8" s="875"/>
      <c r="HJQ8" s="875"/>
      <c r="HJR8" s="875"/>
      <c r="HJS8" s="875"/>
      <c r="HJT8" s="875"/>
      <c r="HJU8" s="875"/>
      <c r="HJV8" s="875"/>
      <c r="HJW8" s="875"/>
      <c r="HJX8" s="875"/>
      <c r="HJY8" s="875"/>
      <c r="HJZ8" s="875"/>
      <c r="HKA8" s="875"/>
      <c r="HKB8" s="875"/>
      <c r="HKC8" s="875"/>
      <c r="HKD8" s="875"/>
      <c r="HKE8" s="875"/>
      <c r="HKF8" s="875"/>
      <c r="HKG8" s="875"/>
      <c r="HKH8" s="875"/>
      <c r="HKI8" s="875"/>
      <c r="HKJ8" s="875"/>
      <c r="HKK8" s="875"/>
      <c r="HKL8" s="875"/>
      <c r="HKM8" s="875"/>
      <c r="HKN8" s="875"/>
      <c r="HKO8" s="875"/>
      <c r="HKP8" s="875"/>
      <c r="HKQ8" s="875"/>
      <c r="HKR8" s="875"/>
      <c r="HKS8" s="875"/>
      <c r="HKT8" s="875"/>
      <c r="HKU8" s="875"/>
      <c r="HKV8" s="875"/>
      <c r="HKW8" s="875"/>
      <c r="HKX8" s="875"/>
      <c r="HKY8" s="875"/>
      <c r="HKZ8" s="875"/>
      <c r="HLA8" s="875"/>
      <c r="HLB8" s="875"/>
      <c r="HLC8" s="875"/>
      <c r="HLD8" s="875"/>
      <c r="HLE8" s="875"/>
      <c r="HLF8" s="875"/>
      <c r="HLG8" s="875"/>
      <c r="HLH8" s="875"/>
      <c r="HLI8" s="875"/>
      <c r="HLJ8" s="875"/>
      <c r="HLK8" s="875"/>
      <c r="HLL8" s="875"/>
      <c r="HLM8" s="875"/>
      <c r="HLN8" s="875"/>
      <c r="HLO8" s="875"/>
      <c r="HLP8" s="875"/>
      <c r="HLQ8" s="875"/>
      <c r="HLR8" s="875"/>
      <c r="HLS8" s="875"/>
      <c r="HLT8" s="875"/>
      <c r="HLU8" s="875"/>
      <c r="HLV8" s="875"/>
      <c r="HLW8" s="875"/>
      <c r="HLX8" s="875"/>
      <c r="HLY8" s="875"/>
      <c r="HLZ8" s="875"/>
      <c r="HMA8" s="875"/>
      <c r="HMB8" s="875"/>
      <c r="HMC8" s="875"/>
      <c r="HMD8" s="875"/>
      <c r="HME8" s="875"/>
      <c r="HMF8" s="875"/>
      <c r="HMG8" s="875"/>
      <c r="HMH8" s="875"/>
      <c r="HMI8" s="875"/>
      <c r="HMJ8" s="875"/>
      <c r="HMK8" s="875"/>
      <c r="HML8" s="875"/>
      <c r="HMM8" s="875"/>
      <c r="HMN8" s="875"/>
      <c r="HMO8" s="875"/>
      <c r="HMP8" s="875"/>
      <c r="HMQ8" s="875"/>
      <c r="HMR8" s="875"/>
      <c r="HMS8" s="875"/>
      <c r="HMT8" s="875"/>
      <c r="HMU8" s="875"/>
      <c r="HMV8" s="875"/>
      <c r="HMW8" s="875"/>
      <c r="HMX8" s="875"/>
      <c r="HMY8" s="875"/>
      <c r="HMZ8" s="875"/>
      <c r="HNA8" s="875"/>
      <c r="HNB8" s="875"/>
      <c r="HNC8" s="875"/>
      <c r="HND8" s="875"/>
      <c r="HNE8" s="875"/>
      <c r="HNF8" s="875"/>
      <c r="HNG8" s="875"/>
      <c r="HNH8" s="875"/>
      <c r="HNI8" s="875"/>
      <c r="HNJ8" s="875"/>
      <c r="HNK8" s="875"/>
      <c r="HNL8" s="875"/>
      <c r="HNM8" s="875"/>
      <c r="HNN8" s="875"/>
      <c r="HNO8" s="875"/>
      <c r="HNP8" s="875"/>
      <c r="HNQ8" s="875"/>
      <c r="HNR8" s="875"/>
      <c r="HNS8" s="875"/>
      <c r="HNT8" s="875"/>
      <c r="HNU8" s="875"/>
      <c r="HNV8" s="875"/>
      <c r="HNW8" s="875"/>
      <c r="HNX8" s="875"/>
      <c r="HNY8" s="875"/>
      <c r="HNZ8" s="875"/>
      <c r="HOA8" s="875"/>
      <c r="HOB8" s="875"/>
      <c r="HOC8" s="875"/>
      <c r="HOD8" s="875"/>
      <c r="HOE8" s="875"/>
      <c r="HOF8" s="875"/>
      <c r="HOG8" s="875"/>
      <c r="HOH8" s="875"/>
      <c r="HOI8" s="875"/>
      <c r="HOJ8" s="875"/>
      <c r="HOK8" s="875"/>
      <c r="HOL8" s="875"/>
      <c r="HOM8" s="875"/>
      <c r="HON8" s="875"/>
      <c r="HOO8" s="875"/>
      <c r="HOP8" s="875"/>
      <c r="HOQ8" s="875"/>
      <c r="HOR8" s="875"/>
      <c r="HOS8" s="875"/>
      <c r="HOT8" s="875"/>
      <c r="HOU8" s="875"/>
      <c r="HOV8" s="875"/>
      <c r="HOW8" s="875"/>
      <c r="HOX8" s="875"/>
      <c r="HOY8" s="875"/>
      <c r="HOZ8" s="875"/>
      <c r="HPA8" s="875"/>
      <c r="HPB8" s="875"/>
      <c r="HPC8" s="875"/>
      <c r="HPD8" s="875"/>
      <c r="HPE8" s="875"/>
      <c r="HPF8" s="875"/>
      <c r="HPG8" s="875"/>
      <c r="HPH8" s="875"/>
      <c r="HPI8" s="875"/>
      <c r="HPJ8" s="875"/>
      <c r="HPK8" s="875"/>
      <c r="HPL8" s="875"/>
      <c r="HPM8" s="875"/>
      <c r="HPN8" s="875"/>
      <c r="HPO8" s="875"/>
      <c r="HPP8" s="875"/>
      <c r="HPQ8" s="875"/>
      <c r="HPR8" s="875"/>
      <c r="HPS8" s="875"/>
      <c r="HPT8" s="875"/>
      <c r="HPU8" s="875"/>
      <c r="HPV8" s="875"/>
      <c r="HPW8" s="875"/>
      <c r="HPX8" s="875"/>
      <c r="HPY8" s="875"/>
      <c r="HPZ8" s="875"/>
      <c r="HQA8" s="875"/>
      <c r="HQB8" s="875"/>
      <c r="HQC8" s="875"/>
      <c r="HQD8" s="875"/>
      <c r="HQE8" s="875"/>
      <c r="HQF8" s="875"/>
      <c r="HQG8" s="875"/>
      <c r="HQH8" s="875"/>
      <c r="HQI8" s="875"/>
      <c r="HQJ8" s="875"/>
      <c r="HQK8" s="875"/>
      <c r="HQL8" s="875"/>
      <c r="HQM8" s="875"/>
      <c r="HQN8" s="875"/>
      <c r="HQO8" s="875"/>
      <c r="HQP8" s="875"/>
      <c r="HQQ8" s="875"/>
      <c r="HQR8" s="875"/>
      <c r="HQS8" s="875"/>
      <c r="HQT8" s="875"/>
      <c r="HQU8" s="875"/>
      <c r="HQV8" s="875"/>
      <c r="HQW8" s="875"/>
      <c r="HQX8" s="875"/>
      <c r="HQY8" s="875"/>
      <c r="HQZ8" s="875"/>
      <c r="HRA8" s="875"/>
      <c r="HRB8" s="875"/>
      <c r="HRC8" s="875"/>
      <c r="HRD8" s="875"/>
      <c r="HRE8" s="875"/>
      <c r="HRF8" s="875"/>
      <c r="HRG8" s="875"/>
      <c r="HRH8" s="875"/>
      <c r="HRI8" s="875"/>
      <c r="HRJ8" s="875"/>
      <c r="HRK8" s="875"/>
      <c r="HRL8" s="875"/>
      <c r="HRM8" s="875"/>
      <c r="HRN8" s="875"/>
      <c r="HRO8" s="875"/>
      <c r="HRP8" s="875"/>
      <c r="HRQ8" s="875"/>
      <c r="HRR8" s="875"/>
      <c r="HRS8" s="875"/>
      <c r="HRT8" s="875"/>
      <c r="HRU8" s="875"/>
      <c r="HRV8" s="875"/>
      <c r="HRW8" s="875"/>
      <c r="HRX8" s="875"/>
      <c r="HRY8" s="875"/>
      <c r="HRZ8" s="875"/>
      <c r="HSA8" s="875"/>
      <c r="HSB8" s="875"/>
      <c r="HSC8" s="875"/>
      <c r="HSD8" s="875"/>
      <c r="HSE8" s="875"/>
      <c r="HSF8" s="875"/>
      <c r="HSG8" s="875"/>
      <c r="HSH8" s="875"/>
      <c r="HSI8" s="875"/>
      <c r="HSJ8" s="875"/>
      <c r="HSK8" s="875"/>
      <c r="HSL8" s="875"/>
      <c r="HSM8" s="875"/>
      <c r="HSN8" s="875"/>
      <c r="HSO8" s="875"/>
      <c r="HSP8" s="875"/>
      <c r="HSQ8" s="875"/>
      <c r="HSR8" s="875"/>
      <c r="HSS8" s="875"/>
      <c r="HST8" s="875"/>
      <c r="HSU8" s="875"/>
      <c r="HSV8" s="875"/>
      <c r="HSW8" s="875"/>
      <c r="HSX8" s="875"/>
      <c r="HSY8" s="875"/>
      <c r="HSZ8" s="875"/>
      <c r="HTA8" s="875"/>
      <c r="HTB8" s="875"/>
      <c r="HTC8" s="875"/>
      <c r="HTD8" s="875"/>
      <c r="HTE8" s="875"/>
      <c r="HTF8" s="875"/>
      <c r="HTG8" s="875"/>
      <c r="HTH8" s="875"/>
      <c r="HTI8" s="875"/>
      <c r="HTJ8" s="875"/>
      <c r="HTK8" s="875"/>
      <c r="HTL8" s="875"/>
      <c r="HTM8" s="875"/>
      <c r="HTN8" s="875"/>
      <c r="HTO8" s="875"/>
      <c r="HTP8" s="875"/>
      <c r="HTQ8" s="875"/>
      <c r="HTR8" s="875"/>
      <c r="HTS8" s="875"/>
      <c r="HTT8" s="875"/>
      <c r="HTU8" s="875"/>
      <c r="HTV8" s="875"/>
      <c r="HTW8" s="875"/>
      <c r="HTX8" s="875"/>
      <c r="HTY8" s="875"/>
      <c r="HTZ8" s="875"/>
      <c r="HUA8" s="875"/>
      <c r="HUB8" s="875"/>
      <c r="HUC8" s="875"/>
      <c r="HUD8" s="875"/>
      <c r="HUE8" s="875"/>
      <c r="HUF8" s="875"/>
      <c r="HUG8" s="875"/>
      <c r="HUH8" s="875"/>
      <c r="HUI8" s="875"/>
      <c r="HUJ8" s="875"/>
      <c r="HUK8" s="875"/>
      <c r="HUL8" s="875"/>
      <c r="HUM8" s="875"/>
      <c r="HUN8" s="875"/>
      <c r="HUO8" s="875"/>
      <c r="HUP8" s="875"/>
      <c r="HUQ8" s="875"/>
      <c r="HUR8" s="875"/>
      <c r="HUS8" s="875"/>
      <c r="HUT8" s="875"/>
      <c r="HUU8" s="875"/>
      <c r="HUV8" s="875"/>
      <c r="HUW8" s="875"/>
      <c r="HUX8" s="875"/>
      <c r="HUY8" s="875"/>
      <c r="HUZ8" s="875"/>
      <c r="HVA8" s="875"/>
      <c r="HVB8" s="875"/>
      <c r="HVC8" s="875"/>
      <c r="HVD8" s="875"/>
      <c r="HVE8" s="875"/>
      <c r="HVF8" s="875"/>
      <c r="HVG8" s="875"/>
      <c r="HVH8" s="875"/>
      <c r="HVI8" s="875"/>
      <c r="HVJ8" s="875"/>
      <c r="HVK8" s="875"/>
      <c r="HVL8" s="875"/>
      <c r="HVM8" s="875"/>
      <c r="HVN8" s="875"/>
      <c r="HVO8" s="875"/>
      <c r="HVP8" s="875"/>
      <c r="HVQ8" s="875"/>
      <c r="HVR8" s="875"/>
      <c r="HVS8" s="875"/>
      <c r="HVT8" s="875"/>
      <c r="HVU8" s="875"/>
      <c r="HVV8" s="875"/>
      <c r="HVW8" s="875"/>
      <c r="HVX8" s="875"/>
      <c r="HVY8" s="875"/>
      <c r="HVZ8" s="875"/>
      <c r="HWA8" s="875"/>
      <c r="HWB8" s="875"/>
      <c r="HWC8" s="875"/>
      <c r="HWD8" s="875"/>
      <c r="HWE8" s="875"/>
      <c r="HWF8" s="875"/>
      <c r="HWG8" s="875"/>
      <c r="HWH8" s="875"/>
      <c r="HWI8" s="875"/>
      <c r="HWJ8" s="875"/>
      <c r="HWK8" s="875"/>
      <c r="HWL8" s="875"/>
      <c r="HWM8" s="875"/>
      <c r="HWN8" s="875"/>
      <c r="HWO8" s="875"/>
      <c r="HWP8" s="875"/>
      <c r="HWQ8" s="875"/>
      <c r="HWR8" s="875"/>
      <c r="HWS8" s="875"/>
      <c r="HWT8" s="875"/>
      <c r="HWU8" s="875"/>
      <c r="HWV8" s="875"/>
      <c r="HWW8" s="875"/>
      <c r="HWX8" s="875"/>
      <c r="HWY8" s="875"/>
      <c r="HWZ8" s="875"/>
      <c r="HXA8" s="875"/>
      <c r="HXB8" s="875"/>
      <c r="HXC8" s="875"/>
      <c r="HXD8" s="875"/>
      <c r="HXE8" s="875"/>
      <c r="HXF8" s="875"/>
      <c r="HXG8" s="875"/>
      <c r="HXH8" s="875"/>
      <c r="HXI8" s="875"/>
      <c r="HXJ8" s="875"/>
      <c r="HXK8" s="875"/>
      <c r="HXL8" s="875"/>
      <c r="HXM8" s="875"/>
      <c r="HXN8" s="875"/>
      <c r="HXO8" s="875"/>
      <c r="HXP8" s="875"/>
      <c r="HXQ8" s="875"/>
      <c r="HXR8" s="875"/>
      <c r="HXS8" s="875"/>
      <c r="HXT8" s="875"/>
      <c r="HXU8" s="875"/>
      <c r="HXV8" s="875"/>
      <c r="HXW8" s="875"/>
      <c r="HXX8" s="875"/>
      <c r="HXY8" s="875"/>
      <c r="HXZ8" s="875"/>
      <c r="HYA8" s="875"/>
      <c r="HYB8" s="875"/>
      <c r="HYC8" s="875"/>
      <c r="HYD8" s="875"/>
      <c r="HYE8" s="875"/>
      <c r="HYF8" s="875"/>
      <c r="HYG8" s="875"/>
      <c r="HYH8" s="875"/>
      <c r="HYI8" s="875"/>
      <c r="HYJ8" s="875"/>
      <c r="HYK8" s="875"/>
      <c r="HYL8" s="875"/>
      <c r="HYM8" s="875"/>
      <c r="HYN8" s="875"/>
      <c r="HYO8" s="875"/>
      <c r="HYP8" s="875"/>
      <c r="HYQ8" s="875"/>
      <c r="HYR8" s="875"/>
      <c r="HYS8" s="875"/>
      <c r="HYT8" s="875"/>
      <c r="HYU8" s="875"/>
      <c r="HYV8" s="875"/>
      <c r="HYW8" s="875"/>
      <c r="HYX8" s="875"/>
      <c r="HYY8" s="875"/>
      <c r="HYZ8" s="875"/>
      <c r="HZA8" s="875"/>
      <c r="HZB8" s="875"/>
      <c r="HZC8" s="875"/>
      <c r="HZD8" s="875"/>
      <c r="HZE8" s="875"/>
      <c r="HZF8" s="875"/>
      <c r="HZG8" s="875"/>
      <c r="HZH8" s="875"/>
      <c r="HZI8" s="875"/>
      <c r="HZJ8" s="875"/>
      <c r="HZK8" s="875"/>
      <c r="HZL8" s="875"/>
      <c r="HZM8" s="875"/>
      <c r="HZN8" s="875"/>
      <c r="HZO8" s="875"/>
      <c r="HZP8" s="875"/>
      <c r="HZQ8" s="875"/>
      <c r="HZR8" s="875"/>
      <c r="HZS8" s="875"/>
      <c r="HZT8" s="875"/>
      <c r="HZU8" s="875"/>
      <c r="HZV8" s="875"/>
      <c r="HZW8" s="875"/>
      <c r="HZX8" s="875"/>
      <c r="HZY8" s="875"/>
      <c r="HZZ8" s="875"/>
      <c r="IAA8" s="875"/>
      <c r="IAB8" s="875"/>
      <c r="IAC8" s="875"/>
      <c r="IAD8" s="875"/>
      <c r="IAE8" s="875"/>
      <c r="IAF8" s="875"/>
      <c r="IAG8" s="875"/>
      <c r="IAH8" s="875"/>
      <c r="IAI8" s="875"/>
      <c r="IAJ8" s="875"/>
      <c r="IAK8" s="875"/>
      <c r="IAL8" s="875"/>
      <c r="IAM8" s="875"/>
      <c r="IAN8" s="875"/>
      <c r="IAO8" s="875"/>
      <c r="IAP8" s="875"/>
      <c r="IAQ8" s="875"/>
      <c r="IAR8" s="875"/>
      <c r="IAS8" s="875"/>
      <c r="IAT8" s="875"/>
      <c r="IAU8" s="875"/>
      <c r="IAV8" s="875"/>
      <c r="IAW8" s="875"/>
      <c r="IAX8" s="875"/>
      <c r="IAY8" s="875"/>
      <c r="IAZ8" s="875"/>
      <c r="IBA8" s="875"/>
      <c r="IBB8" s="875"/>
      <c r="IBC8" s="875"/>
      <c r="IBD8" s="875"/>
      <c r="IBE8" s="875"/>
      <c r="IBF8" s="875"/>
      <c r="IBG8" s="875"/>
      <c r="IBH8" s="875"/>
      <c r="IBI8" s="875"/>
      <c r="IBJ8" s="875"/>
      <c r="IBK8" s="875"/>
      <c r="IBL8" s="875"/>
      <c r="IBM8" s="875"/>
      <c r="IBN8" s="875"/>
      <c r="IBO8" s="875"/>
      <c r="IBP8" s="875"/>
      <c r="IBQ8" s="875"/>
      <c r="IBR8" s="875"/>
      <c r="IBS8" s="875"/>
      <c r="IBT8" s="875"/>
      <c r="IBU8" s="875"/>
      <c r="IBV8" s="875"/>
      <c r="IBW8" s="875"/>
      <c r="IBX8" s="875"/>
      <c r="IBY8" s="875"/>
      <c r="IBZ8" s="875"/>
      <c r="ICA8" s="875"/>
      <c r="ICB8" s="875"/>
      <c r="ICC8" s="875"/>
      <c r="ICD8" s="875"/>
      <c r="ICE8" s="875"/>
      <c r="ICF8" s="875"/>
      <c r="ICG8" s="875"/>
      <c r="ICH8" s="875"/>
      <c r="ICI8" s="875"/>
      <c r="ICJ8" s="875"/>
      <c r="ICK8" s="875"/>
      <c r="ICL8" s="875"/>
      <c r="ICM8" s="875"/>
      <c r="ICN8" s="875"/>
      <c r="ICO8" s="875"/>
      <c r="ICP8" s="875"/>
      <c r="ICQ8" s="875"/>
      <c r="ICR8" s="875"/>
      <c r="ICS8" s="875"/>
      <c r="ICT8" s="875"/>
      <c r="ICU8" s="875"/>
      <c r="ICV8" s="875"/>
      <c r="ICW8" s="875"/>
      <c r="ICX8" s="875"/>
      <c r="ICY8" s="875"/>
      <c r="ICZ8" s="875"/>
      <c r="IDA8" s="875"/>
      <c r="IDB8" s="875"/>
      <c r="IDC8" s="875"/>
      <c r="IDD8" s="875"/>
      <c r="IDE8" s="875"/>
      <c r="IDF8" s="875"/>
      <c r="IDG8" s="875"/>
      <c r="IDH8" s="875"/>
      <c r="IDI8" s="875"/>
      <c r="IDJ8" s="875"/>
      <c r="IDK8" s="875"/>
      <c r="IDL8" s="875"/>
      <c r="IDM8" s="875"/>
      <c r="IDN8" s="875"/>
      <c r="IDO8" s="875"/>
      <c r="IDP8" s="875"/>
      <c r="IDQ8" s="875"/>
      <c r="IDR8" s="875"/>
      <c r="IDS8" s="875"/>
      <c r="IDT8" s="875"/>
      <c r="IDU8" s="875"/>
      <c r="IDV8" s="875"/>
      <c r="IDW8" s="875"/>
      <c r="IDX8" s="875"/>
      <c r="IDY8" s="875"/>
      <c r="IDZ8" s="875"/>
      <c r="IEA8" s="875"/>
      <c r="IEB8" s="875"/>
      <c r="IEC8" s="875"/>
      <c r="IED8" s="875"/>
      <c r="IEE8" s="875"/>
      <c r="IEF8" s="875"/>
      <c r="IEG8" s="875"/>
      <c r="IEH8" s="875"/>
      <c r="IEI8" s="875"/>
      <c r="IEJ8" s="875"/>
      <c r="IEK8" s="875"/>
      <c r="IEL8" s="875"/>
      <c r="IEM8" s="875"/>
      <c r="IEN8" s="875"/>
      <c r="IEO8" s="875"/>
      <c r="IEP8" s="875"/>
      <c r="IEQ8" s="875"/>
      <c r="IER8" s="875"/>
      <c r="IES8" s="875"/>
      <c r="IET8" s="875"/>
      <c r="IEU8" s="875"/>
      <c r="IEV8" s="875"/>
      <c r="IEW8" s="875"/>
      <c r="IEX8" s="875"/>
      <c r="IEY8" s="875"/>
      <c r="IEZ8" s="875"/>
      <c r="IFA8" s="875"/>
      <c r="IFB8" s="875"/>
      <c r="IFC8" s="875"/>
      <c r="IFD8" s="875"/>
      <c r="IFE8" s="875"/>
      <c r="IFF8" s="875"/>
      <c r="IFG8" s="875"/>
      <c r="IFH8" s="875"/>
      <c r="IFI8" s="875"/>
      <c r="IFJ8" s="875"/>
      <c r="IFK8" s="875"/>
      <c r="IFL8" s="875"/>
      <c r="IFM8" s="875"/>
      <c r="IFN8" s="875"/>
      <c r="IFO8" s="875"/>
      <c r="IFP8" s="875"/>
      <c r="IFQ8" s="875"/>
      <c r="IFR8" s="875"/>
      <c r="IFS8" s="875"/>
      <c r="IFT8" s="875"/>
      <c r="IFU8" s="875"/>
      <c r="IFV8" s="875"/>
      <c r="IFW8" s="875"/>
      <c r="IFX8" s="875"/>
      <c r="IFY8" s="875"/>
      <c r="IFZ8" s="875"/>
      <c r="IGA8" s="875"/>
      <c r="IGB8" s="875"/>
      <c r="IGC8" s="875"/>
      <c r="IGD8" s="875"/>
      <c r="IGE8" s="875"/>
      <c r="IGF8" s="875"/>
      <c r="IGG8" s="875"/>
      <c r="IGH8" s="875"/>
      <c r="IGI8" s="875"/>
      <c r="IGJ8" s="875"/>
      <c r="IGK8" s="875"/>
      <c r="IGL8" s="875"/>
      <c r="IGM8" s="875"/>
      <c r="IGN8" s="875"/>
      <c r="IGO8" s="875"/>
      <c r="IGP8" s="875"/>
      <c r="IGQ8" s="875"/>
      <c r="IGR8" s="875"/>
      <c r="IGS8" s="875"/>
      <c r="IGT8" s="875"/>
      <c r="IGU8" s="875"/>
      <c r="IGV8" s="875"/>
      <c r="IGW8" s="875"/>
      <c r="IGX8" s="875"/>
      <c r="IGY8" s="875"/>
      <c r="IGZ8" s="875"/>
      <c r="IHA8" s="875"/>
      <c r="IHB8" s="875"/>
      <c r="IHC8" s="875"/>
      <c r="IHD8" s="875"/>
      <c r="IHE8" s="875"/>
      <c r="IHF8" s="875"/>
      <c r="IHG8" s="875"/>
      <c r="IHH8" s="875"/>
      <c r="IHI8" s="875"/>
      <c r="IHJ8" s="875"/>
      <c r="IHK8" s="875"/>
      <c r="IHL8" s="875"/>
      <c r="IHM8" s="875"/>
      <c r="IHN8" s="875"/>
      <c r="IHO8" s="875"/>
      <c r="IHP8" s="875"/>
      <c r="IHQ8" s="875"/>
      <c r="IHR8" s="875"/>
      <c r="IHS8" s="875"/>
      <c r="IHT8" s="875"/>
      <c r="IHU8" s="875"/>
      <c r="IHV8" s="875"/>
      <c r="IHW8" s="875"/>
      <c r="IHX8" s="875"/>
      <c r="IHY8" s="875"/>
      <c r="IHZ8" s="875"/>
      <c r="IIA8" s="875"/>
      <c r="IIB8" s="875"/>
      <c r="IIC8" s="875"/>
      <c r="IID8" s="875"/>
      <c r="IIE8" s="875"/>
      <c r="IIF8" s="875"/>
      <c r="IIG8" s="875"/>
      <c r="IIH8" s="875"/>
      <c r="III8" s="875"/>
      <c r="IIJ8" s="875"/>
      <c r="IIK8" s="875"/>
      <c r="IIL8" s="875"/>
      <c r="IIM8" s="875"/>
      <c r="IIN8" s="875"/>
      <c r="IIO8" s="875"/>
      <c r="IIP8" s="875"/>
      <c r="IIQ8" s="875"/>
      <c r="IIR8" s="875"/>
      <c r="IIS8" s="875"/>
      <c r="IIT8" s="875"/>
      <c r="IIU8" s="875"/>
      <c r="IIV8" s="875"/>
      <c r="IIW8" s="875"/>
      <c r="IIX8" s="875"/>
      <c r="IIY8" s="875"/>
      <c r="IIZ8" s="875"/>
      <c r="IJA8" s="875"/>
      <c r="IJB8" s="875"/>
      <c r="IJC8" s="875"/>
      <c r="IJD8" s="875"/>
      <c r="IJE8" s="875"/>
      <c r="IJF8" s="875"/>
      <c r="IJG8" s="875"/>
      <c r="IJH8" s="875"/>
      <c r="IJI8" s="875"/>
      <c r="IJJ8" s="875"/>
      <c r="IJK8" s="875"/>
      <c r="IJL8" s="875"/>
      <c r="IJM8" s="875"/>
      <c r="IJN8" s="875"/>
      <c r="IJO8" s="875"/>
      <c r="IJP8" s="875"/>
      <c r="IJQ8" s="875"/>
      <c r="IJR8" s="875"/>
      <c r="IJS8" s="875"/>
      <c r="IJT8" s="875"/>
      <c r="IJU8" s="875"/>
      <c r="IJV8" s="875"/>
      <c r="IJW8" s="875"/>
      <c r="IJX8" s="875"/>
      <c r="IJY8" s="875"/>
      <c r="IJZ8" s="875"/>
      <c r="IKA8" s="875"/>
      <c r="IKB8" s="875"/>
      <c r="IKC8" s="875"/>
      <c r="IKD8" s="875"/>
      <c r="IKE8" s="875"/>
      <c r="IKF8" s="875"/>
      <c r="IKG8" s="875"/>
      <c r="IKH8" s="875"/>
      <c r="IKI8" s="875"/>
      <c r="IKJ8" s="875"/>
      <c r="IKK8" s="875"/>
      <c r="IKL8" s="875"/>
      <c r="IKM8" s="875"/>
      <c r="IKN8" s="875"/>
      <c r="IKO8" s="875"/>
      <c r="IKP8" s="875"/>
      <c r="IKQ8" s="875"/>
      <c r="IKR8" s="875"/>
      <c r="IKS8" s="875"/>
      <c r="IKT8" s="875"/>
      <c r="IKU8" s="875"/>
      <c r="IKV8" s="875"/>
      <c r="IKW8" s="875"/>
      <c r="IKX8" s="875"/>
      <c r="IKY8" s="875"/>
      <c r="IKZ8" s="875"/>
      <c r="ILA8" s="875"/>
      <c r="ILB8" s="875"/>
      <c r="ILC8" s="875"/>
      <c r="ILD8" s="875"/>
      <c r="ILE8" s="875"/>
      <c r="ILF8" s="875"/>
      <c r="ILG8" s="875"/>
      <c r="ILH8" s="875"/>
      <c r="ILI8" s="875"/>
      <c r="ILJ8" s="875"/>
      <c r="ILK8" s="875"/>
      <c r="ILL8" s="875"/>
      <c r="ILM8" s="875"/>
      <c r="ILN8" s="875"/>
      <c r="ILO8" s="875"/>
      <c r="ILP8" s="875"/>
      <c r="ILQ8" s="875"/>
      <c r="ILR8" s="875"/>
      <c r="ILS8" s="875"/>
      <c r="ILT8" s="875"/>
      <c r="ILU8" s="875"/>
      <c r="ILV8" s="875"/>
      <c r="ILW8" s="875"/>
      <c r="ILX8" s="875"/>
      <c r="ILY8" s="875"/>
      <c r="ILZ8" s="875"/>
      <c r="IMA8" s="875"/>
      <c r="IMB8" s="875"/>
      <c r="IMC8" s="875"/>
      <c r="IMD8" s="875"/>
      <c r="IME8" s="875"/>
      <c r="IMF8" s="875"/>
      <c r="IMG8" s="875"/>
      <c r="IMH8" s="875"/>
      <c r="IMI8" s="875"/>
      <c r="IMJ8" s="875"/>
      <c r="IMK8" s="875"/>
      <c r="IML8" s="875"/>
      <c r="IMM8" s="875"/>
      <c r="IMN8" s="875"/>
      <c r="IMO8" s="875"/>
      <c r="IMP8" s="875"/>
      <c r="IMQ8" s="875"/>
      <c r="IMR8" s="875"/>
      <c r="IMS8" s="875"/>
      <c r="IMT8" s="875"/>
      <c r="IMU8" s="875"/>
      <c r="IMV8" s="875"/>
      <c r="IMW8" s="875"/>
      <c r="IMX8" s="875"/>
      <c r="IMY8" s="875"/>
      <c r="IMZ8" s="875"/>
      <c r="INA8" s="875"/>
      <c r="INB8" s="875"/>
      <c r="INC8" s="875"/>
      <c r="IND8" s="875"/>
      <c r="INE8" s="875"/>
      <c r="INF8" s="875"/>
      <c r="ING8" s="875"/>
      <c r="INH8" s="875"/>
      <c r="INI8" s="875"/>
      <c r="INJ8" s="875"/>
      <c r="INK8" s="875"/>
      <c r="INL8" s="875"/>
      <c r="INM8" s="875"/>
      <c r="INN8" s="875"/>
      <c r="INO8" s="875"/>
      <c r="INP8" s="875"/>
      <c r="INQ8" s="875"/>
      <c r="INR8" s="875"/>
      <c r="INS8" s="875"/>
      <c r="INT8" s="875"/>
      <c r="INU8" s="875"/>
      <c r="INV8" s="875"/>
      <c r="INW8" s="875"/>
      <c r="INX8" s="875"/>
      <c r="INY8" s="875"/>
      <c r="INZ8" s="875"/>
      <c r="IOA8" s="875"/>
      <c r="IOB8" s="875"/>
      <c r="IOC8" s="875"/>
      <c r="IOD8" s="875"/>
      <c r="IOE8" s="875"/>
      <c r="IOF8" s="875"/>
      <c r="IOG8" s="875"/>
      <c r="IOH8" s="875"/>
      <c r="IOI8" s="875"/>
      <c r="IOJ8" s="875"/>
      <c r="IOK8" s="875"/>
      <c r="IOL8" s="875"/>
      <c r="IOM8" s="875"/>
      <c r="ION8" s="875"/>
      <c r="IOO8" s="875"/>
      <c r="IOP8" s="875"/>
      <c r="IOQ8" s="875"/>
      <c r="IOR8" s="875"/>
      <c r="IOS8" s="875"/>
      <c r="IOT8" s="875"/>
      <c r="IOU8" s="875"/>
      <c r="IOV8" s="875"/>
      <c r="IOW8" s="875"/>
      <c r="IOX8" s="875"/>
      <c r="IOY8" s="875"/>
      <c r="IOZ8" s="875"/>
      <c r="IPA8" s="875"/>
      <c r="IPB8" s="875"/>
      <c r="IPC8" s="875"/>
      <c r="IPD8" s="875"/>
      <c r="IPE8" s="875"/>
      <c r="IPF8" s="875"/>
      <c r="IPG8" s="875"/>
      <c r="IPH8" s="875"/>
      <c r="IPI8" s="875"/>
      <c r="IPJ8" s="875"/>
      <c r="IPK8" s="875"/>
      <c r="IPL8" s="875"/>
      <c r="IPM8" s="875"/>
      <c r="IPN8" s="875"/>
      <c r="IPO8" s="875"/>
      <c r="IPP8" s="875"/>
      <c r="IPQ8" s="875"/>
      <c r="IPR8" s="875"/>
      <c r="IPS8" s="875"/>
      <c r="IPT8" s="875"/>
      <c r="IPU8" s="875"/>
      <c r="IPV8" s="875"/>
      <c r="IPW8" s="875"/>
      <c r="IPX8" s="875"/>
      <c r="IPY8" s="875"/>
      <c r="IPZ8" s="875"/>
      <c r="IQA8" s="875"/>
      <c r="IQB8" s="875"/>
      <c r="IQC8" s="875"/>
      <c r="IQD8" s="875"/>
      <c r="IQE8" s="875"/>
      <c r="IQF8" s="875"/>
      <c r="IQG8" s="875"/>
      <c r="IQH8" s="875"/>
      <c r="IQI8" s="875"/>
      <c r="IQJ8" s="875"/>
      <c r="IQK8" s="875"/>
      <c r="IQL8" s="875"/>
      <c r="IQM8" s="875"/>
      <c r="IQN8" s="875"/>
      <c r="IQO8" s="875"/>
      <c r="IQP8" s="875"/>
      <c r="IQQ8" s="875"/>
      <c r="IQR8" s="875"/>
      <c r="IQS8" s="875"/>
      <c r="IQT8" s="875"/>
      <c r="IQU8" s="875"/>
      <c r="IQV8" s="875"/>
      <c r="IQW8" s="875"/>
      <c r="IQX8" s="875"/>
      <c r="IQY8" s="875"/>
      <c r="IQZ8" s="875"/>
      <c r="IRA8" s="875"/>
      <c r="IRB8" s="875"/>
      <c r="IRC8" s="875"/>
      <c r="IRD8" s="875"/>
      <c r="IRE8" s="875"/>
      <c r="IRF8" s="875"/>
      <c r="IRG8" s="875"/>
      <c r="IRH8" s="875"/>
      <c r="IRI8" s="875"/>
      <c r="IRJ8" s="875"/>
      <c r="IRK8" s="875"/>
      <c r="IRL8" s="875"/>
      <c r="IRM8" s="875"/>
      <c r="IRN8" s="875"/>
      <c r="IRO8" s="875"/>
      <c r="IRP8" s="875"/>
      <c r="IRQ8" s="875"/>
      <c r="IRR8" s="875"/>
      <c r="IRS8" s="875"/>
      <c r="IRT8" s="875"/>
      <c r="IRU8" s="875"/>
      <c r="IRV8" s="875"/>
      <c r="IRW8" s="875"/>
      <c r="IRX8" s="875"/>
      <c r="IRY8" s="875"/>
      <c r="IRZ8" s="875"/>
      <c r="ISA8" s="875"/>
      <c r="ISB8" s="875"/>
      <c r="ISC8" s="875"/>
      <c r="ISD8" s="875"/>
      <c r="ISE8" s="875"/>
      <c r="ISF8" s="875"/>
      <c r="ISG8" s="875"/>
      <c r="ISH8" s="875"/>
      <c r="ISI8" s="875"/>
      <c r="ISJ8" s="875"/>
      <c r="ISK8" s="875"/>
      <c r="ISL8" s="875"/>
      <c r="ISM8" s="875"/>
      <c r="ISN8" s="875"/>
      <c r="ISO8" s="875"/>
      <c r="ISP8" s="875"/>
      <c r="ISQ8" s="875"/>
      <c r="ISR8" s="875"/>
      <c r="ISS8" s="875"/>
      <c r="IST8" s="875"/>
      <c r="ISU8" s="875"/>
      <c r="ISV8" s="875"/>
      <c r="ISW8" s="875"/>
      <c r="ISX8" s="875"/>
      <c r="ISY8" s="875"/>
      <c r="ISZ8" s="875"/>
      <c r="ITA8" s="875"/>
      <c r="ITB8" s="875"/>
      <c r="ITC8" s="875"/>
      <c r="ITD8" s="875"/>
      <c r="ITE8" s="875"/>
      <c r="ITF8" s="875"/>
      <c r="ITG8" s="875"/>
      <c r="ITH8" s="875"/>
      <c r="ITI8" s="875"/>
      <c r="ITJ8" s="875"/>
      <c r="ITK8" s="875"/>
      <c r="ITL8" s="875"/>
      <c r="ITM8" s="875"/>
      <c r="ITN8" s="875"/>
      <c r="ITO8" s="875"/>
      <c r="ITP8" s="875"/>
      <c r="ITQ8" s="875"/>
      <c r="ITR8" s="875"/>
      <c r="ITS8" s="875"/>
      <c r="ITT8" s="875"/>
      <c r="ITU8" s="875"/>
      <c r="ITV8" s="875"/>
      <c r="ITW8" s="875"/>
      <c r="ITX8" s="875"/>
      <c r="ITY8" s="875"/>
      <c r="ITZ8" s="875"/>
      <c r="IUA8" s="875"/>
      <c r="IUB8" s="875"/>
      <c r="IUC8" s="875"/>
      <c r="IUD8" s="875"/>
      <c r="IUE8" s="875"/>
      <c r="IUF8" s="875"/>
      <c r="IUG8" s="875"/>
      <c r="IUH8" s="875"/>
      <c r="IUI8" s="875"/>
      <c r="IUJ8" s="875"/>
      <c r="IUK8" s="875"/>
      <c r="IUL8" s="875"/>
      <c r="IUM8" s="875"/>
      <c r="IUN8" s="875"/>
      <c r="IUO8" s="875"/>
      <c r="IUP8" s="875"/>
      <c r="IUQ8" s="875"/>
      <c r="IUR8" s="875"/>
      <c r="IUS8" s="875"/>
      <c r="IUT8" s="875"/>
      <c r="IUU8" s="875"/>
      <c r="IUV8" s="875"/>
      <c r="IUW8" s="875"/>
      <c r="IUX8" s="875"/>
      <c r="IUY8" s="875"/>
      <c r="IUZ8" s="875"/>
      <c r="IVA8" s="875"/>
      <c r="IVB8" s="875"/>
      <c r="IVC8" s="875"/>
      <c r="IVD8" s="875"/>
      <c r="IVE8" s="875"/>
      <c r="IVF8" s="875"/>
      <c r="IVG8" s="875"/>
      <c r="IVH8" s="875"/>
      <c r="IVI8" s="875"/>
      <c r="IVJ8" s="875"/>
      <c r="IVK8" s="875"/>
      <c r="IVL8" s="875"/>
      <c r="IVM8" s="875"/>
      <c r="IVN8" s="875"/>
      <c r="IVO8" s="875"/>
      <c r="IVP8" s="875"/>
      <c r="IVQ8" s="875"/>
      <c r="IVR8" s="875"/>
      <c r="IVS8" s="875"/>
      <c r="IVT8" s="875"/>
      <c r="IVU8" s="875"/>
      <c r="IVV8" s="875"/>
      <c r="IVW8" s="875"/>
      <c r="IVX8" s="875"/>
      <c r="IVY8" s="875"/>
      <c r="IVZ8" s="875"/>
      <c r="IWA8" s="875"/>
      <c r="IWB8" s="875"/>
      <c r="IWC8" s="875"/>
      <c r="IWD8" s="875"/>
      <c r="IWE8" s="875"/>
      <c r="IWF8" s="875"/>
      <c r="IWG8" s="875"/>
      <c r="IWH8" s="875"/>
      <c r="IWI8" s="875"/>
      <c r="IWJ8" s="875"/>
      <c r="IWK8" s="875"/>
      <c r="IWL8" s="875"/>
      <c r="IWM8" s="875"/>
      <c r="IWN8" s="875"/>
      <c r="IWO8" s="875"/>
      <c r="IWP8" s="875"/>
      <c r="IWQ8" s="875"/>
      <c r="IWR8" s="875"/>
      <c r="IWS8" s="875"/>
      <c r="IWT8" s="875"/>
      <c r="IWU8" s="875"/>
      <c r="IWV8" s="875"/>
      <c r="IWW8" s="875"/>
      <c r="IWX8" s="875"/>
      <c r="IWY8" s="875"/>
      <c r="IWZ8" s="875"/>
      <c r="IXA8" s="875"/>
      <c r="IXB8" s="875"/>
      <c r="IXC8" s="875"/>
      <c r="IXD8" s="875"/>
      <c r="IXE8" s="875"/>
      <c r="IXF8" s="875"/>
      <c r="IXG8" s="875"/>
      <c r="IXH8" s="875"/>
      <c r="IXI8" s="875"/>
      <c r="IXJ8" s="875"/>
      <c r="IXK8" s="875"/>
      <c r="IXL8" s="875"/>
      <c r="IXM8" s="875"/>
      <c r="IXN8" s="875"/>
      <c r="IXO8" s="875"/>
      <c r="IXP8" s="875"/>
      <c r="IXQ8" s="875"/>
      <c r="IXR8" s="875"/>
      <c r="IXS8" s="875"/>
      <c r="IXT8" s="875"/>
      <c r="IXU8" s="875"/>
      <c r="IXV8" s="875"/>
      <c r="IXW8" s="875"/>
      <c r="IXX8" s="875"/>
      <c r="IXY8" s="875"/>
      <c r="IXZ8" s="875"/>
      <c r="IYA8" s="875"/>
      <c r="IYB8" s="875"/>
      <c r="IYC8" s="875"/>
      <c r="IYD8" s="875"/>
      <c r="IYE8" s="875"/>
      <c r="IYF8" s="875"/>
      <c r="IYG8" s="875"/>
      <c r="IYH8" s="875"/>
      <c r="IYI8" s="875"/>
      <c r="IYJ8" s="875"/>
      <c r="IYK8" s="875"/>
      <c r="IYL8" s="875"/>
      <c r="IYM8" s="875"/>
      <c r="IYN8" s="875"/>
      <c r="IYO8" s="875"/>
      <c r="IYP8" s="875"/>
      <c r="IYQ8" s="875"/>
      <c r="IYR8" s="875"/>
      <c r="IYS8" s="875"/>
      <c r="IYT8" s="875"/>
      <c r="IYU8" s="875"/>
      <c r="IYV8" s="875"/>
      <c r="IYW8" s="875"/>
      <c r="IYX8" s="875"/>
      <c r="IYY8" s="875"/>
      <c r="IYZ8" s="875"/>
      <c r="IZA8" s="875"/>
      <c r="IZB8" s="875"/>
      <c r="IZC8" s="875"/>
      <c r="IZD8" s="875"/>
      <c r="IZE8" s="875"/>
      <c r="IZF8" s="875"/>
      <c r="IZG8" s="875"/>
      <c r="IZH8" s="875"/>
      <c r="IZI8" s="875"/>
      <c r="IZJ8" s="875"/>
      <c r="IZK8" s="875"/>
      <c r="IZL8" s="875"/>
      <c r="IZM8" s="875"/>
      <c r="IZN8" s="875"/>
      <c r="IZO8" s="875"/>
      <c r="IZP8" s="875"/>
      <c r="IZQ8" s="875"/>
      <c r="IZR8" s="875"/>
      <c r="IZS8" s="875"/>
      <c r="IZT8" s="875"/>
      <c r="IZU8" s="875"/>
      <c r="IZV8" s="875"/>
      <c r="IZW8" s="875"/>
      <c r="IZX8" s="875"/>
      <c r="IZY8" s="875"/>
      <c r="IZZ8" s="875"/>
      <c r="JAA8" s="875"/>
      <c r="JAB8" s="875"/>
      <c r="JAC8" s="875"/>
      <c r="JAD8" s="875"/>
      <c r="JAE8" s="875"/>
      <c r="JAF8" s="875"/>
      <c r="JAG8" s="875"/>
      <c r="JAH8" s="875"/>
      <c r="JAI8" s="875"/>
      <c r="JAJ8" s="875"/>
      <c r="JAK8" s="875"/>
      <c r="JAL8" s="875"/>
      <c r="JAM8" s="875"/>
      <c r="JAN8" s="875"/>
      <c r="JAO8" s="875"/>
      <c r="JAP8" s="875"/>
      <c r="JAQ8" s="875"/>
      <c r="JAR8" s="875"/>
      <c r="JAS8" s="875"/>
      <c r="JAT8" s="875"/>
      <c r="JAU8" s="875"/>
      <c r="JAV8" s="875"/>
      <c r="JAW8" s="875"/>
      <c r="JAX8" s="875"/>
      <c r="JAY8" s="875"/>
      <c r="JAZ8" s="875"/>
      <c r="JBA8" s="875"/>
      <c r="JBB8" s="875"/>
      <c r="JBC8" s="875"/>
      <c r="JBD8" s="875"/>
      <c r="JBE8" s="875"/>
      <c r="JBF8" s="875"/>
      <c r="JBG8" s="875"/>
      <c r="JBH8" s="875"/>
      <c r="JBI8" s="875"/>
      <c r="JBJ8" s="875"/>
      <c r="JBK8" s="875"/>
      <c r="JBL8" s="875"/>
      <c r="JBM8" s="875"/>
      <c r="JBN8" s="875"/>
      <c r="JBO8" s="875"/>
      <c r="JBP8" s="875"/>
      <c r="JBQ8" s="875"/>
      <c r="JBR8" s="875"/>
      <c r="JBS8" s="875"/>
      <c r="JBT8" s="875"/>
      <c r="JBU8" s="875"/>
      <c r="JBV8" s="875"/>
      <c r="JBW8" s="875"/>
      <c r="JBX8" s="875"/>
      <c r="JBY8" s="875"/>
      <c r="JBZ8" s="875"/>
      <c r="JCA8" s="875"/>
      <c r="JCB8" s="875"/>
      <c r="JCC8" s="875"/>
      <c r="JCD8" s="875"/>
      <c r="JCE8" s="875"/>
      <c r="JCF8" s="875"/>
      <c r="JCG8" s="875"/>
      <c r="JCH8" s="875"/>
      <c r="JCI8" s="875"/>
      <c r="JCJ8" s="875"/>
      <c r="JCK8" s="875"/>
      <c r="JCL8" s="875"/>
      <c r="JCM8" s="875"/>
      <c r="JCN8" s="875"/>
      <c r="JCO8" s="875"/>
      <c r="JCP8" s="875"/>
      <c r="JCQ8" s="875"/>
      <c r="JCR8" s="875"/>
      <c r="JCS8" s="875"/>
      <c r="JCT8" s="875"/>
      <c r="JCU8" s="875"/>
      <c r="JCV8" s="875"/>
      <c r="JCW8" s="875"/>
      <c r="JCX8" s="875"/>
      <c r="JCY8" s="875"/>
      <c r="JCZ8" s="875"/>
      <c r="JDA8" s="875"/>
      <c r="JDB8" s="875"/>
      <c r="JDC8" s="875"/>
      <c r="JDD8" s="875"/>
      <c r="JDE8" s="875"/>
      <c r="JDF8" s="875"/>
      <c r="JDG8" s="875"/>
      <c r="JDH8" s="875"/>
      <c r="JDI8" s="875"/>
      <c r="JDJ8" s="875"/>
      <c r="JDK8" s="875"/>
      <c r="JDL8" s="875"/>
      <c r="JDM8" s="875"/>
      <c r="JDN8" s="875"/>
      <c r="JDO8" s="875"/>
      <c r="JDP8" s="875"/>
      <c r="JDQ8" s="875"/>
      <c r="JDR8" s="875"/>
      <c r="JDS8" s="875"/>
      <c r="JDT8" s="875"/>
      <c r="JDU8" s="875"/>
      <c r="JDV8" s="875"/>
      <c r="JDW8" s="875"/>
      <c r="JDX8" s="875"/>
      <c r="JDY8" s="875"/>
      <c r="JDZ8" s="875"/>
      <c r="JEA8" s="875"/>
      <c r="JEB8" s="875"/>
      <c r="JEC8" s="875"/>
      <c r="JED8" s="875"/>
      <c r="JEE8" s="875"/>
      <c r="JEF8" s="875"/>
      <c r="JEG8" s="875"/>
      <c r="JEH8" s="875"/>
      <c r="JEI8" s="875"/>
      <c r="JEJ8" s="875"/>
      <c r="JEK8" s="875"/>
      <c r="JEL8" s="875"/>
      <c r="JEM8" s="875"/>
      <c r="JEN8" s="875"/>
      <c r="JEO8" s="875"/>
      <c r="JEP8" s="875"/>
      <c r="JEQ8" s="875"/>
      <c r="JER8" s="875"/>
      <c r="JES8" s="875"/>
      <c r="JET8" s="875"/>
      <c r="JEU8" s="875"/>
      <c r="JEV8" s="875"/>
      <c r="JEW8" s="875"/>
      <c r="JEX8" s="875"/>
      <c r="JEY8" s="875"/>
      <c r="JEZ8" s="875"/>
      <c r="JFA8" s="875"/>
      <c r="JFB8" s="875"/>
      <c r="JFC8" s="875"/>
      <c r="JFD8" s="875"/>
      <c r="JFE8" s="875"/>
      <c r="JFF8" s="875"/>
      <c r="JFG8" s="875"/>
      <c r="JFH8" s="875"/>
      <c r="JFI8" s="875"/>
      <c r="JFJ8" s="875"/>
      <c r="JFK8" s="875"/>
      <c r="JFL8" s="875"/>
      <c r="JFM8" s="875"/>
      <c r="JFN8" s="875"/>
      <c r="JFO8" s="875"/>
      <c r="JFP8" s="875"/>
      <c r="JFQ8" s="875"/>
      <c r="JFR8" s="875"/>
      <c r="JFS8" s="875"/>
      <c r="JFT8" s="875"/>
      <c r="JFU8" s="875"/>
      <c r="JFV8" s="875"/>
      <c r="JFW8" s="875"/>
      <c r="JFX8" s="875"/>
      <c r="JFY8" s="875"/>
      <c r="JFZ8" s="875"/>
      <c r="JGA8" s="875"/>
      <c r="JGB8" s="875"/>
      <c r="JGC8" s="875"/>
      <c r="JGD8" s="875"/>
      <c r="JGE8" s="875"/>
      <c r="JGF8" s="875"/>
      <c r="JGG8" s="875"/>
      <c r="JGH8" s="875"/>
      <c r="JGI8" s="875"/>
      <c r="JGJ8" s="875"/>
      <c r="JGK8" s="875"/>
      <c r="JGL8" s="875"/>
      <c r="JGM8" s="875"/>
      <c r="JGN8" s="875"/>
      <c r="JGO8" s="875"/>
      <c r="JGP8" s="875"/>
      <c r="JGQ8" s="875"/>
      <c r="JGR8" s="875"/>
      <c r="JGS8" s="875"/>
      <c r="JGT8" s="875"/>
      <c r="JGU8" s="875"/>
      <c r="JGV8" s="875"/>
      <c r="JGW8" s="875"/>
      <c r="JGX8" s="875"/>
      <c r="JGY8" s="875"/>
      <c r="JGZ8" s="875"/>
      <c r="JHA8" s="875"/>
      <c r="JHB8" s="875"/>
      <c r="JHC8" s="875"/>
      <c r="JHD8" s="875"/>
      <c r="JHE8" s="875"/>
      <c r="JHF8" s="875"/>
      <c r="JHG8" s="875"/>
      <c r="JHH8" s="875"/>
      <c r="JHI8" s="875"/>
      <c r="JHJ8" s="875"/>
      <c r="JHK8" s="875"/>
      <c r="JHL8" s="875"/>
      <c r="JHM8" s="875"/>
      <c r="JHN8" s="875"/>
      <c r="JHO8" s="875"/>
      <c r="JHP8" s="875"/>
      <c r="JHQ8" s="875"/>
      <c r="JHR8" s="875"/>
      <c r="JHS8" s="875"/>
      <c r="JHT8" s="875"/>
      <c r="JHU8" s="875"/>
      <c r="JHV8" s="875"/>
      <c r="JHW8" s="875"/>
      <c r="JHX8" s="875"/>
      <c r="JHY8" s="875"/>
      <c r="JHZ8" s="875"/>
      <c r="JIA8" s="875"/>
      <c r="JIB8" s="875"/>
      <c r="JIC8" s="875"/>
      <c r="JID8" s="875"/>
      <c r="JIE8" s="875"/>
      <c r="JIF8" s="875"/>
      <c r="JIG8" s="875"/>
      <c r="JIH8" s="875"/>
      <c r="JII8" s="875"/>
      <c r="JIJ8" s="875"/>
      <c r="JIK8" s="875"/>
      <c r="JIL8" s="875"/>
      <c r="JIM8" s="875"/>
      <c r="JIN8" s="875"/>
      <c r="JIO8" s="875"/>
      <c r="JIP8" s="875"/>
      <c r="JIQ8" s="875"/>
      <c r="JIR8" s="875"/>
      <c r="JIS8" s="875"/>
      <c r="JIT8" s="875"/>
      <c r="JIU8" s="875"/>
      <c r="JIV8" s="875"/>
      <c r="JIW8" s="875"/>
      <c r="JIX8" s="875"/>
      <c r="JIY8" s="875"/>
      <c r="JIZ8" s="875"/>
      <c r="JJA8" s="875"/>
      <c r="JJB8" s="875"/>
      <c r="JJC8" s="875"/>
      <c r="JJD8" s="875"/>
      <c r="JJE8" s="875"/>
      <c r="JJF8" s="875"/>
      <c r="JJG8" s="875"/>
      <c r="JJH8" s="875"/>
      <c r="JJI8" s="875"/>
      <c r="JJJ8" s="875"/>
      <c r="JJK8" s="875"/>
      <c r="JJL8" s="875"/>
      <c r="JJM8" s="875"/>
      <c r="JJN8" s="875"/>
      <c r="JJO8" s="875"/>
      <c r="JJP8" s="875"/>
      <c r="JJQ8" s="875"/>
      <c r="JJR8" s="875"/>
      <c r="JJS8" s="875"/>
      <c r="JJT8" s="875"/>
      <c r="JJU8" s="875"/>
      <c r="JJV8" s="875"/>
      <c r="JJW8" s="875"/>
      <c r="JJX8" s="875"/>
      <c r="JJY8" s="875"/>
      <c r="JJZ8" s="875"/>
      <c r="JKA8" s="875"/>
      <c r="JKB8" s="875"/>
      <c r="JKC8" s="875"/>
      <c r="JKD8" s="875"/>
      <c r="JKE8" s="875"/>
      <c r="JKF8" s="875"/>
      <c r="JKG8" s="875"/>
      <c r="JKH8" s="875"/>
      <c r="JKI8" s="875"/>
      <c r="JKJ8" s="875"/>
      <c r="JKK8" s="875"/>
      <c r="JKL8" s="875"/>
      <c r="JKM8" s="875"/>
      <c r="JKN8" s="875"/>
      <c r="JKO8" s="875"/>
      <c r="JKP8" s="875"/>
      <c r="JKQ8" s="875"/>
      <c r="JKR8" s="875"/>
      <c r="JKS8" s="875"/>
      <c r="JKT8" s="875"/>
      <c r="JKU8" s="875"/>
      <c r="JKV8" s="875"/>
      <c r="JKW8" s="875"/>
      <c r="JKX8" s="875"/>
      <c r="JKY8" s="875"/>
      <c r="JKZ8" s="875"/>
      <c r="JLA8" s="875"/>
      <c r="JLB8" s="875"/>
      <c r="JLC8" s="875"/>
      <c r="JLD8" s="875"/>
      <c r="JLE8" s="875"/>
      <c r="JLF8" s="875"/>
      <c r="JLG8" s="875"/>
      <c r="JLH8" s="875"/>
      <c r="JLI8" s="875"/>
      <c r="JLJ8" s="875"/>
      <c r="JLK8" s="875"/>
      <c r="JLL8" s="875"/>
      <c r="JLM8" s="875"/>
      <c r="JLN8" s="875"/>
      <c r="JLO8" s="875"/>
      <c r="JLP8" s="875"/>
      <c r="JLQ8" s="875"/>
      <c r="JLR8" s="875"/>
      <c r="JLS8" s="875"/>
      <c r="JLT8" s="875"/>
      <c r="JLU8" s="875"/>
      <c r="JLV8" s="875"/>
      <c r="JLW8" s="875"/>
      <c r="JLX8" s="875"/>
      <c r="JLY8" s="875"/>
      <c r="JLZ8" s="875"/>
      <c r="JMA8" s="875"/>
      <c r="JMB8" s="875"/>
      <c r="JMC8" s="875"/>
      <c r="JMD8" s="875"/>
      <c r="JME8" s="875"/>
      <c r="JMF8" s="875"/>
      <c r="JMG8" s="875"/>
      <c r="JMH8" s="875"/>
      <c r="JMI8" s="875"/>
      <c r="JMJ8" s="875"/>
      <c r="JMK8" s="875"/>
      <c r="JML8" s="875"/>
      <c r="JMM8" s="875"/>
      <c r="JMN8" s="875"/>
      <c r="JMO8" s="875"/>
      <c r="JMP8" s="875"/>
      <c r="JMQ8" s="875"/>
      <c r="JMR8" s="875"/>
      <c r="JMS8" s="875"/>
      <c r="JMT8" s="875"/>
      <c r="JMU8" s="875"/>
      <c r="JMV8" s="875"/>
      <c r="JMW8" s="875"/>
      <c r="JMX8" s="875"/>
      <c r="JMY8" s="875"/>
      <c r="JMZ8" s="875"/>
      <c r="JNA8" s="875"/>
      <c r="JNB8" s="875"/>
      <c r="JNC8" s="875"/>
      <c r="JND8" s="875"/>
      <c r="JNE8" s="875"/>
      <c r="JNF8" s="875"/>
      <c r="JNG8" s="875"/>
      <c r="JNH8" s="875"/>
      <c r="JNI8" s="875"/>
      <c r="JNJ8" s="875"/>
      <c r="JNK8" s="875"/>
      <c r="JNL8" s="875"/>
      <c r="JNM8" s="875"/>
      <c r="JNN8" s="875"/>
      <c r="JNO8" s="875"/>
      <c r="JNP8" s="875"/>
      <c r="JNQ8" s="875"/>
      <c r="JNR8" s="875"/>
      <c r="JNS8" s="875"/>
      <c r="JNT8" s="875"/>
      <c r="JNU8" s="875"/>
      <c r="JNV8" s="875"/>
      <c r="JNW8" s="875"/>
      <c r="JNX8" s="875"/>
      <c r="JNY8" s="875"/>
      <c r="JNZ8" s="875"/>
      <c r="JOA8" s="875"/>
      <c r="JOB8" s="875"/>
      <c r="JOC8" s="875"/>
      <c r="JOD8" s="875"/>
      <c r="JOE8" s="875"/>
      <c r="JOF8" s="875"/>
      <c r="JOG8" s="875"/>
      <c r="JOH8" s="875"/>
      <c r="JOI8" s="875"/>
      <c r="JOJ8" s="875"/>
      <c r="JOK8" s="875"/>
      <c r="JOL8" s="875"/>
      <c r="JOM8" s="875"/>
      <c r="JON8" s="875"/>
      <c r="JOO8" s="875"/>
      <c r="JOP8" s="875"/>
      <c r="JOQ8" s="875"/>
      <c r="JOR8" s="875"/>
      <c r="JOS8" s="875"/>
      <c r="JOT8" s="875"/>
      <c r="JOU8" s="875"/>
      <c r="JOV8" s="875"/>
      <c r="JOW8" s="875"/>
      <c r="JOX8" s="875"/>
      <c r="JOY8" s="875"/>
      <c r="JOZ8" s="875"/>
      <c r="JPA8" s="875"/>
      <c r="JPB8" s="875"/>
      <c r="JPC8" s="875"/>
      <c r="JPD8" s="875"/>
      <c r="JPE8" s="875"/>
      <c r="JPF8" s="875"/>
      <c r="JPG8" s="875"/>
      <c r="JPH8" s="875"/>
      <c r="JPI8" s="875"/>
      <c r="JPJ8" s="875"/>
      <c r="JPK8" s="875"/>
      <c r="JPL8" s="875"/>
      <c r="JPM8" s="875"/>
      <c r="JPN8" s="875"/>
      <c r="JPO8" s="875"/>
      <c r="JPP8" s="875"/>
      <c r="JPQ8" s="875"/>
      <c r="JPR8" s="875"/>
      <c r="JPS8" s="875"/>
      <c r="JPT8" s="875"/>
      <c r="JPU8" s="875"/>
      <c r="JPV8" s="875"/>
      <c r="JPW8" s="875"/>
      <c r="JPX8" s="875"/>
      <c r="JPY8" s="875"/>
      <c r="JPZ8" s="875"/>
      <c r="JQA8" s="875"/>
      <c r="JQB8" s="875"/>
      <c r="JQC8" s="875"/>
      <c r="JQD8" s="875"/>
      <c r="JQE8" s="875"/>
      <c r="JQF8" s="875"/>
      <c r="JQG8" s="875"/>
      <c r="JQH8" s="875"/>
      <c r="JQI8" s="875"/>
      <c r="JQJ8" s="875"/>
      <c r="JQK8" s="875"/>
      <c r="JQL8" s="875"/>
      <c r="JQM8" s="875"/>
      <c r="JQN8" s="875"/>
      <c r="JQO8" s="875"/>
      <c r="JQP8" s="875"/>
      <c r="JQQ8" s="875"/>
      <c r="JQR8" s="875"/>
      <c r="JQS8" s="875"/>
      <c r="JQT8" s="875"/>
      <c r="JQU8" s="875"/>
      <c r="JQV8" s="875"/>
      <c r="JQW8" s="875"/>
      <c r="JQX8" s="875"/>
      <c r="JQY8" s="875"/>
      <c r="JQZ8" s="875"/>
      <c r="JRA8" s="875"/>
      <c r="JRB8" s="875"/>
      <c r="JRC8" s="875"/>
      <c r="JRD8" s="875"/>
      <c r="JRE8" s="875"/>
      <c r="JRF8" s="875"/>
      <c r="JRG8" s="875"/>
      <c r="JRH8" s="875"/>
      <c r="JRI8" s="875"/>
      <c r="JRJ8" s="875"/>
      <c r="JRK8" s="875"/>
      <c r="JRL8" s="875"/>
      <c r="JRM8" s="875"/>
      <c r="JRN8" s="875"/>
      <c r="JRO8" s="875"/>
      <c r="JRP8" s="875"/>
      <c r="JRQ8" s="875"/>
      <c r="JRR8" s="875"/>
      <c r="JRS8" s="875"/>
      <c r="JRT8" s="875"/>
      <c r="JRU8" s="875"/>
      <c r="JRV8" s="875"/>
      <c r="JRW8" s="875"/>
      <c r="JRX8" s="875"/>
      <c r="JRY8" s="875"/>
      <c r="JRZ8" s="875"/>
      <c r="JSA8" s="875"/>
      <c r="JSB8" s="875"/>
      <c r="JSC8" s="875"/>
      <c r="JSD8" s="875"/>
      <c r="JSE8" s="875"/>
      <c r="JSF8" s="875"/>
      <c r="JSG8" s="875"/>
      <c r="JSH8" s="875"/>
      <c r="JSI8" s="875"/>
      <c r="JSJ8" s="875"/>
      <c r="JSK8" s="875"/>
      <c r="JSL8" s="875"/>
      <c r="JSM8" s="875"/>
      <c r="JSN8" s="875"/>
      <c r="JSO8" s="875"/>
      <c r="JSP8" s="875"/>
      <c r="JSQ8" s="875"/>
      <c r="JSR8" s="875"/>
      <c r="JSS8" s="875"/>
      <c r="JST8" s="875"/>
      <c r="JSU8" s="875"/>
      <c r="JSV8" s="875"/>
      <c r="JSW8" s="875"/>
      <c r="JSX8" s="875"/>
      <c r="JSY8" s="875"/>
      <c r="JSZ8" s="875"/>
      <c r="JTA8" s="875"/>
      <c r="JTB8" s="875"/>
      <c r="JTC8" s="875"/>
      <c r="JTD8" s="875"/>
      <c r="JTE8" s="875"/>
      <c r="JTF8" s="875"/>
      <c r="JTG8" s="875"/>
      <c r="JTH8" s="875"/>
      <c r="JTI8" s="875"/>
      <c r="JTJ8" s="875"/>
      <c r="JTK8" s="875"/>
      <c r="JTL8" s="875"/>
      <c r="JTM8" s="875"/>
      <c r="JTN8" s="875"/>
      <c r="JTO8" s="875"/>
      <c r="JTP8" s="875"/>
      <c r="JTQ8" s="875"/>
      <c r="JTR8" s="875"/>
      <c r="JTS8" s="875"/>
      <c r="JTT8" s="875"/>
      <c r="JTU8" s="875"/>
      <c r="JTV8" s="875"/>
      <c r="JTW8" s="875"/>
      <c r="JTX8" s="875"/>
      <c r="JTY8" s="875"/>
      <c r="JTZ8" s="875"/>
      <c r="JUA8" s="875"/>
      <c r="JUB8" s="875"/>
      <c r="JUC8" s="875"/>
      <c r="JUD8" s="875"/>
      <c r="JUE8" s="875"/>
      <c r="JUF8" s="875"/>
      <c r="JUG8" s="875"/>
      <c r="JUH8" s="875"/>
      <c r="JUI8" s="875"/>
      <c r="JUJ8" s="875"/>
      <c r="JUK8" s="875"/>
      <c r="JUL8" s="875"/>
      <c r="JUM8" s="875"/>
      <c r="JUN8" s="875"/>
      <c r="JUO8" s="875"/>
      <c r="JUP8" s="875"/>
      <c r="JUQ8" s="875"/>
      <c r="JUR8" s="875"/>
      <c r="JUS8" s="875"/>
      <c r="JUT8" s="875"/>
      <c r="JUU8" s="875"/>
      <c r="JUV8" s="875"/>
      <c r="JUW8" s="875"/>
      <c r="JUX8" s="875"/>
      <c r="JUY8" s="875"/>
      <c r="JUZ8" s="875"/>
      <c r="JVA8" s="875"/>
      <c r="JVB8" s="875"/>
      <c r="JVC8" s="875"/>
      <c r="JVD8" s="875"/>
      <c r="JVE8" s="875"/>
      <c r="JVF8" s="875"/>
      <c r="JVG8" s="875"/>
      <c r="JVH8" s="875"/>
      <c r="JVI8" s="875"/>
      <c r="JVJ8" s="875"/>
      <c r="JVK8" s="875"/>
      <c r="JVL8" s="875"/>
      <c r="JVM8" s="875"/>
      <c r="JVN8" s="875"/>
      <c r="JVO8" s="875"/>
      <c r="JVP8" s="875"/>
      <c r="JVQ8" s="875"/>
      <c r="JVR8" s="875"/>
      <c r="JVS8" s="875"/>
      <c r="JVT8" s="875"/>
      <c r="JVU8" s="875"/>
      <c r="JVV8" s="875"/>
      <c r="JVW8" s="875"/>
      <c r="JVX8" s="875"/>
      <c r="JVY8" s="875"/>
      <c r="JVZ8" s="875"/>
      <c r="JWA8" s="875"/>
      <c r="JWB8" s="875"/>
      <c r="JWC8" s="875"/>
      <c r="JWD8" s="875"/>
      <c r="JWE8" s="875"/>
      <c r="JWF8" s="875"/>
      <c r="JWG8" s="875"/>
      <c r="JWH8" s="875"/>
      <c r="JWI8" s="875"/>
      <c r="JWJ8" s="875"/>
      <c r="JWK8" s="875"/>
      <c r="JWL8" s="875"/>
      <c r="JWM8" s="875"/>
      <c r="JWN8" s="875"/>
      <c r="JWO8" s="875"/>
      <c r="JWP8" s="875"/>
      <c r="JWQ8" s="875"/>
      <c r="JWR8" s="875"/>
      <c r="JWS8" s="875"/>
      <c r="JWT8" s="875"/>
      <c r="JWU8" s="875"/>
      <c r="JWV8" s="875"/>
      <c r="JWW8" s="875"/>
      <c r="JWX8" s="875"/>
      <c r="JWY8" s="875"/>
      <c r="JWZ8" s="875"/>
      <c r="JXA8" s="875"/>
      <c r="JXB8" s="875"/>
      <c r="JXC8" s="875"/>
      <c r="JXD8" s="875"/>
      <c r="JXE8" s="875"/>
      <c r="JXF8" s="875"/>
      <c r="JXG8" s="875"/>
      <c r="JXH8" s="875"/>
      <c r="JXI8" s="875"/>
      <c r="JXJ8" s="875"/>
      <c r="JXK8" s="875"/>
      <c r="JXL8" s="875"/>
      <c r="JXM8" s="875"/>
      <c r="JXN8" s="875"/>
      <c r="JXO8" s="875"/>
      <c r="JXP8" s="875"/>
      <c r="JXQ8" s="875"/>
      <c r="JXR8" s="875"/>
      <c r="JXS8" s="875"/>
      <c r="JXT8" s="875"/>
      <c r="JXU8" s="875"/>
      <c r="JXV8" s="875"/>
      <c r="JXW8" s="875"/>
      <c r="JXX8" s="875"/>
      <c r="JXY8" s="875"/>
      <c r="JXZ8" s="875"/>
      <c r="JYA8" s="875"/>
      <c r="JYB8" s="875"/>
      <c r="JYC8" s="875"/>
      <c r="JYD8" s="875"/>
      <c r="JYE8" s="875"/>
      <c r="JYF8" s="875"/>
      <c r="JYG8" s="875"/>
      <c r="JYH8" s="875"/>
      <c r="JYI8" s="875"/>
      <c r="JYJ8" s="875"/>
      <c r="JYK8" s="875"/>
      <c r="JYL8" s="875"/>
      <c r="JYM8" s="875"/>
      <c r="JYN8" s="875"/>
      <c r="JYO8" s="875"/>
      <c r="JYP8" s="875"/>
      <c r="JYQ8" s="875"/>
      <c r="JYR8" s="875"/>
      <c r="JYS8" s="875"/>
      <c r="JYT8" s="875"/>
      <c r="JYU8" s="875"/>
      <c r="JYV8" s="875"/>
      <c r="JYW8" s="875"/>
      <c r="JYX8" s="875"/>
      <c r="JYY8" s="875"/>
      <c r="JYZ8" s="875"/>
      <c r="JZA8" s="875"/>
      <c r="JZB8" s="875"/>
      <c r="JZC8" s="875"/>
      <c r="JZD8" s="875"/>
      <c r="JZE8" s="875"/>
      <c r="JZF8" s="875"/>
      <c r="JZG8" s="875"/>
      <c r="JZH8" s="875"/>
      <c r="JZI8" s="875"/>
      <c r="JZJ8" s="875"/>
      <c r="JZK8" s="875"/>
      <c r="JZL8" s="875"/>
      <c r="JZM8" s="875"/>
      <c r="JZN8" s="875"/>
      <c r="JZO8" s="875"/>
      <c r="JZP8" s="875"/>
      <c r="JZQ8" s="875"/>
      <c r="JZR8" s="875"/>
      <c r="JZS8" s="875"/>
      <c r="JZT8" s="875"/>
      <c r="JZU8" s="875"/>
      <c r="JZV8" s="875"/>
      <c r="JZW8" s="875"/>
      <c r="JZX8" s="875"/>
      <c r="JZY8" s="875"/>
      <c r="JZZ8" s="875"/>
      <c r="KAA8" s="875"/>
      <c r="KAB8" s="875"/>
      <c r="KAC8" s="875"/>
      <c r="KAD8" s="875"/>
      <c r="KAE8" s="875"/>
      <c r="KAF8" s="875"/>
      <c r="KAG8" s="875"/>
      <c r="KAH8" s="875"/>
      <c r="KAI8" s="875"/>
      <c r="KAJ8" s="875"/>
      <c r="KAK8" s="875"/>
      <c r="KAL8" s="875"/>
      <c r="KAM8" s="875"/>
      <c r="KAN8" s="875"/>
      <c r="KAO8" s="875"/>
      <c r="KAP8" s="875"/>
      <c r="KAQ8" s="875"/>
      <c r="KAR8" s="875"/>
      <c r="KAS8" s="875"/>
      <c r="KAT8" s="875"/>
      <c r="KAU8" s="875"/>
      <c r="KAV8" s="875"/>
      <c r="KAW8" s="875"/>
      <c r="KAX8" s="875"/>
      <c r="KAY8" s="875"/>
      <c r="KAZ8" s="875"/>
      <c r="KBA8" s="875"/>
      <c r="KBB8" s="875"/>
      <c r="KBC8" s="875"/>
      <c r="KBD8" s="875"/>
      <c r="KBE8" s="875"/>
      <c r="KBF8" s="875"/>
      <c r="KBG8" s="875"/>
      <c r="KBH8" s="875"/>
      <c r="KBI8" s="875"/>
      <c r="KBJ8" s="875"/>
      <c r="KBK8" s="875"/>
      <c r="KBL8" s="875"/>
      <c r="KBM8" s="875"/>
      <c r="KBN8" s="875"/>
      <c r="KBO8" s="875"/>
      <c r="KBP8" s="875"/>
      <c r="KBQ8" s="875"/>
      <c r="KBR8" s="875"/>
      <c r="KBS8" s="875"/>
      <c r="KBT8" s="875"/>
      <c r="KBU8" s="875"/>
      <c r="KBV8" s="875"/>
      <c r="KBW8" s="875"/>
      <c r="KBX8" s="875"/>
      <c r="KBY8" s="875"/>
      <c r="KBZ8" s="875"/>
      <c r="KCA8" s="875"/>
      <c r="KCB8" s="875"/>
      <c r="KCC8" s="875"/>
      <c r="KCD8" s="875"/>
      <c r="KCE8" s="875"/>
      <c r="KCF8" s="875"/>
      <c r="KCG8" s="875"/>
      <c r="KCH8" s="875"/>
      <c r="KCI8" s="875"/>
      <c r="KCJ8" s="875"/>
      <c r="KCK8" s="875"/>
      <c r="KCL8" s="875"/>
      <c r="KCM8" s="875"/>
      <c r="KCN8" s="875"/>
      <c r="KCO8" s="875"/>
      <c r="KCP8" s="875"/>
      <c r="KCQ8" s="875"/>
      <c r="KCR8" s="875"/>
      <c r="KCS8" s="875"/>
      <c r="KCT8" s="875"/>
      <c r="KCU8" s="875"/>
      <c r="KCV8" s="875"/>
      <c r="KCW8" s="875"/>
      <c r="KCX8" s="875"/>
      <c r="KCY8" s="875"/>
      <c r="KCZ8" s="875"/>
      <c r="KDA8" s="875"/>
      <c r="KDB8" s="875"/>
      <c r="KDC8" s="875"/>
      <c r="KDD8" s="875"/>
      <c r="KDE8" s="875"/>
      <c r="KDF8" s="875"/>
      <c r="KDG8" s="875"/>
      <c r="KDH8" s="875"/>
      <c r="KDI8" s="875"/>
      <c r="KDJ8" s="875"/>
      <c r="KDK8" s="875"/>
      <c r="KDL8" s="875"/>
      <c r="KDM8" s="875"/>
      <c r="KDN8" s="875"/>
      <c r="KDO8" s="875"/>
      <c r="KDP8" s="875"/>
      <c r="KDQ8" s="875"/>
      <c r="KDR8" s="875"/>
      <c r="KDS8" s="875"/>
      <c r="KDT8" s="875"/>
      <c r="KDU8" s="875"/>
      <c r="KDV8" s="875"/>
      <c r="KDW8" s="875"/>
      <c r="KDX8" s="875"/>
      <c r="KDY8" s="875"/>
      <c r="KDZ8" s="875"/>
      <c r="KEA8" s="875"/>
      <c r="KEB8" s="875"/>
      <c r="KEC8" s="875"/>
      <c r="KED8" s="875"/>
      <c r="KEE8" s="875"/>
      <c r="KEF8" s="875"/>
      <c r="KEG8" s="875"/>
      <c r="KEH8" s="875"/>
      <c r="KEI8" s="875"/>
      <c r="KEJ8" s="875"/>
      <c r="KEK8" s="875"/>
      <c r="KEL8" s="875"/>
      <c r="KEM8" s="875"/>
      <c r="KEN8" s="875"/>
      <c r="KEO8" s="875"/>
      <c r="KEP8" s="875"/>
      <c r="KEQ8" s="875"/>
      <c r="KER8" s="875"/>
      <c r="KES8" s="875"/>
      <c r="KET8" s="875"/>
      <c r="KEU8" s="875"/>
      <c r="KEV8" s="875"/>
      <c r="KEW8" s="875"/>
      <c r="KEX8" s="875"/>
      <c r="KEY8" s="875"/>
      <c r="KEZ8" s="875"/>
      <c r="KFA8" s="875"/>
      <c r="KFB8" s="875"/>
      <c r="KFC8" s="875"/>
      <c r="KFD8" s="875"/>
      <c r="KFE8" s="875"/>
      <c r="KFF8" s="875"/>
      <c r="KFG8" s="875"/>
      <c r="KFH8" s="875"/>
      <c r="KFI8" s="875"/>
      <c r="KFJ8" s="875"/>
      <c r="KFK8" s="875"/>
      <c r="KFL8" s="875"/>
      <c r="KFM8" s="875"/>
      <c r="KFN8" s="875"/>
      <c r="KFO8" s="875"/>
      <c r="KFP8" s="875"/>
      <c r="KFQ8" s="875"/>
      <c r="KFR8" s="875"/>
      <c r="KFS8" s="875"/>
      <c r="KFT8" s="875"/>
      <c r="KFU8" s="875"/>
      <c r="KFV8" s="875"/>
      <c r="KFW8" s="875"/>
      <c r="KFX8" s="875"/>
      <c r="KFY8" s="875"/>
      <c r="KFZ8" s="875"/>
      <c r="KGA8" s="875"/>
      <c r="KGB8" s="875"/>
      <c r="KGC8" s="875"/>
      <c r="KGD8" s="875"/>
      <c r="KGE8" s="875"/>
      <c r="KGF8" s="875"/>
      <c r="KGG8" s="875"/>
      <c r="KGH8" s="875"/>
      <c r="KGI8" s="875"/>
      <c r="KGJ8" s="875"/>
      <c r="KGK8" s="875"/>
      <c r="KGL8" s="875"/>
      <c r="KGM8" s="875"/>
      <c r="KGN8" s="875"/>
      <c r="KGO8" s="875"/>
      <c r="KGP8" s="875"/>
      <c r="KGQ8" s="875"/>
      <c r="KGR8" s="875"/>
      <c r="KGS8" s="875"/>
      <c r="KGT8" s="875"/>
      <c r="KGU8" s="875"/>
      <c r="KGV8" s="875"/>
      <c r="KGW8" s="875"/>
      <c r="KGX8" s="875"/>
      <c r="KGY8" s="875"/>
      <c r="KGZ8" s="875"/>
      <c r="KHA8" s="875"/>
      <c r="KHB8" s="875"/>
      <c r="KHC8" s="875"/>
      <c r="KHD8" s="875"/>
      <c r="KHE8" s="875"/>
      <c r="KHF8" s="875"/>
      <c r="KHG8" s="875"/>
      <c r="KHH8" s="875"/>
      <c r="KHI8" s="875"/>
      <c r="KHJ8" s="875"/>
      <c r="KHK8" s="875"/>
      <c r="KHL8" s="875"/>
      <c r="KHM8" s="875"/>
      <c r="KHN8" s="875"/>
      <c r="KHO8" s="875"/>
      <c r="KHP8" s="875"/>
      <c r="KHQ8" s="875"/>
      <c r="KHR8" s="875"/>
      <c r="KHS8" s="875"/>
      <c r="KHT8" s="875"/>
      <c r="KHU8" s="875"/>
      <c r="KHV8" s="875"/>
      <c r="KHW8" s="875"/>
      <c r="KHX8" s="875"/>
      <c r="KHY8" s="875"/>
      <c r="KHZ8" s="875"/>
      <c r="KIA8" s="875"/>
      <c r="KIB8" s="875"/>
      <c r="KIC8" s="875"/>
      <c r="KID8" s="875"/>
      <c r="KIE8" s="875"/>
      <c r="KIF8" s="875"/>
      <c r="KIG8" s="875"/>
      <c r="KIH8" s="875"/>
      <c r="KII8" s="875"/>
      <c r="KIJ8" s="875"/>
      <c r="KIK8" s="875"/>
      <c r="KIL8" s="875"/>
      <c r="KIM8" s="875"/>
      <c r="KIN8" s="875"/>
      <c r="KIO8" s="875"/>
      <c r="KIP8" s="875"/>
      <c r="KIQ8" s="875"/>
      <c r="KIR8" s="875"/>
      <c r="KIS8" s="875"/>
      <c r="KIT8" s="875"/>
      <c r="KIU8" s="875"/>
      <c r="KIV8" s="875"/>
      <c r="KIW8" s="875"/>
      <c r="KIX8" s="875"/>
      <c r="KIY8" s="875"/>
      <c r="KIZ8" s="875"/>
      <c r="KJA8" s="875"/>
      <c r="KJB8" s="875"/>
      <c r="KJC8" s="875"/>
      <c r="KJD8" s="875"/>
      <c r="KJE8" s="875"/>
      <c r="KJF8" s="875"/>
      <c r="KJG8" s="875"/>
      <c r="KJH8" s="875"/>
      <c r="KJI8" s="875"/>
      <c r="KJJ8" s="875"/>
      <c r="KJK8" s="875"/>
      <c r="KJL8" s="875"/>
      <c r="KJM8" s="875"/>
      <c r="KJN8" s="875"/>
      <c r="KJO8" s="875"/>
      <c r="KJP8" s="875"/>
      <c r="KJQ8" s="875"/>
      <c r="KJR8" s="875"/>
      <c r="KJS8" s="875"/>
      <c r="KJT8" s="875"/>
      <c r="KJU8" s="875"/>
      <c r="KJV8" s="875"/>
      <c r="KJW8" s="875"/>
      <c r="KJX8" s="875"/>
      <c r="KJY8" s="875"/>
      <c r="KJZ8" s="875"/>
      <c r="KKA8" s="875"/>
      <c r="KKB8" s="875"/>
      <c r="KKC8" s="875"/>
      <c r="KKD8" s="875"/>
      <c r="KKE8" s="875"/>
      <c r="KKF8" s="875"/>
      <c r="KKG8" s="875"/>
      <c r="KKH8" s="875"/>
      <c r="KKI8" s="875"/>
      <c r="KKJ8" s="875"/>
      <c r="KKK8" s="875"/>
      <c r="KKL8" s="875"/>
      <c r="KKM8" s="875"/>
      <c r="KKN8" s="875"/>
      <c r="KKO8" s="875"/>
      <c r="KKP8" s="875"/>
      <c r="KKQ8" s="875"/>
      <c r="KKR8" s="875"/>
      <c r="KKS8" s="875"/>
      <c r="KKT8" s="875"/>
      <c r="KKU8" s="875"/>
      <c r="KKV8" s="875"/>
      <c r="KKW8" s="875"/>
      <c r="KKX8" s="875"/>
      <c r="KKY8" s="875"/>
      <c r="KKZ8" s="875"/>
      <c r="KLA8" s="875"/>
      <c r="KLB8" s="875"/>
      <c r="KLC8" s="875"/>
      <c r="KLD8" s="875"/>
      <c r="KLE8" s="875"/>
      <c r="KLF8" s="875"/>
      <c r="KLG8" s="875"/>
      <c r="KLH8" s="875"/>
      <c r="KLI8" s="875"/>
      <c r="KLJ8" s="875"/>
      <c r="KLK8" s="875"/>
      <c r="KLL8" s="875"/>
      <c r="KLM8" s="875"/>
      <c r="KLN8" s="875"/>
      <c r="KLO8" s="875"/>
      <c r="KLP8" s="875"/>
      <c r="KLQ8" s="875"/>
      <c r="KLR8" s="875"/>
      <c r="KLS8" s="875"/>
      <c r="KLT8" s="875"/>
      <c r="KLU8" s="875"/>
      <c r="KLV8" s="875"/>
      <c r="KLW8" s="875"/>
      <c r="KLX8" s="875"/>
      <c r="KLY8" s="875"/>
      <c r="KLZ8" s="875"/>
      <c r="KMA8" s="875"/>
      <c r="KMB8" s="875"/>
      <c r="KMC8" s="875"/>
      <c r="KMD8" s="875"/>
      <c r="KME8" s="875"/>
      <c r="KMF8" s="875"/>
      <c r="KMG8" s="875"/>
      <c r="KMH8" s="875"/>
      <c r="KMI8" s="875"/>
      <c r="KMJ8" s="875"/>
      <c r="KMK8" s="875"/>
      <c r="KML8" s="875"/>
      <c r="KMM8" s="875"/>
      <c r="KMN8" s="875"/>
      <c r="KMO8" s="875"/>
      <c r="KMP8" s="875"/>
      <c r="KMQ8" s="875"/>
      <c r="KMR8" s="875"/>
      <c r="KMS8" s="875"/>
      <c r="KMT8" s="875"/>
      <c r="KMU8" s="875"/>
      <c r="KMV8" s="875"/>
      <c r="KMW8" s="875"/>
      <c r="KMX8" s="875"/>
      <c r="KMY8" s="875"/>
      <c r="KMZ8" s="875"/>
      <c r="KNA8" s="875"/>
      <c r="KNB8" s="875"/>
      <c r="KNC8" s="875"/>
      <c r="KND8" s="875"/>
      <c r="KNE8" s="875"/>
      <c r="KNF8" s="875"/>
      <c r="KNG8" s="875"/>
      <c r="KNH8" s="875"/>
      <c r="KNI8" s="875"/>
      <c r="KNJ8" s="875"/>
      <c r="KNK8" s="875"/>
      <c r="KNL8" s="875"/>
      <c r="KNM8" s="875"/>
      <c r="KNN8" s="875"/>
      <c r="KNO8" s="875"/>
      <c r="KNP8" s="875"/>
      <c r="KNQ8" s="875"/>
      <c r="KNR8" s="875"/>
      <c r="KNS8" s="875"/>
      <c r="KNT8" s="875"/>
      <c r="KNU8" s="875"/>
      <c r="KNV8" s="875"/>
      <c r="KNW8" s="875"/>
      <c r="KNX8" s="875"/>
      <c r="KNY8" s="875"/>
      <c r="KNZ8" s="875"/>
      <c r="KOA8" s="875"/>
      <c r="KOB8" s="875"/>
      <c r="KOC8" s="875"/>
      <c r="KOD8" s="875"/>
      <c r="KOE8" s="875"/>
      <c r="KOF8" s="875"/>
      <c r="KOG8" s="875"/>
      <c r="KOH8" s="875"/>
      <c r="KOI8" s="875"/>
      <c r="KOJ8" s="875"/>
      <c r="KOK8" s="875"/>
      <c r="KOL8" s="875"/>
      <c r="KOM8" s="875"/>
      <c r="KON8" s="875"/>
      <c r="KOO8" s="875"/>
      <c r="KOP8" s="875"/>
      <c r="KOQ8" s="875"/>
      <c r="KOR8" s="875"/>
      <c r="KOS8" s="875"/>
      <c r="KOT8" s="875"/>
      <c r="KOU8" s="875"/>
      <c r="KOV8" s="875"/>
      <c r="KOW8" s="875"/>
      <c r="KOX8" s="875"/>
      <c r="KOY8" s="875"/>
      <c r="KOZ8" s="875"/>
      <c r="KPA8" s="875"/>
      <c r="KPB8" s="875"/>
      <c r="KPC8" s="875"/>
      <c r="KPD8" s="875"/>
      <c r="KPE8" s="875"/>
      <c r="KPF8" s="875"/>
      <c r="KPG8" s="875"/>
      <c r="KPH8" s="875"/>
      <c r="KPI8" s="875"/>
      <c r="KPJ8" s="875"/>
      <c r="KPK8" s="875"/>
      <c r="KPL8" s="875"/>
      <c r="KPM8" s="875"/>
      <c r="KPN8" s="875"/>
      <c r="KPO8" s="875"/>
      <c r="KPP8" s="875"/>
      <c r="KPQ8" s="875"/>
      <c r="KPR8" s="875"/>
      <c r="KPS8" s="875"/>
      <c r="KPT8" s="875"/>
      <c r="KPU8" s="875"/>
      <c r="KPV8" s="875"/>
      <c r="KPW8" s="875"/>
      <c r="KPX8" s="875"/>
      <c r="KPY8" s="875"/>
      <c r="KPZ8" s="875"/>
      <c r="KQA8" s="875"/>
      <c r="KQB8" s="875"/>
      <c r="KQC8" s="875"/>
      <c r="KQD8" s="875"/>
      <c r="KQE8" s="875"/>
      <c r="KQF8" s="875"/>
      <c r="KQG8" s="875"/>
      <c r="KQH8" s="875"/>
      <c r="KQI8" s="875"/>
      <c r="KQJ8" s="875"/>
      <c r="KQK8" s="875"/>
      <c r="KQL8" s="875"/>
      <c r="KQM8" s="875"/>
      <c r="KQN8" s="875"/>
      <c r="KQO8" s="875"/>
      <c r="KQP8" s="875"/>
      <c r="KQQ8" s="875"/>
      <c r="KQR8" s="875"/>
      <c r="KQS8" s="875"/>
      <c r="KQT8" s="875"/>
      <c r="KQU8" s="875"/>
      <c r="KQV8" s="875"/>
      <c r="KQW8" s="875"/>
      <c r="KQX8" s="875"/>
      <c r="KQY8" s="875"/>
      <c r="KQZ8" s="875"/>
      <c r="KRA8" s="875"/>
      <c r="KRB8" s="875"/>
      <c r="KRC8" s="875"/>
      <c r="KRD8" s="875"/>
      <c r="KRE8" s="875"/>
      <c r="KRF8" s="875"/>
      <c r="KRG8" s="875"/>
      <c r="KRH8" s="875"/>
      <c r="KRI8" s="875"/>
      <c r="KRJ8" s="875"/>
      <c r="KRK8" s="875"/>
      <c r="KRL8" s="875"/>
      <c r="KRM8" s="875"/>
      <c r="KRN8" s="875"/>
      <c r="KRO8" s="875"/>
      <c r="KRP8" s="875"/>
      <c r="KRQ8" s="875"/>
      <c r="KRR8" s="875"/>
      <c r="KRS8" s="875"/>
      <c r="KRT8" s="875"/>
      <c r="KRU8" s="875"/>
      <c r="KRV8" s="875"/>
      <c r="KRW8" s="875"/>
      <c r="KRX8" s="875"/>
      <c r="KRY8" s="875"/>
      <c r="KRZ8" s="875"/>
      <c r="KSA8" s="875"/>
      <c r="KSB8" s="875"/>
      <c r="KSC8" s="875"/>
      <c r="KSD8" s="875"/>
      <c r="KSE8" s="875"/>
      <c r="KSF8" s="875"/>
      <c r="KSG8" s="875"/>
      <c r="KSH8" s="875"/>
      <c r="KSI8" s="875"/>
      <c r="KSJ8" s="875"/>
      <c r="KSK8" s="875"/>
      <c r="KSL8" s="875"/>
      <c r="KSM8" s="875"/>
      <c r="KSN8" s="875"/>
      <c r="KSO8" s="875"/>
      <c r="KSP8" s="875"/>
      <c r="KSQ8" s="875"/>
      <c r="KSR8" s="875"/>
      <c r="KSS8" s="875"/>
      <c r="KST8" s="875"/>
      <c r="KSU8" s="875"/>
      <c r="KSV8" s="875"/>
      <c r="KSW8" s="875"/>
      <c r="KSX8" s="875"/>
      <c r="KSY8" s="875"/>
      <c r="KSZ8" s="875"/>
      <c r="KTA8" s="875"/>
      <c r="KTB8" s="875"/>
      <c r="KTC8" s="875"/>
      <c r="KTD8" s="875"/>
      <c r="KTE8" s="875"/>
      <c r="KTF8" s="875"/>
      <c r="KTG8" s="875"/>
      <c r="KTH8" s="875"/>
      <c r="KTI8" s="875"/>
      <c r="KTJ8" s="875"/>
      <c r="KTK8" s="875"/>
      <c r="KTL8" s="875"/>
      <c r="KTM8" s="875"/>
      <c r="KTN8" s="875"/>
      <c r="KTO8" s="875"/>
      <c r="KTP8" s="875"/>
      <c r="KTQ8" s="875"/>
      <c r="KTR8" s="875"/>
      <c r="KTS8" s="875"/>
      <c r="KTT8" s="875"/>
      <c r="KTU8" s="875"/>
      <c r="KTV8" s="875"/>
      <c r="KTW8" s="875"/>
      <c r="KTX8" s="875"/>
      <c r="KTY8" s="875"/>
      <c r="KTZ8" s="875"/>
      <c r="KUA8" s="875"/>
      <c r="KUB8" s="875"/>
      <c r="KUC8" s="875"/>
      <c r="KUD8" s="875"/>
      <c r="KUE8" s="875"/>
      <c r="KUF8" s="875"/>
      <c r="KUG8" s="875"/>
      <c r="KUH8" s="875"/>
      <c r="KUI8" s="875"/>
      <c r="KUJ8" s="875"/>
      <c r="KUK8" s="875"/>
      <c r="KUL8" s="875"/>
      <c r="KUM8" s="875"/>
      <c r="KUN8" s="875"/>
      <c r="KUO8" s="875"/>
      <c r="KUP8" s="875"/>
      <c r="KUQ8" s="875"/>
      <c r="KUR8" s="875"/>
      <c r="KUS8" s="875"/>
      <c r="KUT8" s="875"/>
      <c r="KUU8" s="875"/>
      <c r="KUV8" s="875"/>
      <c r="KUW8" s="875"/>
      <c r="KUX8" s="875"/>
      <c r="KUY8" s="875"/>
      <c r="KUZ8" s="875"/>
      <c r="KVA8" s="875"/>
      <c r="KVB8" s="875"/>
      <c r="KVC8" s="875"/>
      <c r="KVD8" s="875"/>
      <c r="KVE8" s="875"/>
      <c r="KVF8" s="875"/>
      <c r="KVG8" s="875"/>
      <c r="KVH8" s="875"/>
      <c r="KVI8" s="875"/>
      <c r="KVJ8" s="875"/>
      <c r="KVK8" s="875"/>
      <c r="KVL8" s="875"/>
      <c r="KVM8" s="875"/>
      <c r="KVN8" s="875"/>
      <c r="KVO8" s="875"/>
      <c r="KVP8" s="875"/>
      <c r="KVQ8" s="875"/>
      <c r="KVR8" s="875"/>
      <c r="KVS8" s="875"/>
      <c r="KVT8" s="875"/>
      <c r="KVU8" s="875"/>
      <c r="KVV8" s="875"/>
      <c r="KVW8" s="875"/>
      <c r="KVX8" s="875"/>
      <c r="KVY8" s="875"/>
      <c r="KVZ8" s="875"/>
      <c r="KWA8" s="875"/>
      <c r="KWB8" s="875"/>
      <c r="KWC8" s="875"/>
      <c r="KWD8" s="875"/>
      <c r="KWE8" s="875"/>
      <c r="KWF8" s="875"/>
      <c r="KWG8" s="875"/>
      <c r="KWH8" s="875"/>
      <c r="KWI8" s="875"/>
      <c r="KWJ8" s="875"/>
      <c r="KWK8" s="875"/>
      <c r="KWL8" s="875"/>
      <c r="KWM8" s="875"/>
      <c r="KWN8" s="875"/>
      <c r="KWO8" s="875"/>
      <c r="KWP8" s="875"/>
      <c r="KWQ8" s="875"/>
      <c r="KWR8" s="875"/>
      <c r="KWS8" s="875"/>
      <c r="KWT8" s="875"/>
      <c r="KWU8" s="875"/>
      <c r="KWV8" s="875"/>
      <c r="KWW8" s="875"/>
      <c r="KWX8" s="875"/>
      <c r="KWY8" s="875"/>
      <c r="KWZ8" s="875"/>
      <c r="KXA8" s="875"/>
      <c r="KXB8" s="875"/>
      <c r="KXC8" s="875"/>
      <c r="KXD8" s="875"/>
      <c r="KXE8" s="875"/>
      <c r="KXF8" s="875"/>
      <c r="KXG8" s="875"/>
      <c r="KXH8" s="875"/>
      <c r="KXI8" s="875"/>
      <c r="KXJ8" s="875"/>
      <c r="KXK8" s="875"/>
      <c r="KXL8" s="875"/>
      <c r="KXM8" s="875"/>
      <c r="KXN8" s="875"/>
      <c r="KXO8" s="875"/>
      <c r="KXP8" s="875"/>
      <c r="KXQ8" s="875"/>
      <c r="KXR8" s="875"/>
      <c r="KXS8" s="875"/>
      <c r="KXT8" s="875"/>
      <c r="KXU8" s="875"/>
      <c r="KXV8" s="875"/>
      <c r="KXW8" s="875"/>
      <c r="KXX8" s="875"/>
      <c r="KXY8" s="875"/>
      <c r="KXZ8" s="875"/>
      <c r="KYA8" s="875"/>
      <c r="KYB8" s="875"/>
      <c r="KYC8" s="875"/>
      <c r="KYD8" s="875"/>
      <c r="KYE8" s="875"/>
      <c r="KYF8" s="875"/>
      <c r="KYG8" s="875"/>
      <c r="KYH8" s="875"/>
      <c r="KYI8" s="875"/>
      <c r="KYJ8" s="875"/>
      <c r="KYK8" s="875"/>
      <c r="KYL8" s="875"/>
      <c r="KYM8" s="875"/>
      <c r="KYN8" s="875"/>
      <c r="KYO8" s="875"/>
      <c r="KYP8" s="875"/>
      <c r="KYQ8" s="875"/>
      <c r="KYR8" s="875"/>
      <c r="KYS8" s="875"/>
      <c r="KYT8" s="875"/>
      <c r="KYU8" s="875"/>
      <c r="KYV8" s="875"/>
      <c r="KYW8" s="875"/>
      <c r="KYX8" s="875"/>
      <c r="KYY8" s="875"/>
      <c r="KYZ8" s="875"/>
      <c r="KZA8" s="875"/>
      <c r="KZB8" s="875"/>
      <c r="KZC8" s="875"/>
      <c r="KZD8" s="875"/>
      <c r="KZE8" s="875"/>
      <c r="KZF8" s="875"/>
      <c r="KZG8" s="875"/>
      <c r="KZH8" s="875"/>
      <c r="KZI8" s="875"/>
      <c r="KZJ8" s="875"/>
      <c r="KZK8" s="875"/>
      <c r="KZL8" s="875"/>
      <c r="KZM8" s="875"/>
      <c r="KZN8" s="875"/>
      <c r="KZO8" s="875"/>
      <c r="KZP8" s="875"/>
      <c r="KZQ8" s="875"/>
      <c r="KZR8" s="875"/>
      <c r="KZS8" s="875"/>
      <c r="KZT8" s="875"/>
      <c r="KZU8" s="875"/>
      <c r="KZV8" s="875"/>
      <c r="KZW8" s="875"/>
      <c r="KZX8" s="875"/>
      <c r="KZY8" s="875"/>
      <c r="KZZ8" s="875"/>
      <c r="LAA8" s="875"/>
      <c r="LAB8" s="875"/>
      <c r="LAC8" s="875"/>
      <c r="LAD8" s="875"/>
      <c r="LAE8" s="875"/>
      <c r="LAF8" s="875"/>
      <c r="LAG8" s="875"/>
      <c r="LAH8" s="875"/>
      <c r="LAI8" s="875"/>
      <c r="LAJ8" s="875"/>
      <c r="LAK8" s="875"/>
      <c r="LAL8" s="875"/>
      <c r="LAM8" s="875"/>
      <c r="LAN8" s="875"/>
      <c r="LAO8" s="875"/>
      <c r="LAP8" s="875"/>
      <c r="LAQ8" s="875"/>
      <c r="LAR8" s="875"/>
      <c r="LAS8" s="875"/>
      <c r="LAT8" s="875"/>
      <c r="LAU8" s="875"/>
      <c r="LAV8" s="875"/>
      <c r="LAW8" s="875"/>
      <c r="LAX8" s="875"/>
      <c r="LAY8" s="875"/>
      <c r="LAZ8" s="875"/>
      <c r="LBA8" s="875"/>
      <c r="LBB8" s="875"/>
      <c r="LBC8" s="875"/>
      <c r="LBD8" s="875"/>
      <c r="LBE8" s="875"/>
      <c r="LBF8" s="875"/>
      <c r="LBG8" s="875"/>
      <c r="LBH8" s="875"/>
      <c r="LBI8" s="875"/>
      <c r="LBJ8" s="875"/>
      <c r="LBK8" s="875"/>
      <c r="LBL8" s="875"/>
      <c r="LBM8" s="875"/>
      <c r="LBN8" s="875"/>
      <c r="LBO8" s="875"/>
      <c r="LBP8" s="875"/>
      <c r="LBQ8" s="875"/>
      <c r="LBR8" s="875"/>
      <c r="LBS8" s="875"/>
      <c r="LBT8" s="875"/>
      <c r="LBU8" s="875"/>
      <c r="LBV8" s="875"/>
      <c r="LBW8" s="875"/>
      <c r="LBX8" s="875"/>
      <c r="LBY8" s="875"/>
      <c r="LBZ8" s="875"/>
      <c r="LCA8" s="875"/>
      <c r="LCB8" s="875"/>
      <c r="LCC8" s="875"/>
      <c r="LCD8" s="875"/>
      <c r="LCE8" s="875"/>
      <c r="LCF8" s="875"/>
      <c r="LCG8" s="875"/>
      <c r="LCH8" s="875"/>
      <c r="LCI8" s="875"/>
      <c r="LCJ8" s="875"/>
      <c r="LCK8" s="875"/>
      <c r="LCL8" s="875"/>
      <c r="LCM8" s="875"/>
      <c r="LCN8" s="875"/>
      <c r="LCO8" s="875"/>
      <c r="LCP8" s="875"/>
      <c r="LCQ8" s="875"/>
      <c r="LCR8" s="875"/>
      <c r="LCS8" s="875"/>
      <c r="LCT8" s="875"/>
      <c r="LCU8" s="875"/>
      <c r="LCV8" s="875"/>
      <c r="LCW8" s="875"/>
      <c r="LCX8" s="875"/>
      <c r="LCY8" s="875"/>
      <c r="LCZ8" s="875"/>
      <c r="LDA8" s="875"/>
      <c r="LDB8" s="875"/>
      <c r="LDC8" s="875"/>
      <c r="LDD8" s="875"/>
      <c r="LDE8" s="875"/>
      <c r="LDF8" s="875"/>
      <c r="LDG8" s="875"/>
      <c r="LDH8" s="875"/>
      <c r="LDI8" s="875"/>
      <c r="LDJ8" s="875"/>
      <c r="LDK8" s="875"/>
      <c r="LDL8" s="875"/>
      <c r="LDM8" s="875"/>
      <c r="LDN8" s="875"/>
      <c r="LDO8" s="875"/>
      <c r="LDP8" s="875"/>
      <c r="LDQ8" s="875"/>
      <c r="LDR8" s="875"/>
      <c r="LDS8" s="875"/>
      <c r="LDT8" s="875"/>
      <c r="LDU8" s="875"/>
      <c r="LDV8" s="875"/>
      <c r="LDW8" s="875"/>
      <c r="LDX8" s="875"/>
      <c r="LDY8" s="875"/>
      <c r="LDZ8" s="875"/>
      <c r="LEA8" s="875"/>
      <c r="LEB8" s="875"/>
      <c r="LEC8" s="875"/>
      <c r="LED8" s="875"/>
      <c r="LEE8" s="875"/>
      <c r="LEF8" s="875"/>
      <c r="LEG8" s="875"/>
      <c r="LEH8" s="875"/>
      <c r="LEI8" s="875"/>
      <c r="LEJ8" s="875"/>
      <c r="LEK8" s="875"/>
      <c r="LEL8" s="875"/>
      <c r="LEM8" s="875"/>
      <c r="LEN8" s="875"/>
      <c r="LEO8" s="875"/>
      <c r="LEP8" s="875"/>
      <c r="LEQ8" s="875"/>
      <c r="LER8" s="875"/>
      <c r="LES8" s="875"/>
      <c r="LET8" s="875"/>
      <c r="LEU8" s="875"/>
      <c r="LEV8" s="875"/>
      <c r="LEW8" s="875"/>
      <c r="LEX8" s="875"/>
      <c r="LEY8" s="875"/>
      <c r="LEZ8" s="875"/>
      <c r="LFA8" s="875"/>
      <c r="LFB8" s="875"/>
      <c r="LFC8" s="875"/>
      <c r="LFD8" s="875"/>
      <c r="LFE8" s="875"/>
      <c r="LFF8" s="875"/>
      <c r="LFG8" s="875"/>
      <c r="LFH8" s="875"/>
      <c r="LFI8" s="875"/>
      <c r="LFJ8" s="875"/>
      <c r="LFK8" s="875"/>
      <c r="LFL8" s="875"/>
      <c r="LFM8" s="875"/>
      <c r="LFN8" s="875"/>
      <c r="LFO8" s="875"/>
      <c r="LFP8" s="875"/>
      <c r="LFQ8" s="875"/>
      <c r="LFR8" s="875"/>
      <c r="LFS8" s="875"/>
      <c r="LFT8" s="875"/>
      <c r="LFU8" s="875"/>
      <c r="LFV8" s="875"/>
      <c r="LFW8" s="875"/>
      <c r="LFX8" s="875"/>
      <c r="LFY8" s="875"/>
      <c r="LFZ8" s="875"/>
      <c r="LGA8" s="875"/>
      <c r="LGB8" s="875"/>
      <c r="LGC8" s="875"/>
      <c r="LGD8" s="875"/>
      <c r="LGE8" s="875"/>
      <c r="LGF8" s="875"/>
      <c r="LGG8" s="875"/>
      <c r="LGH8" s="875"/>
      <c r="LGI8" s="875"/>
      <c r="LGJ8" s="875"/>
      <c r="LGK8" s="875"/>
      <c r="LGL8" s="875"/>
      <c r="LGM8" s="875"/>
      <c r="LGN8" s="875"/>
      <c r="LGO8" s="875"/>
      <c r="LGP8" s="875"/>
      <c r="LGQ8" s="875"/>
      <c r="LGR8" s="875"/>
      <c r="LGS8" s="875"/>
      <c r="LGT8" s="875"/>
      <c r="LGU8" s="875"/>
      <c r="LGV8" s="875"/>
      <c r="LGW8" s="875"/>
      <c r="LGX8" s="875"/>
      <c r="LGY8" s="875"/>
      <c r="LGZ8" s="875"/>
      <c r="LHA8" s="875"/>
      <c r="LHB8" s="875"/>
      <c r="LHC8" s="875"/>
      <c r="LHD8" s="875"/>
      <c r="LHE8" s="875"/>
      <c r="LHF8" s="875"/>
      <c r="LHG8" s="875"/>
      <c r="LHH8" s="875"/>
      <c r="LHI8" s="875"/>
      <c r="LHJ8" s="875"/>
      <c r="LHK8" s="875"/>
      <c r="LHL8" s="875"/>
      <c r="LHM8" s="875"/>
      <c r="LHN8" s="875"/>
      <c r="LHO8" s="875"/>
      <c r="LHP8" s="875"/>
      <c r="LHQ8" s="875"/>
      <c r="LHR8" s="875"/>
      <c r="LHS8" s="875"/>
      <c r="LHT8" s="875"/>
      <c r="LHU8" s="875"/>
      <c r="LHV8" s="875"/>
      <c r="LHW8" s="875"/>
      <c r="LHX8" s="875"/>
      <c r="LHY8" s="875"/>
      <c r="LHZ8" s="875"/>
      <c r="LIA8" s="875"/>
      <c r="LIB8" s="875"/>
      <c r="LIC8" s="875"/>
      <c r="LID8" s="875"/>
      <c r="LIE8" s="875"/>
      <c r="LIF8" s="875"/>
      <c r="LIG8" s="875"/>
      <c r="LIH8" s="875"/>
      <c r="LII8" s="875"/>
      <c r="LIJ8" s="875"/>
      <c r="LIK8" s="875"/>
      <c r="LIL8" s="875"/>
      <c r="LIM8" s="875"/>
      <c r="LIN8" s="875"/>
      <c r="LIO8" s="875"/>
      <c r="LIP8" s="875"/>
      <c r="LIQ8" s="875"/>
      <c r="LIR8" s="875"/>
      <c r="LIS8" s="875"/>
      <c r="LIT8" s="875"/>
      <c r="LIU8" s="875"/>
      <c r="LIV8" s="875"/>
      <c r="LIW8" s="875"/>
      <c r="LIX8" s="875"/>
      <c r="LIY8" s="875"/>
      <c r="LIZ8" s="875"/>
      <c r="LJA8" s="875"/>
      <c r="LJB8" s="875"/>
      <c r="LJC8" s="875"/>
      <c r="LJD8" s="875"/>
      <c r="LJE8" s="875"/>
      <c r="LJF8" s="875"/>
      <c r="LJG8" s="875"/>
      <c r="LJH8" s="875"/>
      <c r="LJI8" s="875"/>
      <c r="LJJ8" s="875"/>
      <c r="LJK8" s="875"/>
      <c r="LJL8" s="875"/>
      <c r="LJM8" s="875"/>
      <c r="LJN8" s="875"/>
      <c r="LJO8" s="875"/>
      <c r="LJP8" s="875"/>
      <c r="LJQ8" s="875"/>
      <c r="LJR8" s="875"/>
      <c r="LJS8" s="875"/>
      <c r="LJT8" s="875"/>
      <c r="LJU8" s="875"/>
      <c r="LJV8" s="875"/>
      <c r="LJW8" s="875"/>
      <c r="LJX8" s="875"/>
      <c r="LJY8" s="875"/>
      <c r="LJZ8" s="875"/>
      <c r="LKA8" s="875"/>
      <c r="LKB8" s="875"/>
      <c r="LKC8" s="875"/>
      <c r="LKD8" s="875"/>
      <c r="LKE8" s="875"/>
      <c r="LKF8" s="875"/>
      <c r="LKG8" s="875"/>
      <c r="LKH8" s="875"/>
      <c r="LKI8" s="875"/>
      <c r="LKJ8" s="875"/>
      <c r="LKK8" s="875"/>
      <c r="LKL8" s="875"/>
      <c r="LKM8" s="875"/>
      <c r="LKN8" s="875"/>
      <c r="LKO8" s="875"/>
      <c r="LKP8" s="875"/>
      <c r="LKQ8" s="875"/>
      <c r="LKR8" s="875"/>
      <c r="LKS8" s="875"/>
      <c r="LKT8" s="875"/>
      <c r="LKU8" s="875"/>
      <c r="LKV8" s="875"/>
      <c r="LKW8" s="875"/>
      <c r="LKX8" s="875"/>
      <c r="LKY8" s="875"/>
      <c r="LKZ8" s="875"/>
      <c r="LLA8" s="875"/>
      <c r="LLB8" s="875"/>
      <c r="LLC8" s="875"/>
      <c r="LLD8" s="875"/>
      <c r="LLE8" s="875"/>
      <c r="LLF8" s="875"/>
      <c r="LLG8" s="875"/>
      <c r="LLH8" s="875"/>
      <c r="LLI8" s="875"/>
      <c r="LLJ8" s="875"/>
      <c r="LLK8" s="875"/>
      <c r="LLL8" s="875"/>
      <c r="LLM8" s="875"/>
      <c r="LLN8" s="875"/>
      <c r="LLO8" s="875"/>
      <c r="LLP8" s="875"/>
      <c r="LLQ8" s="875"/>
      <c r="LLR8" s="875"/>
      <c r="LLS8" s="875"/>
      <c r="LLT8" s="875"/>
      <c r="LLU8" s="875"/>
      <c r="LLV8" s="875"/>
      <c r="LLW8" s="875"/>
      <c r="LLX8" s="875"/>
      <c r="LLY8" s="875"/>
      <c r="LLZ8" s="875"/>
      <c r="LMA8" s="875"/>
      <c r="LMB8" s="875"/>
      <c r="LMC8" s="875"/>
      <c r="LMD8" s="875"/>
      <c r="LME8" s="875"/>
      <c r="LMF8" s="875"/>
      <c r="LMG8" s="875"/>
      <c r="LMH8" s="875"/>
      <c r="LMI8" s="875"/>
      <c r="LMJ8" s="875"/>
      <c r="LMK8" s="875"/>
      <c r="LML8" s="875"/>
      <c r="LMM8" s="875"/>
      <c r="LMN8" s="875"/>
      <c r="LMO8" s="875"/>
      <c r="LMP8" s="875"/>
      <c r="LMQ8" s="875"/>
      <c r="LMR8" s="875"/>
      <c r="LMS8" s="875"/>
      <c r="LMT8" s="875"/>
      <c r="LMU8" s="875"/>
      <c r="LMV8" s="875"/>
      <c r="LMW8" s="875"/>
      <c r="LMX8" s="875"/>
      <c r="LMY8" s="875"/>
      <c r="LMZ8" s="875"/>
      <c r="LNA8" s="875"/>
      <c r="LNB8" s="875"/>
      <c r="LNC8" s="875"/>
      <c r="LND8" s="875"/>
      <c r="LNE8" s="875"/>
      <c r="LNF8" s="875"/>
      <c r="LNG8" s="875"/>
      <c r="LNH8" s="875"/>
      <c r="LNI8" s="875"/>
      <c r="LNJ8" s="875"/>
      <c r="LNK8" s="875"/>
      <c r="LNL8" s="875"/>
      <c r="LNM8" s="875"/>
      <c r="LNN8" s="875"/>
      <c r="LNO8" s="875"/>
      <c r="LNP8" s="875"/>
      <c r="LNQ8" s="875"/>
      <c r="LNR8" s="875"/>
      <c r="LNS8" s="875"/>
      <c r="LNT8" s="875"/>
      <c r="LNU8" s="875"/>
      <c r="LNV8" s="875"/>
      <c r="LNW8" s="875"/>
      <c r="LNX8" s="875"/>
      <c r="LNY8" s="875"/>
      <c r="LNZ8" s="875"/>
      <c r="LOA8" s="875"/>
      <c r="LOB8" s="875"/>
      <c r="LOC8" s="875"/>
      <c r="LOD8" s="875"/>
      <c r="LOE8" s="875"/>
      <c r="LOF8" s="875"/>
      <c r="LOG8" s="875"/>
      <c r="LOH8" s="875"/>
      <c r="LOI8" s="875"/>
      <c r="LOJ8" s="875"/>
      <c r="LOK8" s="875"/>
      <c r="LOL8" s="875"/>
      <c r="LOM8" s="875"/>
      <c r="LON8" s="875"/>
      <c r="LOO8" s="875"/>
      <c r="LOP8" s="875"/>
      <c r="LOQ8" s="875"/>
      <c r="LOR8" s="875"/>
      <c r="LOS8" s="875"/>
      <c r="LOT8" s="875"/>
      <c r="LOU8" s="875"/>
      <c r="LOV8" s="875"/>
      <c r="LOW8" s="875"/>
      <c r="LOX8" s="875"/>
      <c r="LOY8" s="875"/>
      <c r="LOZ8" s="875"/>
      <c r="LPA8" s="875"/>
      <c r="LPB8" s="875"/>
      <c r="LPC8" s="875"/>
      <c r="LPD8" s="875"/>
      <c r="LPE8" s="875"/>
      <c r="LPF8" s="875"/>
      <c r="LPG8" s="875"/>
      <c r="LPH8" s="875"/>
      <c r="LPI8" s="875"/>
      <c r="LPJ8" s="875"/>
      <c r="LPK8" s="875"/>
      <c r="LPL8" s="875"/>
      <c r="LPM8" s="875"/>
      <c r="LPN8" s="875"/>
      <c r="LPO8" s="875"/>
      <c r="LPP8" s="875"/>
      <c r="LPQ8" s="875"/>
      <c r="LPR8" s="875"/>
      <c r="LPS8" s="875"/>
      <c r="LPT8" s="875"/>
      <c r="LPU8" s="875"/>
      <c r="LPV8" s="875"/>
      <c r="LPW8" s="875"/>
      <c r="LPX8" s="875"/>
      <c r="LPY8" s="875"/>
      <c r="LPZ8" s="875"/>
      <c r="LQA8" s="875"/>
      <c r="LQB8" s="875"/>
      <c r="LQC8" s="875"/>
      <c r="LQD8" s="875"/>
      <c r="LQE8" s="875"/>
      <c r="LQF8" s="875"/>
      <c r="LQG8" s="875"/>
      <c r="LQH8" s="875"/>
      <c r="LQI8" s="875"/>
      <c r="LQJ8" s="875"/>
      <c r="LQK8" s="875"/>
      <c r="LQL8" s="875"/>
      <c r="LQM8" s="875"/>
      <c r="LQN8" s="875"/>
      <c r="LQO8" s="875"/>
      <c r="LQP8" s="875"/>
      <c r="LQQ8" s="875"/>
      <c r="LQR8" s="875"/>
      <c r="LQS8" s="875"/>
      <c r="LQT8" s="875"/>
      <c r="LQU8" s="875"/>
      <c r="LQV8" s="875"/>
      <c r="LQW8" s="875"/>
      <c r="LQX8" s="875"/>
      <c r="LQY8" s="875"/>
      <c r="LQZ8" s="875"/>
      <c r="LRA8" s="875"/>
      <c r="LRB8" s="875"/>
      <c r="LRC8" s="875"/>
      <c r="LRD8" s="875"/>
      <c r="LRE8" s="875"/>
      <c r="LRF8" s="875"/>
      <c r="LRG8" s="875"/>
      <c r="LRH8" s="875"/>
      <c r="LRI8" s="875"/>
      <c r="LRJ8" s="875"/>
      <c r="LRK8" s="875"/>
      <c r="LRL8" s="875"/>
      <c r="LRM8" s="875"/>
      <c r="LRN8" s="875"/>
      <c r="LRO8" s="875"/>
      <c r="LRP8" s="875"/>
      <c r="LRQ8" s="875"/>
      <c r="LRR8" s="875"/>
      <c r="LRS8" s="875"/>
      <c r="LRT8" s="875"/>
      <c r="LRU8" s="875"/>
      <c r="LRV8" s="875"/>
      <c r="LRW8" s="875"/>
      <c r="LRX8" s="875"/>
      <c r="LRY8" s="875"/>
      <c r="LRZ8" s="875"/>
      <c r="LSA8" s="875"/>
      <c r="LSB8" s="875"/>
      <c r="LSC8" s="875"/>
      <c r="LSD8" s="875"/>
      <c r="LSE8" s="875"/>
      <c r="LSF8" s="875"/>
      <c r="LSG8" s="875"/>
      <c r="LSH8" s="875"/>
      <c r="LSI8" s="875"/>
      <c r="LSJ8" s="875"/>
      <c r="LSK8" s="875"/>
      <c r="LSL8" s="875"/>
      <c r="LSM8" s="875"/>
      <c r="LSN8" s="875"/>
      <c r="LSO8" s="875"/>
      <c r="LSP8" s="875"/>
      <c r="LSQ8" s="875"/>
      <c r="LSR8" s="875"/>
      <c r="LSS8" s="875"/>
      <c r="LST8" s="875"/>
      <c r="LSU8" s="875"/>
      <c r="LSV8" s="875"/>
      <c r="LSW8" s="875"/>
      <c r="LSX8" s="875"/>
      <c r="LSY8" s="875"/>
      <c r="LSZ8" s="875"/>
      <c r="LTA8" s="875"/>
      <c r="LTB8" s="875"/>
      <c r="LTC8" s="875"/>
      <c r="LTD8" s="875"/>
      <c r="LTE8" s="875"/>
      <c r="LTF8" s="875"/>
      <c r="LTG8" s="875"/>
      <c r="LTH8" s="875"/>
      <c r="LTI8" s="875"/>
      <c r="LTJ8" s="875"/>
      <c r="LTK8" s="875"/>
      <c r="LTL8" s="875"/>
      <c r="LTM8" s="875"/>
      <c r="LTN8" s="875"/>
      <c r="LTO8" s="875"/>
      <c r="LTP8" s="875"/>
      <c r="LTQ8" s="875"/>
      <c r="LTR8" s="875"/>
      <c r="LTS8" s="875"/>
      <c r="LTT8" s="875"/>
      <c r="LTU8" s="875"/>
      <c r="LTV8" s="875"/>
      <c r="LTW8" s="875"/>
      <c r="LTX8" s="875"/>
      <c r="LTY8" s="875"/>
      <c r="LTZ8" s="875"/>
      <c r="LUA8" s="875"/>
      <c r="LUB8" s="875"/>
      <c r="LUC8" s="875"/>
      <c r="LUD8" s="875"/>
      <c r="LUE8" s="875"/>
      <c r="LUF8" s="875"/>
      <c r="LUG8" s="875"/>
      <c r="LUH8" s="875"/>
      <c r="LUI8" s="875"/>
      <c r="LUJ8" s="875"/>
      <c r="LUK8" s="875"/>
      <c r="LUL8" s="875"/>
      <c r="LUM8" s="875"/>
      <c r="LUN8" s="875"/>
      <c r="LUO8" s="875"/>
      <c r="LUP8" s="875"/>
      <c r="LUQ8" s="875"/>
      <c r="LUR8" s="875"/>
      <c r="LUS8" s="875"/>
      <c r="LUT8" s="875"/>
      <c r="LUU8" s="875"/>
      <c r="LUV8" s="875"/>
      <c r="LUW8" s="875"/>
      <c r="LUX8" s="875"/>
      <c r="LUY8" s="875"/>
      <c r="LUZ8" s="875"/>
      <c r="LVA8" s="875"/>
      <c r="LVB8" s="875"/>
      <c r="LVC8" s="875"/>
      <c r="LVD8" s="875"/>
      <c r="LVE8" s="875"/>
      <c r="LVF8" s="875"/>
      <c r="LVG8" s="875"/>
      <c r="LVH8" s="875"/>
      <c r="LVI8" s="875"/>
      <c r="LVJ8" s="875"/>
      <c r="LVK8" s="875"/>
      <c r="LVL8" s="875"/>
      <c r="LVM8" s="875"/>
      <c r="LVN8" s="875"/>
      <c r="LVO8" s="875"/>
      <c r="LVP8" s="875"/>
      <c r="LVQ8" s="875"/>
      <c r="LVR8" s="875"/>
      <c r="LVS8" s="875"/>
      <c r="LVT8" s="875"/>
      <c r="LVU8" s="875"/>
      <c r="LVV8" s="875"/>
      <c r="LVW8" s="875"/>
      <c r="LVX8" s="875"/>
      <c r="LVY8" s="875"/>
      <c r="LVZ8" s="875"/>
      <c r="LWA8" s="875"/>
      <c r="LWB8" s="875"/>
      <c r="LWC8" s="875"/>
      <c r="LWD8" s="875"/>
      <c r="LWE8" s="875"/>
      <c r="LWF8" s="875"/>
      <c r="LWG8" s="875"/>
      <c r="LWH8" s="875"/>
      <c r="LWI8" s="875"/>
      <c r="LWJ8" s="875"/>
      <c r="LWK8" s="875"/>
      <c r="LWL8" s="875"/>
      <c r="LWM8" s="875"/>
      <c r="LWN8" s="875"/>
      <c r="LWO8" s="875"/>
      <c r="LWP8" s="875"/>
      <c r="LWQ8" s="875"/>
      <c r="LWR8" s="875"/>
      <c r="LWS8" s="875"/>
      <c r="LWT8" s="875"/>
      <c r="LWU8" s="875"/>
      <c r="LWV8" s="875"/>
      <c r="LWW8" s="875"/>
      <c r="LWX8" s="875"/>
      <c r="LWY8" s="875"/>
      <c r="LWZ8" s="875"/>
      <c r="LXA8" s="875"/>
      <c r="LXB8" s="875"/>
      <c r="LXC8" s="875"/>
      <c r="LXD8" s="875"/>
      <c r="LXE8" s="875"/>
      <c r="LXF8" s="875"/>
      <c r="LXG8" s="875"/>
      <c r="LXH8" s="875"/>
      <c r="LXI8" s="875"/>
      <c r="LXJ8" s="875"/>
      <c r="LXK8" s="875"/>
      <c r="LXL8" s="875"/>
      <c r="LXM8" s="875"/>
      <c r="LXN8" s="875"/>
      <c r="LXO8" s="875"/>
      <c r="LXP8" s="875"/>
      <c r="LXQ8" s="875"/>
      <c r="LXR8" s="875"/>
      <c r="LXS8" s="875"/>
      <c r="LXT8" s="875"/>
      <c r="LXU8" s="875"/>
      <c r="LXV8" s="875"/>
      <c r="LXW8" s="875"/>
      <c r="LXX8" s="875"/>
      <c r="LXY8" s="875"/>
      <c r="LXZ8" s="875"/>
      <c r="LYA8" s="875"/>
      <c r="LYB8" s="875"/>
      <c r="LYC8" s="875"/>
      <c r="LYD8" s="875"/>
      <c r="LYE8" s="875"/>
      <c r="LYF8" s="875"/>
      <c r="LYG8" s="875"/>
      <c r="LYH8" s="875"/>
      <c r="LYI8" s="875"/>
      <c r="LYJ8" s="875"/>
      <c r="LYK8" s="875"/>
      <c r="LYL8" s="875"/>
      <c r="LYM8" s="875"/>
      <c r="LYN8" s="875"/>
      <c r="LYO8" s="875"/>
      <c r="LYP8" s="875"/>
      <c r="LYQ8" s="875"/>
      <c r="LYR8" s="875"/>
      <c r="LYS8" s="875"/>
      <c r="LYT8" s="875"/>
      <c r="LYU8" s="875"/>
      <c r="LYV8" s="875"/>
      <c r="LYW8" s="875"/>
      <c r="LYX8" s="875"/>
      <c r="LYY8" s="875"/>
      <c r="LYZ8" s="875"/>
      <c r="LZA8" s="875"/>
      <c r="LZB8" s="875"/>
      <c r="LZC8" s="875"/>
      <c r="LZD8" s="875"/>
      <c r="LZE8" s="875"/>
      <c r="LZF8" s="875"/>
      <c r="LZG8" s="875"/>
      <c r="LZH8" s="875"/>
      <c r="LZI8" s="875"/>
      <c r="LZJ8" s="875"/>
      <c r="LZK8" s="875"/>
      <c r="LZL8" s="875"/>
      <c r="LZM8" s="875"/>
      <c r="LZN8" s="875"/>
      <c r="LZO8" s="875"/>
      <c r="LZP8" s="875"/>
      <c r="LZQ8" s="875"/>
      <c r="LZR8" s="875"/>
      <c r="LZS8" s="875"/>
      <c r="LZT8" s="875"/>
      <c r="LZU8" s="875"/>
      <c r="LZV8" s="875"/>
      <c r="LZW8" s="875"/>
      <c r="LZX8" s="875"/>
      <c r="LZY8" s="875"/>
      <c r="LZZ8" s="875"/>
      <c r="MAA8" s="875"/>
      <c r="MAB8" s="875"/>
      <c r="MAC8" s="875"/>
      <c r="MAD8" s="875"/>
      <c r="MAE8" s="875"/>
      <c r="MAF8" s="875"/>
      <c r="MAG8" s="875"/>
      <c r="MAH8" s="875"/>
      <c r="MAI8" s="875"/>
      <c r="MAJ8" s="875"/>
      <c r="MAK8" s="875"/>
      <c r="MAL8" s="875"/>
      <c r="MAM8" s="875"/>
      <c r="MAN8" s="875"/>
      <c r="MAO8" s="875"/>
      <c r="MAP8" s="875"/>
      <c r="MAQ8" s="875"/>
      <c r="MAR8" s="875"/>
      <c r="MAS8" s="875"/>
      <c r="MAT8" s="875"/>
      <c r="MAU8" s="875"/>
      <c r="MAV8" s="875"/>
      <c r="MAW8" s="875"/>
      <c r="MAX8" s="875"/>
      <c r="MAY8" s="875"/>
      <c r="MAZ8" s="875"/>
      <c r="MBA8" s="875"/>
      <c r="MBB8" s="875"/>
      <c r="MBC8" s="875"/>
      <c r="MBD8" s="875"/>
      <c r="MBE8" s="875"/>
      <c r="MBF8" s="875"/>
      <c r="MBG8" s="875"/>
      <c r="MBH8" s="875"/>
      <c r="MBI8" s="875"/>
      <c r="MBJ8" s="875"/>
      <c r="MBK8" s="875"/>
      <c r="MBL8" s="875"/>
      <c r="MBM8" s="875"/>
      <c r="MBN8" s="875"/>
      <c r="MBO8" s="875"/>
      <c r="MBP8" s="875"/>
      <c r="MBQ8" s="875"/>
      <c r="MBR8" s="875"/>
      <c r="MBS8" s="875"/>
      <c r="MBT8" s="875"/>
      <c r="MBU8" s="875"/>
      <c r="MBV8" s="875"/>
      <c r="MBW8" s="875"/>
      <c r="MBX8" s="875"/>
      <c r="MBY8" s="875"/>
      <c r="MBZ8" s="875"/>
      <c r="MCA8" s="875"/>
      <c r="MCB8" s="875"/>
      <c r="MCC8" s="875"/>
      <c r="MCD8" s="875"/>
      <c r="MCE8" s="875"/>
      <c r="MCF8" s="875"/>
      <c r="MCG8" s="875"/>
      <c r="MCH8" s="875"/>
      <c r="MCI8" s="875"/>
      <c r="MCJ8" s="875"/>
      <c r="MCK8" s="875"/>
      <c r="MCL8" s="875"/>
      <c r="MCM8" s="875"/>
      <c r="MCN8" s="875"/>
      <c r="MCO8" s="875"/>
      <c r="MCP8" s="875"/>
      <c r="MCQ8" s="875"/>
      <c r="MCR8" s="875"/>
      <c r="MCS8" s="875"/>
      <c r="MCT8" s="875"/>
      <c r="MCU8" s="875"/>
      <c r="MCV8" s="875"/>
      <c r="MCW8" s="875"/>
      <c r="MCX8" s="875"/>
      <c r="MCY8" s="875"/>
      <c r="MCZ8" s="875"/>
      <c r="MDA8" s="875"/>
      <c r="MDB8" s="875"/>
      <c r="MDC8" s="875"/>
      <c r="MDD8" s="875"/>
      <c r="MDE8" s="875"/>
      <c r="MDF8" s="875"/>
      <c r="MDG8" s="875"/>
      <c r="MDH8" s="875"/>
      <c r="MDI8" s="875"/>
      <c r="MDJ8" s="875"/>
      <c r="MDK8" s="875"/>
      <c r="MDL8" s="875"/>
      <c r="MDM8" s="875"/>
      <c r="MDN8" s="875"/>
      <c r="MDO8" s="875"/>
      <c r="MDP8" s="875"/>
      <c r="MDQ8" s="875"/>
      <c r="MDR8" s="875"/>
      <c r="MDS8" s="875"/>
      <c r="MDT8" s="875"/>
      <c r="MDU8" s="875"/>
      <c r="MDV8" s="875"/>
      <c r="MDW8" s="875"/>
      <c r="MDX8" s="875"/>
      <c r="MDY8" s="875"/>
      <c r="MDZ8" s="875"/>
      <c r="MEA8" s="875"/>
      <c r="MEB8" s="875"/>
      <c r="MEC8" s="875"/>
      <c r="MED8" s="875"/>
      <c r="MEE8" s="875"/>
      <c r="MEF8" s="875"/>
      <c r="MEG8" s="875"/>
      <c r="MEH8" s="875"/>
      <c r="MEI8" s="875"/>
      <c r="MEJ8" s="875"/>
      <c r="MEK8" s="875"/>
      <c r="MEL8" s="875"/>
      <c r="MEM8" s="875"/>
      <c r="MEN8" s="875"/>
      <c r="MEO8" s="875"/>
      <c r="MEP8" s="875"/>
      <c r="MEQ8" s="875"/>
      <c r="MER8" s="875"/>
      <c r="MES8" s="875"/>
      <c r="MET8" s="875"/>
      <c r="MEU8" s="875"/>
      <c r="MEV8" s="875"/>
      <c r="MEW8" s="875"/>
      <c r="MEX8" s="875"/>
      <c r="MEY8" s="875"/>
      <c r="MEZ8" s="875"/>
      <c r="MFA8" s="875"/>
      <c r="MFB8" s="875"/>
      <c r="MFC8" s="875"/>
      <c r="MFD8" s="875"/>
      <c r="MFE8" s="875"/>
      <c r="MFF8" s="875"/>
      <c r="MFG8" s="875"/>
      <c r="MFH8" s="875"/>
      <c r="MFI8" s="875"/>
      <c r="MFJ8" s="875"/>
      <c r="MFK8" s="875"/>
      <c r="MFL8" s="875"/>
      <c r="MFM8" s="875"/>
      <c r="MFN8" s="875"/>
      <c r="MFO8" s="875"/>
      <c r="MFP8" s="875"/>
      <c r="MFQ8" s="875"/>
      <c r="MFR8" s="875"/>
      <c r="MFS8" s="875"/>
      <c r="MFT8" s="875"/>
      <c r="MFU8" s="875"/>
      <c r="MFV8" s="875"/>
      <c r="MFW8" s="875"/>
      <c r="MFX8" s="875"/>
      <c r="MFY8" s="875"/>
      <c r="MFZ8" s="875"/>
      <c r="MGA8" s="875"/>
      <c r="MGB8" s="875"/>
      <c r="MGC8" s="875"/>
      <c r="MGD8" s="875"/>
      <c r="MGE8" s="875"/>
      <c r="MGF8" s="875"/>
      <c r="MGG8" s="875"/>
      <c r="MGH8" s="875"/>
      <c r="MGI8" s="875"/>
      <c r="MGJ8" s="875"/>
      <c r="MGK8" s="875"/>
      <c r="MGL8" s="875"/>
      <c r="MGM8" s="875"/>
      <c r="MGN8" s="875"/>
      <c r="MGO8" s="875"/>
      <c r="MGP8" s="875"/>
      <c r="MGQ8" s="875"/>
      <c r="MGR8" s="875"/>
      <c r="MGS8" s="875"/>
      <c r="MGT8" s="875"/>
      <c r="MGU8" s="875"/>
      <c r="MGV8" s="875"/>
      <c r="MGW8" s="875"/>
      <c r="MGX8" s="875"/>
      <c r="MGY8" s="875"/>
      <c r="MGZ8" s="875"/>
      <c r="MHA8" s="875"/>
      <c r="MHB8" s="875"/>
      <c r="MHC8" s="875"/>
      <c r="MHD8" s="875"/>
      <c r="MHE8" s="875"/>
      <c r="MHF8" s="875"/>
      <c r="MHG8" s="875"/>
      <c r="MHH8" s="875"/>
      <c r="MHI8" s="875"/>
      <c r="MHJ8" s="875"/>
      <c r="MHK8" s="875"/>
      <c r="MHL8" s="875"/>
      <c r="MHM8" s="875"/>
      <c r="MHN8" s="875"/>
      <c r="MHO8" s="875"/>
      <c r="MHP8" s="875"/>
      <c r="MHQ8" s="875"/>
      <c r="MHR8" s="875"/>
      <c r="MHS8" s="875"/>
      <c r="MHT8" s="875"/>
      <c r="MHU8" s="875"/>
      <c r="MHV8" s="875"/>
      <c r="MHW8" s="875"/>
      <c r="MHX8" s="875"/>
      <c r="MHY8" s="875"/>
      <c r="MHZ8" s="875"/>
      <c r="MIA8" s="875"/>
      <c r="MIB8" s="875"/>
      <c r="MIC8" s="875"/>
      <c r="MID8" s="875"/>
      <c r="MIE8" s="875"/>
      <c r="MIF8" s="875"/>
      <c r="MIG8" s="875"/>
      <c r="MIH8" s="875"/>
      <c r="MII8" s="875"/>
      <c r="MIJ8" s="875"/>
      <c r="MIK8" s="875"/>
      <c r="MIL8" s="875"/>
      <c r="MIM8" s="875"/>
      <c r="MIN8" s="875"/>
      <c r="MIO8" s="875"/>
      <c r="MIP8" s="875"/>
      <c r="MIQ8" s="875"/>
      <c r="MIR8" s="875"/>
      <c r="MIS8" s="875"/>
      <c r="MIT8" s="875"/>
      <c r="MIU8" s="875"/>
      <c r="MIV8" s="875"/>
      <c r="MIW8" s="875"/>
      <c r="MIX8" s="875"/>
      <c r="MIY8" s="875"/>
      <c r="MIZ8" s="875"/>
      <c r="MJA8" s="875"/>
      <c r="MJB8" s="875"/>
      <c r="MJC8" s="875"/>
      <c r="MJD8" s="875"/>
      <c r="MJE8" s="875"/>
      <c r="MJF8" s="875"/>
      <c r="MJG8" s="875"/>
      <c r="MJH8" s="875"/>
      <c r="MJI8" s="875"/>
      <c r="MJJ8" s="875"/>
      <c r="MJK8" s="875"/>
      <c r="MJL8" s="875"/>
      <c r="MJM8" s="875"/>
      <c r="MJN8" s="875"/>
      <c r="MJO8" s="875"/>
      <c r="MJP8" s="875"/>
      <c r="MJQ8" s="875"/>
      <c r="MJR8" s="875"/>
      <c r="MJS8" s="875"/>
      <c r="MJT8" s="875"/>
      <c r="MJU8" s="875"/>
      <c r="MJV8" s="875"/>
      <c r="MJW8" s="875"/>
      <c r="MJX8" s="875"/>
      <c r="MJY8" s="875"/>
      <c r="MJZ8" s="875"/>
      <c r="MKA8" s="875"/>
      <c r="MKB8" s="875"/>
      <c r="MKC8" s="875"/>
      <c r="MKD8" s="875"/>
      <c r="MKE8" s="875"/>
      <c r="MKF8" s="875"/>
      <c r="MKG8" s="875"/>
      <c r="MKH8" s="875"/>
      <c r="MKI8" s="875"/>
      <c r="MKJ8" s="875"/>
      <c r="MKK8" s="875"/>
      <c r="MKL8" s="875"/>
      <c r="MKM8" s="875"/>
      <c r="MKN8" s="875"/>
      <c r="MKO8" s="875"/>
      <c r="MKP8" s="875"/>
      <c r="MKQ8" s="875"/>
      <c r="MKR8" s="875"/>
      <c r="MKS8" s="875"/>
      <c r="MKT8" s="875"/>
      <c r="MKU8" s="875"/>
      <c r="MKV8" s="875"/>
      <c r="MKW8" s="875"/>
      <c r="MKX8" s="875"/>
      <c r="MKY8" s="875"/>
      <c r="MKZ8" s="875"/>
      <c r="MLA8" s="875"/>
      <c r="MLB8" s="875"/>
      <c r="MLC8" s="875"/>
      <c r="MLD8" s="875"/>
      <c r="MLE8" s="875"/>
      <c r="MLF8" s="875"/>
      <c r="MLG8" s="875"/>
      <c r="MLH8" s="875"/>
      <c r="MLI8" s="875"/>
      <c r="MLJ8" s="875"/>
      <c r="MLK8" s="875"/>
      <c r="MLL8" s="875"/>
      <c r="MLM8" s="875"/>
      <c r="MLN8" s="875"/>
      <c r="MLO8" s="875"/>
      <c r="MLP8" s="875"/>
      <c r="MLQ8" s="875"/>
      <c r="MLR8" s="875"/>
      <c r="MLS8" s="875"/>
      <c r="MLT8" s="875"/>
      <c r="MLU8" s="875"/>
      <c r="MLV8" s="875"/>
      <c r="MLW8" s="875"/>
      <c r="MLX8" s="875"/>
      <c r="MLY8" s="875"/>
      <c r="MLZ8" s="875"/>
      <c r="MMA8" s="875"/>
      <c r="MMB8" s="875"/>
      <c r="MMC8" s="875"/>
      <c r="MMD8" s="875"/>
      <c r="MME8" s="875"/>
      <c r="MMF8" s="875"/>
      <c r="MMG8" s="875"/>
      <c r="MMH8" s="875"/>
      <c r="MMI8" s="875"/>
      <c r="MMJ8" s="875"/>
      <c r="MMK8" s="875"/>
      <c r="MML8" s="875"/>
      <c r="MMM8" s="875"/>
      <c r="MMN8" s="875"/>
      <c r="MMO8" s="875"/>
      <c r="MMP8" s="875"/>
      <c r="MMQ8" s="875"/>
      <c r="MMR8" s="875"/>
      <c r="MMS8" s="875"/>
      <c r="MMT8" s="875"/>
      <c r="MMU8" s="875"/>
      <c r="MMV8" s="875"/>
      <c r="MMW8" s="875"/>
      <c r="MMX8" s="875"/>
      <c r="MMY8" s="875"/>
      <c r="MMZ8" s="875"/>
      <c r="MNA8" s="875"/>
      <c r="MNB8" s="875"/>
      <c r="MNC8" s="875"/>
      <c r="MND8" s="875"/>
      <c r="MNE8" s="875"/>
      <c r="MNF8" s="875"/>
      <c r="MNG8" s="875"/>
      <c r="MNH8" s="875"/>
      <c r="MNI8" s="875"/>
      <c r="MNJ8" s="875"/>
      <c r="MNK8" s="875"/>
      <c r="MNL8" s="875"/>
      <c r="MNM8" s="875"/>
      <c r="MNN8" s="875"/>
      <c r="MNO8" s="875"/>
      <c r="MNP8" s="875"/>
      <c r="MNQ8" s="875"/>
      <c r="MNR8" s="875"/>
      <c r="MNS8" s="875"/>
      <c r="MNT8" s="875"/>
      <c r="MNU8" s="875"/>
      <c r="MNV8" s="875"/>
      <c r="MNW8" s="875"/>
      <c r="MNX8" s="875"/>
      <c r="MNY8" s="875"/>
      <c r="MNZ8" s="875"/>
      <c r="MOA8" s="875"/>
      <c r="MOB8" s="875"/>
      <c r="MOC8" s="875"/>
      <c r="MOD8" s="875"/>
      <c r="MOE8" s="875"/>
      <c r="MOF8" s="875"/>
      <c r="MOG8" s="875"/>
      <c r="MOH8" s="875"/>
      <c r="MOI8" s="875"/>
      <c r="MOJ8" s="875"/>
      <c r="MOK8" s="875"/>
      <c r="MOL8" s="875"/>
      <c r="MOM8" s="875"/>
      <c r="MON8" s="875"/>
      <c r="MOO8" s="875"/>
      <c r="MOP8" s="875"/>
      <c r="MOQ8" s="875"/>
      <c r="MOR8" s="875"/>
      <c r="MOS8" s="875"/>
      <c r="MOT8" s="875"/>
      <c r="MOU8" s="875"/>
      <c r="MOV8" s="875"/>
      <c r="MOW8" s="875"/>
      <c r="MOX8" s="875"/>
      <c r="MOY8" s="875"/>
      <c r="MOZ8" s="875"/>
      <c r="MPA8" s="875"/>
      <c r="MPB8" s="875"/>
      <c r="MPC8" s="875"/>
      <c r="MPD8" s="875"/>
      <c r="MPE8" s="875"/>
      <c r="MPF8" s="875"/>
      <c r="MPG8" s="875"/>
      <c r="MPH8" s="875"/>
      <c r="MPI8" s="875"/>
      <c r="MPJ8" s="875"/>
      <c r="MPK8" s="875"/>
      <c r="MPL8" s="875"/>
      <c r="MPM8" s="875"/>
      <c r="MPN8" s="875"/>
      <c r="MPO8" s="875"/>
      <c r="MPP8" s="875"/>
      <c r="MPQ8" s="875"/>
      <c r="MPR8" s="875"/>
      <c r="MPS8" s="875"/>
      <c r="MPT8" s="875"/>
      <c r="MPU8" s="875"/>
      <c r="MPV8" s="875"/>
      <c r="MPW8" s="875"/>
      <c r="MPX8" s="875"/>
      <c r="MPY8" s="875"/>
      <c r="MPZ8" s="875"/>
      <c r="MQA8" s="875"/>
      <c r="MQB8" s="875"/>
      <c r="MQC8" s="875"/>
      <c r="MQD8" s="875"/>
      <c r="MQE8" s="875"/>
      <c r="MQF8" s="875"/>
      <c r="MQG8" s="875"/>
      <c r="MQH8" s="875"/>
      <c r="MQI8" s="875"/>
      <c r="MQJ8" s="875"/>
      <c r="MQK8" s="875"/>
      <c r="MQL8" s="875"/>
      <c r="MQM8" s="875"/>
      <c r="MQN8" s="875"/>
      <c r="MQO8" s="875"/>
      <c r="MQP8" s="875"/>
      <c r="MQQ8" s="875"/>
      <c r="MQR8" s="875"/>
      <c r="MQS8" s="875"/>
      <c r="MQT8" s="875"/>
      <c r="MQU8" s="875"/>
      <c r="MQV8" s="875"/>
      <c r="MQW8" s="875"/>
      <c r="MQX8" s="875"/>
      <c r="MQY8" s="875"/>
      <c r="MQZ8" s="875"/>
      <c r="MRA8" s="875"/>
      <c r="MRB8" s="875"/>
      <c r="MRC8" s="875"/>
      <c r="MRD8" s="875"/>
      <c r="MRE8" s="875"/>
      <c r="MRF8" s="875"/>
      <c r="MRG8" s="875"/>
      <c r="MRH8" s="875"/>
      <c r="MRI8" s="875"/>
      <c r="MRJ8" s="875"/>
      <c r="MRK8" s="875"/>
      <c r="MRL8" s="875"/>
      <c r="MRM8" s="875"/>
      <c r="MRN8" s="875"/>
      <c r="MRO8" s="875"/>
      <c r="MRP8" s="875"/>
      <c r="MRQ8" s="875"/>
      <c r="MRR8" s="875"/>
      <c r="MRS8" s="875"/>
      <c r="MRT8" s="875"/>
      <c r="MRU8" s="875"/>
      <c r="MRV8" s="875"/>
      <c r="MRW8" s="875"/>
      <c r="MRX8" s="875"/>
      <c r="MRY8" s="875"/>
      <c r="MRZ8" s="875"/>
      <c r="MSA8" s="875"/>
      <c r="MSB8" s="875"/>
      <c r="MSC8" s="875"/>
      <c r="MSD8" s="875"/>
      <c r="MSE8" s="875"/>
      <c r="MSF8" s="875"/>
      <c r="MSG8" s="875"/>
      <c r="MSH8" s="875"/>
      <c r="MSI8" s="875"/>
      <c r="MSJ8" s="875"/>
      <c r="MSK8" s="875"/>
      <c r="MSL8" s="875"/>
      <c r="MSM8" s="875"/>
      <c r="MSN8" s="875"/>
      <c r="MSO8" s="875"/>
      <c r="MSP8" s="875"/>
      <c r="MSQ8" s="875"/>
      <c r="MSR8" s="875"/>
      <c r="MSS8" s="875"/>
      <c r="MST8" s="875"/>
      <c r="MSU8" s="875"/>
      <c r="MSV8" s="875"/>
      <c r="MSW8" s="875"/>
      <c r="MSX8" s="875"/>
      <c r="MSY8" s="875"/>
      <c r="MSZ8" s="875"/>
      <c r="MTA8" s="875"/>
      <c r="MTB8" s="875"/>
      <c r="MTC8" s="875"/>
      <c r="MTD8" s="875"/>
      <c r="MTE8" s="875"/>
      <c r="MTF8" s="875"/>
      <c r="MTG8" s="875"/>
      <c r="MTH8" s="875"/>
      <c r="MTI8" s="875"/>
      <c r="MTJ8" s="875"/>
      <c r="MTK8" s="875"/>
      <c r="MTL8" s="875"/>
      <c r="MTM8" s="875"/>
      <c r="MTN8" s="875"/>
      <c r="MTO8" s="875"/>
      <c r="MTP8" s="875"/>
      <c r="MTQ8" s="875"/>
      <c r="MTR8" s="875"/>
      <c r="MTS8" s="875"/>
      <c r="MTT8" s="875"/>
      <c r="MTU8" s="875"/>
      <c r="MTV8" s="875"/>
      <c r="MTW8" s="875"/>
      <c r="MTX8" s="875"/>
      <c r="MTY8" s="875"/>
      <c r="MTZ8" s="875"/>
      <c r="MUA8" s="875"/>
      <c r="MUB8" s="875"/>
      <c r="MUC8" s="875"/>
      <c r="MUD8" s="875"/>
      <c r="MUE8" s="875"/>
      <c r="MUF8" s="875"/>
      <c r="MUG8" s="875"/>
      <c r="MUH8" s="875"/>
      <c r="MUI8" s="875"/>
      <c r="MUJ8" s="875"/>
      <c r="MUK8" s="875"/>
      <c r="MUL8" s="875"/>
      <c r="MUM8" s="875"/>
      <c r="MUN8" s="875"/>
      <c r="MUO8" s="875"/>
      <c r="MUP8" s="875"/>
      <c r="MUQ8" s="875"/>
      <c r="MUR8" s="875"/>
      <c r="MUS8" s="875"/>
      <c r="MUT8" s="875"/>
      <c r="MUU8" s="875"/>
      <c r="MUV8" s="875"/>
      <c r="MUW8" s="875"/>
      <c r="MUX8" s="875"/>
      <c r="MUY8" s="875"/>
      <c r="MUZ8" s="875"/>
      <c r="MVA8" s="875"/>
      <c r="MVB8" s="875"/>
      <c r="MVC8" s="875"/>
      <c r="MVD8" s="875"/>
      <c r="MVE8" s="875"/>
      <c r="MVF8" s="875"/>
      <c r="MVG8" s="875"/>
      <c r="MVH8" s="875"/>
      <c r="MVI8" s="875"/>
      <c r="MVJ8" s="875"/>
      <c r="MVK8" s="875"/>
      <c r="MVL8" s="875"/>
      <c r="MVM8" s="875"/>
      <c r="MVN8" s="875"/>
      <c r="MVO8" s="875"/>
      <c r="MVP8" s="875"/>
      <c r="MVQ8" s="875"/>
      <c r="MVR8" s="875"/>
      <c r="MVS8" s="875"/>
      <c r="MVT8" s="875"/>
      <c r="MVU8" s="875"/>
      <c r="MVV8" s="875"/>
      <c r="MVW8" s="875"/>
      <c r="MVX8" s="875"/>
      <c r="MVY8" s="875"/>
      <c r="MVZ8" s="875"/>
      <c r="MWA8" s="875"/>
      <c r="MWB8" s="875"/>
      <c r="MWC8" s="875"/>
      <c r="MWD8" s="875"/>
      <c r="MWE8" s="875"/>
      <c r="MWF8" s="875"/>
      <c r="MWG8" s="875"/>
      <c r="MWH8" s="875"/>
      <c r="MWI8" s="875"/>
      <c r="MWJ8" s="875"/>
      <c r="MWK8" s="875"/>
      <c r="MWL8" s="875"/>
      <c r="MWM8" s="875"/>
      <c r="MWN8" s="875"/>
      <c r="MWO8" s="875"/>
      <c r="MWP8" s="875"/>
      <c r="MWQ8" s="875"/>
      <c r="MWR8" s="875"/>
      <c r="MWS8" s="875"/>
      <c r="MWT8" s="875"/>
      <c r="MWU8" s="875"/>
      <c r="MWV8" s="875"/>
      <c r="MWW8" s="875"/>
      <c r="MWX8" s="875"/>
      <c r="MWY8" s="875"/>
      <c r="MWZ8" s="875"/>
      <c r="MXA8" s="875"/>
      <c r="MXB8" s="875"/>
      <c r="MXC8" s="875"/>
      <c r="MXD8" s="875"/>
      <c r="MXE8" s="875"/>
      <c r="MXF8" s="875"/>
      <c r="MXG8" s="875"/>
      <c r="MXH8" s="875"/>
      <c r="MXI8" s="875"/>
      <c r="MXJ8" s="875"/>
      <c r="MXK8" s="875"/>
      <c r="MXL8" s="875"/>
      <c r="MXM8" s="875"/>
      <c r="MXN8" s="875"/>
      <c r="MXO8" s="875"/>
      <c r="MXP8" s="875"/>
      <c r="MXQ8" s="875"/>
      <c r="MXR8" s="875"/>
      <c r="MXS8" s="875"/>
      <c r="MXT8" s="875"/>
      <c r="MXU8" s="875"/>
      <c r="MXV8" s="875"/>
      <c r="MXW8" s="875"/>
      <c r="MXX8" s="875"/>
      <c r="MXY8" s="875"/>
      <c r="MXZ8" s="875"/>
      <c r="MYA8" s="875"/>
      <c r="MYB8" s="875"/>
      <c r="MYC8" s="875"/>
      <c r="MYD8" s="875"/>
      <c r="MYE8" s="875"/>
      <c r="MYF8" s="875"/>
      <c r="MYG8" s="875"/>
      <c r="MYH8" s="875"/>
      <c r="MYI8" s="875"/>
      <c r="MYJ8" s="875"/>
      <c r="MYK8" s="875"/>
      <c r="MYL8" s="875"/>
      <c r="MYM8" s="875"/>
      <c r="MYN8" s="875"/>
      <c r="MYO8" s="875"/>
      <c r="MYP8" s="875"/>
      <c r="MYQ8" s="875"/>
      <c r="MYR8" s="875"/>
      <c r="MYS8" s="875"/>
      <c r="MYT8" s="875"/>
      <c r="MYU8" s="875"/>
      <c r="MYV8" s="875"/>
      <c r="MYW8" s="875"/>
      <c r="MYX8" s="875"/>
      <c r="MYY8" s="875"/>
      <c r="MYZ8" s="875"/>
      <c r="MZA8" s="875"/>
      <c r="MZB8" s="875"/>
      <c r="MZC8" s="875"/>
      <c r="MZD8" s="875"/>
      <c r="MZE8" s="875"/>
      <c r="MZF8" s="875"/>
      <c r="MZG8" s="875"/>
      <c r="MZH8" s="875"/>
      <c r="MZI8" s="875"/>
      <c r="MZJ8" s="875"/>
      <c r="MZK8" s="875"/>
      <c r="MZL8" s="875"/>
      <c r="MZM8" s="875"/>
      <c r="MZN8" s="875"/>
      <c r="MZO8" s="875"/>
      <c r="MZP8" s="875"/>
      <c r="MZQ8" s="875"/>
      <c r="MZR8" s="875"/>
      <c r="MZS8" s="875"/>
      <c r="MZT8" s="875"/>
      <c r="MZU8" s="875"/>
      <c r="MZV8" s="875"/>
      <c r="MZW8" s="875"/>
      <c r="MZX8" s="875"/>
      <c r="MZY8" s="875"/>
      <c r="MZZ8" s="875"/>
      <c r="NAA8" s="875"/>
      <c r="NAB8" s="875"/>
      <c r="NAC8" s="875"/>
      <c r="NAD8" s="875"/>
      <c r="NAE8" s="875"/>
      <c r="NAF8" s="875"/>
      <c r="NAG8" s="875"/>
      <c r="NAH8" s="875"/>
      <c r="NAI8" s="875"/>
      <c r="NAJ8" s="875"/>
      <c r="NAK8" s="875"/>
      <c r="NAL8" s="875"/>
      <c r="NAM8" s="875"/>
      <c r="NAN8" s="875"/>
      <c r="NAO8" s="875"/>
      <c r="NAP8" s="875"/>
      <c r="NAQ8" s="875"/>
      <c r="NAR8" s="875"/>
      <c r="NAS8" s="875"/>
      <c r="NAT8" s="875"/>
      <c r="NAU8" s="875"/>
      <c r="NAV8" s="875"/>
      <c r="NAW8" s="875"/>
      <c r="NAX8" s="875"/>
      <c r="NAY8" s="875"/>
      <c r="NAZ8" s="875"/>
      <c r="NBA8" s="875"/>
      <c r="NBB8" s="875"/>
      <c r="NBC8" s="875"/>
      <c r="NBD8" s="875"/>
      <c r="NBE8" s="875"/>
      <c r="NBF8" s="875"/>
      <c r="NBG8" s="875"/>
      <c r="NBH8" s="875"/>
      <c r="NBI8" s="875"/>
      <c r="NBJ8" s="875"/>
      <c r="NBK8" s="875"/>
      <c r="NBL8" s="875"/>
      <c r="NBM8" s="875"/>
      <c r="NBN8" s="875"/>
      <c r="NBO8" s="875"/>
      <c r="NBP8" s="875"/>
      <c r="NBQ8" s="875"/>
      <c r="NBR8" s="875"/>
      <c r="NBS8" s="875"/>
      <c r="NBT8" s="875"/>
      <c r="NBU8" s="875"/>
      <c r="NBV8" s="875"/>
      <c r="NBW8" s="875"/>
      <c r="NBX8" s="875"/>
      <c r="NBY8" s="875"/>
      <c r="NBZ8" s="875"/>
      <c r="NCA8" s="875"/>
      <c r="NCB8" s="875"/>
      <c r="NCC8" s="875"/>
      <c r="NCD8" s="875"/>
      <c r="NCE8" s="875"/>
      <c r="NCF8" s="875"/>
      <c r="NCG8" s="875"/>
      <c r="NCH8" s="875"/>
      <c r="NCI8" s="875"/>
      <c r="NCJ8" s="875"/>
      <c r="NCK8" s="875"/>
      <c r="NCL8" s="875"/>
      <c r="NCM8" s="875"/>
      <c r="NCN8" s="875"/>
      <c r="NCO8" s="875"/>
      <c r="NCP8" s="875"/>
      <c r="NCQ8" s="875"/>
      <c r="NCR8" s="875"/>
      <c r="NCS8" s="875"/>
      <c r="NCT8" s="875"/>
      <c r="NCU8" s="875"/>
      <c r="NCV8" s="875"/>
      <c r="NCW8" s="875"/>
      <c r="NCX8" s="875"/>
      <c r="NCY8" s="875"/>
      <c r="NCZ8" s="875"/>
      <c r="NDA8" s="875"/>
      <c r="NDB8" s="875"/>
      <c r="NDC8" s="875"/>
      <c r="NDD8" s="875"/>
      <c r="NDE8" s="875"/>
      <c r="NDF8" s="875"/>
      <c r="NDG8" s="875"/>
      <c r="NDH8" s="875"/>
      <c r="NDI8" s="875"/>
      <c r="NDJ8" s="875"/>
      <c r="NDK8" s="875"/>
      <c r="NDL8" s="875"/>
      <c r="NDM8" s="875"/>
      <c r="NDN8" s="875"/>
      <c r="NDO8" s="875"/>
      <c r="NDP8" s="875"/>
      <c r="NDQ8" s="875"/>
      <c r="NDR8" s="875"/>
      <c r="NDS8" s="875"/>
      <c r="NDT8" s="875"/>
      <c r="NDU8" s="875"/>
      <c r="NDV8" s="875"/>
      <c r="NDW8" s="875"/>
      <c r="NDX8" s="875"/>
      <c r="NDY8" s="875"/>
      <c r="NDZ8" s="875"/>
      <c r="NEA8" s="875"/>
      <c r="NEB8" s="875"/>
      <c r="NEC8" s="875"/>
      <c r="NED8" s="875"/>
      <c r="NEE8" s="875"/>
      <c r="NEF8" s="875"/>
      <c r="NEG8" s="875"/>
      <c r="NEH8" s="875"/>
      <c r="NEI8" s="875"/>
      <c r="NEJ8" s="875"/>
      <c r="NEK8" s="875"/>
      <c r="NEL8" s="875"/>
      <c r="NEM8" s="875"/>
      <c r="NEN8" s="875"/>
      <c r="NEO8" s="875"/>
      <c r="NEP8" s="875"/>
      <c r="NEQ8" s="875"/>
      <c r="NER8" s="875"/>
      <c r="NES8" s="875"/>
      <c r="NET8" s="875"/>
      <c r="NEU8" s="875"/>
      <c r="NEV8" s="875"/>
      <c r="NEW8" s="875"/>
      <c r="NEX8" s="875"/>
      <c r="NEY8" s="875"/>
      <c r="NEZ8" s="875"/>
      <c r="NFA8" s="875"/>
      <c r="NFB8" s="875"/>
      <c r="NFC8" s="875"/>
      <c r="NFD8" s="875"/>
      <c r="NFE8" s="875"/>
      <c r="NFF8" s="875"/>
      <c r="NFG8" s="875"/>
      <c r="NFH8" s="875"/>
      <c r="NFI8" s="875"/>
      <c r="NFJ8" s="875"/>
      <c r="NFK8" s="875"/>
      <c r="NFL8" s="875"/>
      <c r="NFM8" s="875"/>
      <c r="NFN8" s="875"/>
      <c r="NFO8" s="875"/>
      <c r="NFP8" s="875"/>
      <c r="NFQ8" s="875"/>
      <c r="NFR8" s="875"/>
      <c r="NFS8" s="875"/>
      <c r="NFT8" s="875"/>
      <c r="NFU8" s="875"/>
      <c r="NFV8" s="875"/>
      <c r="NFW8" s="875"/>
      <c r="NFX8" s="875"/>
      <c r="NFY8" s="875"/>
      <c r="NFZ8" s="875"/>
      <c r="NGA8" s="875"/>
      <c r="NGB8" s="875"/>
      <c r="NGC8" s="875"/>
      <c r="NGD8" s="875"/>
      <c r="NGE8" s="875"/>
      <c r="NGF8" s="875"/>
      <c r="NGG8" s="875"/>
      <c r="NGH8" s="875"/>
      <c r="NGI8" s="875"/>
      <c r="NGJ8" s="875"/>
      <c r="NGK8" s="875"/>
      <c r="NGL8" s="875"/>
      <c r="NGM8" s="875"/>
      <c r="NGN8" s="875"/>
      <c r="NGO8" s="875"/>
      <c r="NGP8" s="875"/>
      <c r="NGQ8" s="875"/>
      <c r="NGR8" s="875"/>
      <c r="NGS8" s="875"/>
      <c r="NGT8" s="875"/>
      <c r="NGU8" s="875"/>
      <c r="NGV8" s="875"/>
      <c r="NGW8" s="875"/>
      <c r="NGX8" s="875"/>
      <c r="NGY8" s="875"/>
      <c r="NGZ8" s="875"/>
      <c r="NHA8" s="875"/>
      <c r="NHB8" s="875"/>
      <c r="NHC8" s="875"/>
      <c r="NHD8" s="875"/>
      <c r="NHE8" s="875"/>
      <c r="NHF8" s="875"/>
      <c r="NHG8" s="875"/>
      <c r="NHH8" s="875"/>
      <c r="NHI8" s="875"/>
      <c r="NHJ8" s="875"/>
      <c r="NHK8" s="875"/>
      <c r="NHL8" s="875"/>
      <c r="NHM8" s="875"/>
      <c r="NHN8" s="875"/>
      <c r="NHO8" s="875"/>
      <c r="NHP8" s="875"/>
      <c r="NHQ8" s="875"/>
      <c r="NHR8" s="875"/>
      <c r="NHS8" s="875"/>
      <c r="NHT8" s="875"/>
      <c r="NHU8" s="875"/>
      <c r="NHV8" s="875"/>
      <c r="NHW8" s="875"/>
      <c r="NHX8" s="875"/>
      <c r="NHY8" s="875"/>
      <c r="NHZ8" s="875"/>
      <c r="NIA8" s="875"/>
      <c r="NIB8" s="875"/>
      <c r="NIC8" s="875"/>
      <c r="NID8" s="875"/>
      <c r="NIE8" s="875"/>
      <c r="NIF8" s="875"/>
      <c r="NIG8" s="875"/>
      <c r="NIH8" s="875"/>
      <c r="NII8" s="875"/>
      <c r="NIJ8" s="875"/>
      <c r="NIK8" s="875"/>
      <c r="NIL8" s="875"/>
      <c r="NIM8" s="875"/>
      <c r="NIN8" s="875"/>
      <c r="NIO8" s="875"/>
      <c r="NIP8" s="875"/>
      <c r="NIQ8" s="875"/>
      <c r="NIR8" s="875"/>
      <c r="NIS8" s="875"/>
      <c r="NIT8" s="875"/>
      <c r="NIU8" s="875"/>
      <c r="NIV8" s="875"/>
      <c r="NIW8" s="875"/>
      <c r="NIX8" s="875"/>
      <c r="NIY8" s="875"/>
      <c r="NIZ8" s="875"/>
      <c r="NJA8" s="875"/>
      <c r="NJB8" s="875"/>
      <c r="NJC8" s="875"/>
      <c r="NJD8" s="875"/>
      <c r="NJE8" s="875"/>
      <c r="NJF8" s="875"/>
      <c r="NJG8" s="875"/>
      <c r="NJH8" s="875"/>
      <c r="NJI8" s="875"/>
      <c r="NJJ8" s="875"/>
      <c r="NJK8" s="875"/>
      <c r="NJL8" s="875"/>
      <c r="NJM8" s="875"/>
      <c r="NJN8" s="875"/>
      <c r="NJO8" s="875"/>
      <c r="NJP8" s="875"/>
      <c r="NJQ8" s="875"/>
      <c r="NJR8" s="875"/>
      <c r="NJS8" s="875"/>
      <c r="NJT8" s="875"/>
      <c r="NJU8" s="875"/>
      <c r="NJV8" s="875"/>
      <c r="NJW8" s="875"/>
      <c r="NJX8" s="875"/>
      <c r="NJY8" s="875"/>
      <c r="NJZ8" s="875"/>
      <c r="NKA8" s="875"/>
      <c r="NKB8" s="875"/>
      <c r="NKC8" s="875"/>
      <c r="NKD8" s="875"/>
      <c r="NKE8" s="875"/>
      <c r="NKF8" s="875"/>
      <c r="NKG8" s="875"/>
      <c r="NKH8" s="875"/>
      <c r="NKI8" s="875"/>
      <c r="NKJ8" s="875"/>
      <c r="NKK8" s="875"/>
      <c r="NKL8" s="875"/>
      <c r="NKM8" s="875"/>
      <c r="NKN8" s="875"/>
      <c r="NKO8" s="875"/>
      <c r="NKP8" s="875"/>
      <c r="NKQ8" s="875"/>
      <c r="NKR8" s="875"/>
      <c r="NKS8" s="875"/>
      <c r="NKT8" s="875"/>
      <c r="NKU8" s="875"/>
      <c r="NKV8" s="875"/>
      <c r="NKW8" s="875"/>
      <c r="NKX8" s="875"/>
      <c r="NKY8" s="875"/>
      <c r="NKZ8" s="875"/>
      <c r="NLA8" s="875"/>
      <c r="NLB8" s="875"/>
      <c r="NLC8" s="875"/>
      <c r="NLD8" s="875"/>
      <c r="NLE8" s="875"/>
      <c r="NLF8" s="875"/>
      <c r="NLG8" s="875"/>
      <c r="NLH8" s="875"/>
      <c r="NLI8" s="875"/>
      <c r="NLJ8" s="875"/>
      <c r="NLK8" s="875"/>
      <c r="NLL8" s="875"/>
      <c r="NLM8" s="875"/>
      <c r="NLN8" s="875"/>
      <c r="NLO8" s="875"/>
      <c r="NLP8" s="875"/>
      <c r="NLQ8" s="875"/>
      <c r="NLR8" s="875"/>
      <c r="NLS8" s="875"/>
      <c r="NLT8" s="875"/>
      <c r="NLU8" s="875"/>
      <c r="NLV8" s="875"/>
      <c r="NLW8" s="875"/>
      <c r="NLX8" s="875"/>
      <c r="NLY8" s="875"/>
      <c r="NLZ8" s="875"/>
      <c r="NMA8" s="875"/>
      <c r="NMB8" s="875"/>
      <c r="NMC8" s="875"/>
      <c r="NMD8" s="875"/>
      <c r="NME8" s="875"/>
      <c r="NMF8" s="875"/>
      <c r="NMG8" s="875"/>
      <c r="NMH8" s="875"/>
      <c r="NMI8" s="875"/>
      <c r="NMJ8" s="875"/>
      <c r="NMK8" s="875"/>
      <c r="NML8" s="875"/>
      <c r="NMM8" s="875"/>
      <c r="NMN8" s="875"/>
      <c r="NMO8" s="875"/>
      <c r="NMP8" s="875"/>
      <c r="NMQ8" s="875"/>
      <c r="NMR8" s="875"/>
      <c r="NMS8" s="875"/>
      <c r="NMT8" s="875"/>
      <c r="NMU8" s="875"/>
      <c r="NMV8" s="875"/>
      <c r="NMW8" s="875"/>
      <c r="NMX8" s="875"/>
      <c r="NMY8" s="875"/>
      <c r="NMZ8" s="875"/>
      <c r="NNA8" s="875"/>
      <c r="NNB8" s="875"/>
      <c r="NNC8" s="875"/>
      <c r="NND8" s="875"/>
      <c r="NNE8" s="875"/>
      <c r="NNF8" s="875"/>
      <c r="NNG8" s="875"/>
      <c r="NNH8" s="875"/>
      <c r="NNI8" s="875"/>
      <c r="NNJ8" s="875"/>
      <c r="NNK8" s="875"/>
      <c r="NNL8" s="875"/>
      <c r="NNM8" s="875"/>
      <c r="NNN8" s="875"/>
      <c r="NNO8" s="875"/>
      <c r="NNP8" s="875"/>
      <c r="NNQ8" s="875"/>
      <c r="NNR8" s="875"/>
      <c r="NNS8" s="875"/>
      <c r="NNT8" s="875"/>
      <c r="NNU8" s="875"/>
      <c r="NNV8" s="875"/>
      <c r="NNW8" s="875"/>
      <c r="NNX8" s="875"/>
      <c r="NNY8" s="875"/>
      <c r="NNZ8" s="875"/>
      <c r="NOA8" s="875"/>
      <c r="NOB8" s="875"/>
      <c r="NOC8" s="875"/>
      <c r="NOD8" s="875"/>
      <c r="NOE8" s="875"/>
      <c r="NOF8" s="875"/>
      <c r="NOG8" s="875"/>
      <c r="NOH8" s="875"/>
      <c r="NOI8" s="875"/>
      <c r="NOJ8" s="875"/>
      <c r="NOK8" s="875"/>
      <c r="NOL8" s="875"/>
      <c r="NOM8" s="875"/>
      <c r="NON8" s="875"/>
      <c r="NOO8" s="875"/>
      <c r="NOP8" s="875"/>
      <c r="NOQ8" s="875"/>
      <c r="NOR8" s="875"/>
      <c r="NOS8" s="875"/>
      <c r="NOT8" s="875"/>
      <c r="NOU8" s="875"/>
      <c r="NOV8" s="875"/>
      <c r="NOW8" s="875"/>
      <c r="NOX8" s="875"/>
      <c r="NOY8" s="875"/>
      <c r="NOZ8" s="875"/>
      <c r="NPA8" s="875"/>
      <c r="NPB8" s="875"/>
      <c r="NPC8" s="875"/>
      <c r="NPD8" s="875"/>
      <c r="NPE8" s="875"/>
      <c r="NPF8" s="875"/>
      <c r="NPG8" s="875"/>
      <c r="NPH8" s="875"/>
      <c r="NPI8" s="875"/>
      <c r="NPJ8" s="875"/>
      <c r="NPK8" s="875"/>
      <c r="NPL8" s="875"/>
      <c r="NPM8" s="875"/>
      <c r="NPN8" s="875"/>
      <c r="NPO8" s="875"/>
      <c r="NPP8" s="875"/>
      <c r="NPQ8" s="875"/>
      <c r="NPR8" s="875"/>
      <c r="NPS8" s="875"/>
      <c r="NPT8" s="875"/>
      <c r="NPU8" s="875"/>
      <c r="NPV8" s="875"/>
      <c r="NPW8" s="875"/>
      <c r="NPX8" s="875"/>
      <c r="NPY8" s="875"/>
      <c r="NPZ8" s="875"/>
      <c r="NQA8" s="875"/>
      <c r="NQB8" s="875"/>
      <c r="NQC8" s="875"/>
      <c r="NQD8" s="875"/>
      <c r="NQE8" s="875"/>
      <c r="NQF8" s="875"/>
      <c r="NQG8" s="875"/>
      <c r="NQH8" s="875"/>
      <c r="NQI8" s="875"/>
      <c r="NQJ8" s="875"/>
      <c r="NQK8" s="875"/>
      <c r="NQL8" s="875"/>
      <c r="NQM8" s="875"/>
      <c r="NQN8" s="875"/>
      <c r="NQO8" s="875"/>
      <c r="NQP8" s="875"/>
      <c r="NQQ8" s="875"/>
      <c r="NQR8" s="875"/>
      <c r="NQS8" s="875"/>
      <c r="NQT8" s="875"/>
      <c r="NQU8" s="875"/>
      <c r="NQV8" s="875"/>
      <c r="NQW8" s="875"/>
      <c r="NQX8" s="875"/>
      <c r="NQY8" s="875"/>
      <c r="NQZ8" s="875"/>
      <c r="NRA8" s="875"/>
      <c r="NRB8" s="875"/>
      <c r="NRC8" s="875"/>
      <c r="NRD8" s="875"/>
      <c r="NRE8" s="875"/>
      <c r="NRF8" s="875"/>
      <c r="NRG8" s="875"/>
      <c r="NRH8" s="875"/>
      <c r="NRI8" s="875"/>
      <c r="NRJ8" s="875"/>
      <c r="NRK8" s="875"/>
      <c r="NRL8" s="875"/>
      <c r="NRM8" s="875"/>
      <c r="NRN8" s="875"/>
      <c r="NRO8" s="875"/>
      <c r="NRP8" s="875"/>
      <c r="NRQ8" s="875"/>
      <c r="NRR8" s="875"/>
      <c r="NRS8" s="875"/>
      <c r="NRT8" s="875"/>
      <c r="NRU8" s="875"/>
      <c r="NRV8" s="875"/>
      <c r="NRW8" s="875"/>
      <c r="NRX8" s="875"/>
      <c r="NRY8" s="875"/>
      <c r="NRZ8" s="875"/>
      <c r="NSA8" s="875"/>
      <c r="NSB8" s="875"/>
      <c r="NSC8" s="875"/>
      <c r="NSD8" s="875"/>
      <c r="NSE8" s="875"/>
      <c r="NSF8" s="875"/>
      <c r="NSG8" s="875"/>
      <c r="NSH8" s="875"/>
      <c r="NSI8" s="875"/>
      <c r="NSJ8" s="875"/>
      <c r="NSK8" s="875"/>
      <c r="NSL8" s="875"/>
      <c r="NSM8" s="875"/>
      <c r="NSN8" s="875"/>
      <c r="NSO8" s="875"/>
      <c r="NSP8" s="875"/>
      <c r="NSQ8" s="875"/>
      <c r="NSR8" s="875"/>
      <c r="NSS8" s="875"/>
      <c r="NST8" s="875"/>
      <c r="NSU8" s="875"/>
      <c r="NSV8" s="875"/>
      <c r="NSW8" s="875"/>
      <c r="NSX8" s="875"/>
      <c r="NSY8" s="875"/>
      <c r="NSZ8" s="875"/>
      <c r="NTA8" s="875"/>
      <c r="NTB8" s="875"/>
      <c r="NTC8" s="875"/>
      <c r="NTD8" s="875"/>
      <c r="NTE8" s="875"/>
      <c r="NTF8" s="875"/>
      <c r="NTG8" s="875"/>
      <c r="NTH8" s="875"/>
      <c r="NTI8" s="875"/>
      <c r="NTJ8" s="875"/>
      <c r="NTK8" s="875"/>
      <c r="NTL8" s="875"/>
      <c r="NTM8" s="875"/>
      <c r="NTN8" s="875"/>
      <c r="NTO8" s="875"/>
      <c r="NTP8" s="875"/>
      <c r="NTQ8" s="875"/>
      <c r="NTR8" s="875"/>
      <c r="NTS8" s="875"/>
      <c r="NTT8" s="875"/>
      <c r="NTU8" s="875"/>
      <c r="NTV8" s="875"/>
      <c r="NTW8" s="875"/>
      <c r="NTX8" s="875"/>
      <c r="NTY8" s="875"/>
      <c r="NTZ8" s="875"/>
      <c r="NUA8" s="875"/>
      <c r="NUB8" s="875"/>
      <c r="NUC8" s="875"/>
      <c r="NUD8" s="875"/>
      <c r="NUE8" s="875"/>
      <c r="NUF8" s="875"/>
      <c r="NUG8" s="875"/>
      <c r="NUH8" s="875"/>
      <c r="NUI8" s="875"/>
      <c r="NUJ8" s="875"/>
      <c r="NUK8" s="875"/>
      <c r="NUL8" s="875"/>
      <c r="NUM8" s="875"/>
      <c r="NUN8" s="875"/>
      <c r="NUO8" s="875"/>
      <c r="NUP8" s="875"/>
      <c r="NUQ8" s="875"/>
      <c r="NUR8" s="875"/>
      <c r="NUS8" s="875"/>
      <c r="NUT8" s="875"/>
      <c r="NUU8" s="875"/>
      <c r="NUV8" s="875"/>
      <c r="NUW8" s="875"/>
      <c r="NUX8" s="875"/>
      <c r="NUY8" s="875"/>
      <c r="NUZ8" s="875"/>
      <c r="NVA8" s="875"/>
      <c r="NVB8" s="875"/>
      <c r="NVC8" s="875"/>
      <c r="NVD8" s="875"/>
      <c r="NVE8" s="875"/>
      <c r="NVF8" s="875"/>
      <c r="NVG8" s="875"/>
      <c r="NVH8" s="875"/>
      <c r="NVI8" s="875"/>
      <c r="NVJ8" s="875"/>
      <c r="NVK8" s="875"/>
      <c r="NVL8" s="875"/>
      <c r="NVM8" s="875"/>
      <c r="NVN8" s="875"/>
      <c r="NVO8" s="875"/>
      <c r="NVP8" s="875"/>
      <c r="NVQ8" s="875"/>
      <c r="NVR8" s="875"/>
      <c r="NVS8" s="875"/>
      <c r="NVT8" s="875"/>
      <c r="NVU8" s="875"/>
      <c r="NVV8" s="875"/>
      <c r="NVW8" s="875"/>
      <c r="NVX8" s="875"/>
      <c r="NVY8" s="875"/>
      <c r="NVZ8" s="875"/>
      <c r="NWA8" s="875"/>
      <c r="NWB8" s="875"/>
      <c r="NWC8" s="875"/>
      <c r="NWD8" s="875"/>
      <c r="NWE8" s="875"/>
      <c r="NWF8" s="875"/>
      <c r="NWG8" s="875"/>
      <c r="NWH8" s="875"/>
      <c r="NWI8" s="875"/>
      <c r="NWJ8" s="875"/>
      <c r="NWK8" s="875"/>
      <c r="NWL8" s="875"/>
      <c r="NWM8" s="875"/>
      <c r="NWN8" s="875"/>
      <c r="NWO8" s="875"/>
      <c r="NWP8" s="875"/>
      <c r="NWQ8" s="875"/>
      <c r="NWR8" s="875"/>
      <c r="NWS8" s="875"/>
      <c r="NWT8" s="875"/>
      <c r="NWU8" s="875"/>
      <c r="NWV8" s="875"/>
      <c r="NWW8" s="875"/>
      <c r="NWX8" s="875"/>
      <c r="NWY8" s="875"/>
      <c r="NWZ8" s="875"/>
      <c r="NXA8" s="875"/>
      <c r="NXB8" s="875"/>
      <c r="NXC8" s="875"/>
      <c r="NXD8" s="875"/>
      <c r="NXE8" s="875"/>
      <c r="NXF8" s="875"/>
      <c r="NXG8" s="875"/>
      <c r="NXH8" s="875"/>
      <c r="NXI8" s="875"/>
      <c r="NXJ8" s="875"/>
      <c r="NXK8" s="875"/>
      <c r="NXL8" s="875"/>
      <c r="NXM8" s="875"/>
      <c r="NXN8" s="875"/>
      <c r="NXO8" s="875"/>
      <c r="NXP8" s="875"/>
      <c r="NXQ8" s="875"/>
      <c r="NXR8" s="875"/>
      <c r="NXS8" s="875"/>
      <c r="NXT8" s="875"/>
      <c r="NXU8" s="875"/>
      <c r="NXV8" s="875"/>
      <c r="NXW8" s="875"/>
      <c r="NXX8" s="875"/>
      <c r="NXY8" s="875"/>
      <c r="NXZ8" s="875"/>
      <c r="NYA8" s="875"/>
      <c r="NYB8" s="875"/>
      <c r="NYC8" s="875"/>
      <c r="NYD8" s="875"/>
      <c r="NYE8" s="875"/>
      <c r="NYF8" s="875"/>
      <c r="NYG8" s="875"/>
      <c r="NYH8" s="875"/>
      <c r="NYI8" s="875"/>
      <c r="NYJ8" s="875"/>
      <c r="NYK8" s="875"/>
      <c r="NYL8" s="875"/>
      <c r="NYM8" s="875"/>
      <c r="NYN8" s="875"/>
      <c r="NYO8" s="875"/>
      <c r="NYP8" s="875"/>
      <c r="NYQ8" s="875"/>
      <c r="NYR8" s="875"/>
      <c r="NYS8" s="875"/>
      <c r="NYT8" s="875"/>
      <c r="NYU8" s="875"/>
      <c r="NYV8" s="875"/>
      <c r="NYW8" s="875"/>
      <c r="NYX8" s="875"/>
      <c r="NYY8" s="875"/>
      <c r="NYZ8" s="875"/>
      <c r="NZA8" s="875"/>
      <c r="NZB8" s="875"/>
      <c r="NZC8" s="875"/>
      <c r="NZD8" s="875"/>
      <c r="NZE8" s="875"/>
      <c r="NZF8" s="875"/>
      <c r="NZG8" s="875"/>
      <c r="NZH8" s="875"/>
      <c r="NZI8" s="875"/>
      <c r="NZJ8" s="875"/>
      <c r="NZK8" s="875"/>
      <c r="NZL8" s="875"/>
      <c r="NZM8" s="875"/>
      <c r="NZN8" s="875"/>
      <c r="NZO8" s="875"/>
      <c r="NZP8" s="875"/>
      <c r="NZQ8" s="875"/>
      <c r="NZR8" s="875"/>
      <c r="NZS8" s="875"/>
      <c r="NZT8" s="875"/>
      <c r="NZU8" s="875"/>
      <c r="NZV8" s="875"/>
      <c r="NZW8" s="875"/>
      <c r="NZX8" s="875"/>
      <c r="NZY8" s="875"/>
      <c r="NZZ8" s="875"/>
      <c r="OAA8" s="875"/>
      <c r="OAB8" s="875"/>
      <c r="OAC8" s="875"/>
      <c r="OAD8" s="875"/>
      <c r="OAE8" s="875"/>
      <c r="OAF8" s="875"/>
      <c r="OAG8" s="875"/>
      <c r="OAH8" s="875"/>
      <c r="OAI8" s="875"/>
      <c r="OAJ8" s="875"/>
      <c r="OAK8" s="875"/>
      <c r="OAL8" s="875"/>
      <c r="OAM8" s="875"/>
      <c r="OAN8" s="875"/>
      <c r="OAO8" s="875"/>
      <c r="OAP8" s="875"/>
      <c r="OAQ8" s="875"/>
      <c r="OAR8" s="875"/>
      <c r="OAS8" s="875"/>
      <c r="OAT8" s="875"/>
      <c r="OAU8" s="875"/>
      <c r="OAV8" s="875"/>
      <c r="OAW8" s="875"/>
      <c r="OAX8" s="875"/>
      <c r="OAY8" s="875"/>
      <c r="OAZ8" s="875"/>
      <c r="OBA8" s="875"/>
      <c r="OBB8" s="875"/>
      <c r="OBC8" s="875"/>
      <c r="OBD8" s="875"/>
      <c r="OBE8" s="875"/>
      <c r="OBF8" s="875"/>
      <c r="OBG8" s="875"/>
      <c r="OBH8" s="875"/>
      <c r="OBI8" s="875"/>
      <c r="OBJ8" s="875"/>
      <c r="OBK8" s="875"/>
      <c r="OBL8" s="875"/>
      <c r="OBM8" s="875"/>
      <c r="OBN8" s="875"/>
      <c r="OBO8" s="875"/>
      <c r="OBP8" s="875"/>
      <c r="OBQ8" s="875"/>
      <c r="OBR8" s="875"/>
      <c r="OBS8" s="875"/>
      <c r="OBT8" s="875"/>
      <c r="OBU8" s="875"/>
      <c r="OBV8" s="875"/>
      <c r="OBW8" s="875"/>
      <c r="OBX8" s="875"/>
      <c r="OBY8" s="875"/>
      <c r="OBZ8" s="875"/>
      <c r="OCA8" s="875"/>
      <c r="OCB8" s="875"/>
      <c r="OCC8" s="875"/>
      <c r="OCD8" s="875"/>
      <c r="OCE8" s="875"/>
      <c r="OCF8" s="875"/>
      <c r="OCG8" s="875"/>
      <c r="OCH8" s="875"/>
      <c r="OCI8" s="875"/>
      <c r="OCJ8" s="875"/>
      <c r="OCK8" s="875"/>
      <c r="OCL8" s="875"/>
      <c r="OCM8" s="875"/>
      <c r="OCN8" s="875"/>
      <c r="OCO8" s="875"/>
      <c r="OCP8" s="875"/>
      <c r="OCQ8" s="875"/>
      <c r="OCR8" s="875"/>
      <c r="OCS8" s="875"/>
      <c r="OCT8" s="875"/>
      <c r="OCU8" s="875"/>
      <c r="OCV8" s="875"/>
      <c r="OCW8" s="875"/>
      <c r="OCX8" s="875"/>
      <c r="OCY8" s="875"/>
      <c r="OCZ8" s="875"/>
      <c r="ODA8" s="875"/>
      <c r="ODB8" s="875"/>
      <c r="ODC8" s="875"/>
      <c r="ODD8" s="875"/>
      <c r="ODE8" s="875"/>
      <c r="ODF8" s="875"/>
      <c r="ODG8" s="875"/>
      <c r="ODH8" s="875"/>
      <c r="ODI8" s="875"/>
      <c r="ODJ8" s="875"/>
      <c r="ODK8" s="875"/>
      <c r="ODL8" s="875"/>
      <c r="ODM8" s="875"/>
      <c r="ODN8" s="875"/>
      <c r="ODO8" s="875"/>
      <c r="ODP8" s="875"/>
      <c r="ODQ8" s="875"/>
      <c r="ODR8" s="875"/>
      <c r="ODS8" s="875"/>
      <c r="ODT8" s="875"/>
      <c r="ODU8" s="875"/>
      <c r="ODV8" s="875"/>
      <c r="ODW8" s="875"/>
      <c r="ODX8" s="875"/>
      <c r="ODY8" s="875"/>
      <c r="ODZ8" s="875"/>
      <c r="OEA8" s="875"/>
      <c r="OEB8" s="875"/>
      <c r="OEC8" s="875"/>
      <c r="OED8" s="875"/>
      <c r="OEE8" s="875"/>
      <c r="OEF8" s="875"/>
      <c r="OEG8" s="875"/>
      <c r="OEH8" s="875"/>
      <c r="OEI8" s="875"/>
      <c r="OEJ8" s="875"/>
      <c r="OEK8" s="875"/>
      <c r="OEL8" s="875"/>
      <c r="OEM8" s="875"/>
      <c r="OEN8" s="875"/>
      <c r="OEO8" s="875"/>
      <c r="OEP8" s="875"/>
      <c r="OEQ8" s="875"/>
      <c r="OER8" s="875"/>
      <c r="OES8" s="875"/>
      <c r="OET8" s="875"/>
      <c r="OEU8" s="875"/>
      <c r="OEV8" s="875"/>
      <c r="OEW8" s="875"/>
      <c r="OEX8" s="875"/>
      <c r="OEY8" s="875"/>
      <c r="OEZ8" s="875"/>
      <c r="OFA8" s="875"/>
      <c r="OFB8" s="875"/>
      <c r="OFC8" s="875"/>
      <c r="OFD8" s="875"/>
      <c r="OFE8" s="875"/>
      <c r="OFF8" s="875"/>
      <c r="OFG8" s="875"/>
      <c r="OFH8" s="875"/>
      <c r="OFI8" s="875"/>
      <c r="OFJ8" s="875"/>
      <c r="OFK8" s="875"/>
      <c r="OFL8" s="875"/>
      <c r="OFM8" s="875"/>
      <c r="OFN8" s="875"/>
      <c r="OFO8" s="875"/>
      <c r="OFP8" s="875"/>
      <c r="OFQ8" s="875"/>
      <c r="OFR8" s="875"/>
      <c r="OFS8" s="875"/>
      <c r="OFT8" s="875"/>
      <c r="OFU8" s="875"/>
      <c r="OFV8" s="875"/>
      <c r="OFW8" s="875"/>
      <c r="OFX8" s="875"/>
      <c r="OFY8" s="875"/>
      <c r="OFZ8" s="875"/>
      <c r="OGA8" s="875"/>
      <c r="OGB8" s="875"/>
      <c r="OGC8" s="875"/>
      <c r="OGD8" s="875"/>
      <c r="OGE8" s="875"/>
      <c r="OGF8" s="875"/>
      <c r="OGG8" s="875"/>
      <c r="OGH8" s="875"/>
      <c r="OGI8" s="875"/>
      <c r="OGJ8" s="875"/>
      <c r="OGK8" s="875"/>
      <c r="OGL8" s="875"/>
      <c r="OGM8" s="875"/>
      <c r="OGN8" s="875"/>
      <c r="OGO8" s="875"/>
      <c r="OGP8" s="875"/>
      <c r="OGQ8" s="875"/>
      <c r="OGR8" s="875"/>
      <c r="OGS8" s="875"/>
      <c r="OGT8" s="875"/>
      <c r="OGU8" s="875"/>
      <c r="OGV8" s="875"/>
      <c r="OGW8" s="875"/>
      <c r="OGX8" s="875"/>
      <c r="OGY8" s="875"/>
      <c r="OGZ8" s="875"/>
      <c r="OHA8" s="875"/>
      <c r="OHB8" s="875"/>
      <c r="OHC8" s="875"/>
      <c r="OHD8" s="875"/>
      <c r="OHE8" s="875"/>
      <c r="OHF8" s="875"/>
      <c r="OHG8" s="875"/>
      <c r="OHH8" s="875"/>
      <c r="OHI8" s="875"/>
      <c r="OHJ8" s="875"/>
      <c r="OHK8" s="875"/>
      <c r="OHL8" s="875"/>
      <c r="OHM8" s="875"/>
      <c r="OHN8" s="875"/>
      <c r="OHO8" s="875"/>
      <c r="OHP8" s="875"/>
      <c r="OHQ8" s="875"/>
      <c r="OHR8" s="875"/>
      <c r="OHS8" s="875"/>
      <c r="OHT8" s="875"/>
      <c r="OHU8" s="875"/>
      <c r="OHV8" s="875"/>
      <c r="OHW8" s="875"/>
      <c r="OHX8" s="875"/>
      <c r="OHY8" s="875"/>
      <c r="OHZ8" s="875"/>
      <c r="OIA8" s="875"/>
      <c r="OIB8" s="875"/>
      <c r="OIC8" s="875"/>
      <c r="OID8" s="875"/>
      <c r="OIE8" s="875"/>
      <c r="OIF8" s="875"/>
      <c r="OIG8" s="875"/>
      <c r="OIH8" s="875"/>
      <c r="OII8" s="875"/>
      <c r="OIJ8" s="875"/>
      <c r="OIK8" s="875"/>
      <c r="OIL8" s="875"/>
      <c r="OIM8" s="875"/>
      <c r="OIN8" s="875"/>
      <c r="OIO8" s="875"/>
      <c r="OIP8" s="875"/>
      <c r="OIQ8" s="875"/>
      <c r="OIR8" s="875"/>
      <c r="OIS8" s="875"/>
      <c r="OIT8" s="875"/>
      <c r="OIU8" s="875"/>
      <c r="OIV8" s="875"/>
      <c r="OIW8" s="875"/>
      <c r="OIX8" s="875"/>
      <c r="OIY8" s="875"/>
      <c r="OIZ8" s="875"/>
      <c r="OJA8" s="875"/>
      <c r="OJB8" s="875"/>
      <c r="OJC8" s="875"/>
      <c r="OJD8" s="875"/>
      <c r="OJE8" s="875"/>
      <c r="OJF8" s="875"/>
      <c r="OJG8" s="875"/>
      <c r="OJH8" s="875"/>
      <c r="OJI8" s="875"/>
      <c r="OJJ8" s="875"/>
      <c r="OJK8" s="875"/>
      <c r="OJL8" s="875"/>
      <c r="OJM8" s="875"/>
      <c r="OJN8" s="875"/>
      <c r="OJO8" s="875"/>
      <c r="OJP8" s="875"/>
      <c r="OJQ8" s="875"/>
      <c r="OJR8" s="875"/>
      <c r="OJS8" s="875"/>
      <c r="OJT8" s="875"/>
      <c r="OJU8" s="875"/>
      <c r="OJV8" s="875"/>
      <c r="OJW8" s="875"/>
      <c r="OJX8" s="875"/>
      <c r="OJY8" s="875"/>
      <c r="OJZ8" s="875"/>
      <c r="OKA8" s="875"/>
      <c r="OKB8" s="875"/>
      <c r="OKC8" s="875"/>
      <c r="OKD8" s="875"/>
      <c r="OKE8" s="875"/>
      <c r="OKF8" s="875"/>
      <c r="OKG8" s="875"/>
      <c r="OKH8" s="875"/>
      <c r="OKI8" s="875"/>
      <c r="OKJ8" s="875"/>
      <c r="OKK8" s="875"/>
      <c r="OKL8" s="875"/>
      <c r="OKM8" s="875"/>
      <c r="OKN8" s="875"/>
      <c r="OKO8" s="875"/>
      <c r="OKP8" s="875"/>
      <c r="OKQ8" s="875"/>
      <c r="OKR8" s="875"/>
      <c r="OKS8" s="875"/>
      <c r="OKT8" s="875"/>
      <c r="OKU8" s="875"/>
      <c r="OKV8" s="875"/>
      <c r="OKW8" s="875"/>
      <c r="OKX8" s="875"/>
      <c r="OKY8" s="875"/>
      <c r="OKZ8" s="875"/>
      <c r="OLA8" s="875"/>
      <c r="OLB8" s="875"/>
      <c r="OLC8" s="875"/>
      <c r="OLD8" s="875"/>
      <c r="OLE8" s="875"/>
      <c r="OLF8" s="875"/>
      <c r="OLG8" s="875"/>
      <c r="OLH8" s="875"/>
      <c r="OLI8" s="875"/>
      <c r="OLJ8" s="875"/>
      <c r="OLK8" s="875"/>
      <c r="OLL8" s="875"/>
      <c r="OLM8" s="875"/>
      <c r="OLN8" s="875"/>
      <c r="OLO8" s="875"/>
      <c r="OLP8" s="875"/>
      <c r="OLQ8" s="875"/>
      <c r="OLR8" s="875"/>
      <c r="OLS8" s="875"/>
      <c r="OLT8" s="875"/>
      <c r="OLU8" s="875"/>
      <c r="OLV8" s="875"/>
      <c r="OLW8" s="875"/>
      <c r="OLX8" s="875"/>
      <c r="OLY8" s="875"/>
      <c r="OLZ8" s="875"/>
      <c r="OMA8" s="875"/>
      <c r="OMB8" s="875"/>
      <c r="OMC8" s="875"/>
      <c r="OMD8" s="875"/>
      <c r="OME8" s="875"/>
      <c r="OMF8" s="875"/>
      <c r="OMG8" s="875"/>
      <c r="OMH8" s="875"/>
      <c r="OMI8" s="875"/>
      <c r="OMJ8" s="875"/>
      <c r="OMK8" s="875"/>
      <c r="OML8" s="875"/>
      <c r="OMM8" s="875"/>
      <c r="OMN8" s="875"/>
      <c r="OMO8" s="875"/>
      <c r="OMP8" s="875"/>
      <c r="OMQ8" s="875"/>
      <c r="OMR8" s="875"/>
      <c r="OMS8" s="875"/>
      <c r="OMT8" s="875"/>
      <c r="OMU8" s="875"/>
      <c r="OMV8" s="875"/>
      <c r="OMW8" s="875"/>
      <c r="OMX8" s="875"/>
      <c r="OMY8" s="875"/>
      <c r="OMZ8" s="875"/>
      <c r="ONA8" s="875"/>
      <c r="ONB8" s="875"/>
      <c r="ONC8" s="875"/>
      <c r="OND8" s="875"/>
      <c r="ONE8" s="875"/>
      <c r="ONF8" s="875"/>
      <c r="ONG8" s="875"/>
      <c r="ONH8" s="875"/>
      <c r="ONI8" s="875"/>
      <c r="ONJ8" s="875"/>
      <c r="ONK8" s="875"/>
      <c r="ONL8" s="875"/>
      <c r="ONM8" s="875"/>
      <c r="ONN8" s="875"/>
      <c r="ONO8" s="875"/>
      <c r="ONP8" s="875"/>
      <c r="ONQ8" s="875"/>
      <c r="ONR8" s="875"/>
      <c r="ONS8" s="875"/>
      <c r="ONT8" s="875"/>
      <c r="ONU8" s="875"/>
      <c r="ONV8" s="875"/>
      <c r="ONW8" s="875"/>
      <c r="ONX8" s="875"/>
      <c r="ONY8" s="875"/>
      <c r="ONZ8" s="875"/>
      <c r="OOA8" s="875"/>
      <c r="OOB8" s="875"/>
      <c r="OOC8" s="875"/>
      <c r="OOD8" s="875"/>
      <c r="OOE8" s="875"/>
      <c r="OOF8" s="875"/>
      <c r="OOG8" s="875"/>
      <c r="OOH8" s="875"/>
      <c r="OOI8" s="875"/>
      <c r="OOJ8" s="875"/>
      <c r="OOK8" s="875"/>
      <c r="OOL8" s="875"/>
      <c r="OOM8" s="875"/>
      <c r="OON8" s="875"/>
      <c r="OOO8" s="875"/>
      <c r="OOP8" s="875"/>
      <c r="OOQ8" s="875"/>
      <c r="OOR8" s="875"/>
      <c r="OOS8" s="875"/>
      <c r="OOT8" s="875"/>
      <c r="OOU8" s="875"/>
      <c r="OOV8" s="875"/>
      <c r="OOW8" s="875"/>
      <c r="OOX8" s="875"/>
      <c r="OOY8" s="875"/>
      <c r="OOZ8" s="875"/>
      <c r="OPA8" s="875"/>
      <c r="OPB8" s="875"/>
      <c r="OPC8" s="875"/>
      <c r="OPD8" s="875"/>
      <c r="OPE8" s="875"/>
      <c r="OPF8" s="875"/>
      <c r="OPG8" s="875"/>
      <c r="OPH8" s="875"/>
      <c r="OPI8" s="875"/>
      <c r="OPJ8" s="875"/>
      <c r="OPK8" s="875"/>
      <c r="OPL8" s="875"/>
      <c r="OPM8" s="875"/>
      <c r="OPN8" s="875"/>
      <c r="OPO8" s="875"/>
      <c r="OPP8" s="875"/>
      <c r="OPQ8" s="875"/>
      <c r="OPR8" s="875"/>
      <c r="OPS8" s="875"/>
      <c r="OPT8" s="875"/>
      <c r="OPU8" s="875"/>
      <c r="OPV8" s="875"/>
      <c r="OPW8" s="875"/>
      <c r="OPX8" s="875"/>
      <c r="OPY8" s="875"/>
      <c r="OPZ8" s="875"/>
      <c r="OQA8" s="875"/>
      <c r="OQB8" s="875"/>
      <c r="OQC8" s="875"/>
      <c r="OQD8" s="875"/>
      <c r="OQE8" s="875"/>
      <c r="OQF8" s="875"/>
      <c r="OQG8" s="875"/>
      <c r="OQH8" s="875"/>
      <c r="OQI8" s="875"/>
      <c r="OQJ8" s="875"/>
      <c r="OQK8" s="875"/>
      <c r="OQL8" s="875"/>
      <c r="OQM8" s="875"/>
      <c r="OQN8" s="875"/>
      <c r="OQO8" s="875"/>
      <c r="OQP8" s="875"/>
      <c r="OQQ8" s="875"/>
      <c r="OQR8" s="875"/>
      <c r="OQS8" s="875"/>
      <c r="OQT8" s="875"/>
      <c r="OQU8" s="875"/>
      <c r="OQV8" s="875"/>
      <c r="OQW8" s="875"/>
      <c r="OQX8" s="875"/>
      <c r="OQY8" s="875"/>
      <c r="OQZ8" s="875"/>
      <c r="ORA8" s="875"/>
      <c r="ORB8" s="875"/>
      <c r="ORC8" s="875"/>
      <c r="ORD8" s="875"/>
      <c r="ORE8" s="875"/>
      <c r="ORF8" s="875"/>
      <c r="ORG8" s="875"/>
      <c r="ORH8" s="875"/>
      <c r="ORI8" s="875"/>
      <c r="ORJ8" s="875"/>
      <c r="ORK8" s="875"/>
      <c r="ORL8" s="875"/>
      <c r="ORM8" s="875"/>
      <c r="ORN8" s="875"/>
      <c r="ORO8" s="875"/>
      <c r="ORP8" s="875"/>
      <c r="ORQ8" s="875"/>
      <c r="ORR8" s="875"/>
      <c r="ORS8" s="875"/>
      <c r="ORT8" s="875"/>
      <c r="ORU8" s="875"/>
      <c r="ORV8" s="875"/>
      <c r="ORW8" s="875"/>
      <c r="ORX8" s="875"/>
      <c r="ORY8" s="875"/>
      <c r="ORZ8" s="875"/>
      <c r="OSA8" s="875"/>
      <c r="OSB8" s="875"/>
      <c r="OSC8" s="875"/>
      <c r="OSD8" s="875"/>
      <c r="OSE8" s="875"/>
      <c r="OSF8" s="875"/>
      <c r="OSG8" s="875"/>
      <c r="OSH8" s="875"/>
      <c r="OSI8" s="875"/>
      <c r="OSJ8" s="875"/>
      <c r="OSK8" s="875"/>
      <c r="OSL8" s="875"/>
      <c r="OSM8" s="875"/>
      <c r="OSN8" s="875"/>
      <c r="OSO8" s="875"/>
      <c r="OSP8" s="875"/>
      <c r="OSQ8" s="875"/>
      <c r="OSR8" s="875"/>
      <c r="OSS8" s="875"/>
      <c r="OST8" s="875"/>
      <c r="OSU8" s="875"/>
      <c r="OSV8" s="875"/>
      <c r="OSW8" s="875"/>
      <c r="OSX8" s="875"/>
      <c r="OSY8" s="875"/>
      <c r="OSZ8" s="875"/>
      <c r="OTA8" s="875"/>
      <c r="OTB8" s="875"/>
      <c r="OTC8" s="875"/>
      <c r="OTD8" s="875"/>
      <c r="OTE8" s="875"/>
      <c r="OTF8" s="875"/>
      <c r="OTG8" s="875"/>
      <c r="OTH8" s="875"/>
      <c r="OTI8" s="875"/>
      <c r="OTJ8" s="875"/>
      <c r="OTK8" s="875"/>
      <c r="OTL8" s="875"/>
      <c r="OTM8" s="875"/>
      <c r="OTN8" s="875"/>
      <c r="OTO8" s="875"/>
      <c r="OTP8" s="875"/>
      <c r="OTQ8" s="875"/>
      <c r="OTR8" s="875"/>
      <c r="OTS8" s="875"/>
      <c r="OTT8" s="875"/>
      <c r="OTU8" s="875"/>
      <c r="OTV8" s="875"/>
      <c r="OTW8" s="875"/>
      <c r="OTX8" s="875"/>
      <c r="OTY8" s="875"/>
      <c r="OTZ8" s="875"/>
      <c r="OUA8" s="875"/>
      <c r="OUB8" s="875"/>
      <c r="OUC8" s="875"/>
      <c r="OUD8" s="875"/>
      <c r="OUE8" s="875"/>
      <c r="OUF8" s="875"/>
      <c r="OUG8" s="875"/>
      <c r="OUH8" s="875"/>
      <c r="OUI8" s="875"/>
      <c r="OUJ8" s="875"/>
      <c r="OUK8" s="875"/>
      <c r="OUL8" s="875"/>
      <c r="OUM8" s="875"/>
      <c r="OUN8" s="875"/>
      <c r="OUO8" s="875"/>
      <c r="OUP8" s="875"/>
      <c r="OUQ8" s="875"/>
      <c r="OUR8" s="875"/>
      <c r="OUS8" s="875"/>
      <c r="OUT8" s="875"/>
      <c r="OUU8" s="875"/>
      <c r="OUV8" s="875"/>
      <c r="OUW8" s="875"/>
      <c r="OUX8" s="875"/>
      <c r="OUY8" s="875"/>
      <c r="OUZ8" s="875"/>
      <c r="OVA8" s="875"/>
      <c r="OVB8" s="875"/>
      <c r="OVC8" s="875"/>
      <c r="OVD8" s="875"/>
      <c r="OVE8" s="875"/>
      <c r="OVF8" s="875"/>
      <c r="OVG8" s="875"/>
      <c r="OVH8" s="875"/>
      <c r="OVI8" s="875"/>
      <c r="OVJ8" s="875"/>
      <c r="OVK8" s="875"/>
      <c r="OVL8" s="875"/>
      <c r="OVM8" s="875"/>
      <c r="OVN8" s="875"/>
      <c r="OVO8" s="875"/>
      <c r="OVP8" s="875"/>
      <c r="OVQ8" s="875"/>
      <c r="OVR8" s="875"/>
      <c r="OVS8" s="875"/>
      <c r="OVT8" s="875"/>
      <c r="OVU8" s="875"/>
      <c r="OVV8" s="875"/>
      <c r="OVW8" s="875"/>
      <c r="OVX8" s="875"/>
      <c r="OVY8" s="875"/>
      <c r="OVZ8" s="875"/>
      <c r="OWA8" s="875"/>
      <c r="OWB8" s="875"/>
      <c r="OWC8" s="875"/>
      <c r="OWD8" s="875"/>
      <c r="OWE8" s="875"/>
      <c r="OWF8" s="875"/>
      <c r="OWG8" s="875"/>
      <c r="OWH8" s="875"/>
      <c r="OWI8" s="875"/>
      <c r="OWJ8" s="875"/>
      <c r="OWK8" s="875"/>
      <c r="OWL8" s="875"/>
      <c r="OWM8" s="875"/>
      <c r="OWN8" s="875"/>
      <c r="OWO8" s="875"/>
      <c r="OWP8" s="875"/>
      <c r="OWQ8" s="875"/>
      <c r="OWR8" s="875"/>
      <c r="OWS8" s="875"/>
      <c r="OWT8" s="875"/>
      <c r="OWU8" s="875"/>
      <c r="OWV8" s="875"/>
      <c r="OWW8" s="875"/>
      <c r="OWX8" s="875"/>
      <c r="OWY8" s="875"/>
      <c r="OWZ8" s="875"/>
      <c r="OXA8" s="875"/>
      <c r="OXB8" s="875"/>
      <c r="OXC8" s="875"/>
      <c r="OXD8" s="875"/>
      <c r="OXE8" s="875"/>
      <c r="OXF8" s="875"/>
      <c r="OXG8" s="875"/>
      <c r="OXH8" s="875"/>
      <c r="OXI8" s="875"/>
      <c r="OXJ8" s="875"/>
      <c r="OXK8" s="875"/>
      <c r="OXL8" s="875"/>
      <c r="OXM8" s="875"/>
      <c r="OXN8" s="875"/>
      <c r="OXO8" s="875"/>
      <c r="OXP8" s="875"/>
      <c r="OXQ8" s="875"/>
      <c r="OXR8" s="875"/>
      <c r="OXS8" s="875"/>
      <c r="OXT8" s="875"/>
      <c r="OXU8" s="875"/>
      <c r="OXV8" s="875"/>
      <c r="OXW8" s="875"/>
      <c r="OXX8" s="875"/>
      <c r="OXY8" s="875"/>
      <c r="OXZ8" s="875"/>
      <c r="OYA8" s="875"/>
      <c r="OYB8" s="875"/>
      <c r="OYC8" s="875"/>
      <c r="OYD8" s="875"/>
      <c r="OYE8" s="875"/>
      <c r="OYF8" s="875"/>
      <c r="OYG8" s="875"/>
      <c r="OYH8" s="875"/>
      <c r="OYI8" s="875"/>
      <c r="OYJ8" s="875"/>
      <c r="OYK8" s="875"/>
      <c r="OYL8" s="875"/>
      <c r="OYM8" s="875"/>
      <c r="OYN8" s="875"/>
      <c r="OYO8" s="875"/>
      <c r="OYP8" s="875"/>
      <c r="OYQ8" s="875"/>
      <c r="OYR8" s="875"/>
      <c r="OYS8" s="875"/>
      <c r="OYT8" s="875"/>
      <c r="OYU8" s="875"/>
      <c r="OYV8" s="875"/>
      <c r="OYW8" s="875"/>
      <c r="OYX8" s="875"/>
      <c r="OYY8" s="875"/>
      <c r="OYZ8" s="875"/>
      <c r="OZA8" s="875"/>
      <c r="OZB8" s="875"/>
      <c r="OZC8" s="875"/>
      <c r="OZD8" s="875"/>
      <c r="OZE8" s="875"/>
      <c r="OZF8" s="875"/>
      <c r="OZG8" s="875"/>
      <c r="OZH8" s="875"/>
      <c r="OZI8" s="875"/>
      <c r="OZJ8" s="875"/>
      <c r="OZK8" s="875"/>
      <c r="OZL8" s="875"/>
      <c r="OZM8" s="875"/>
      <c r="OZN8" s="875"/>
      <c r="OZO8" s="875"/>
      <c r="OZP8" s="875"/>
      <c r="OZQ8" s="875"/>
      <c r="OZR8" s="875"/>
      <c r="OZS8" s="875"/>
      <c r="OZT8" s="875"/>
      <c r="OZU8" s="875"/>
      <c r="OZV8" s="875"/>
      <c r="OZW8" s="875"/>
      <c r="OZX8" s="875"/>
      <c r="OZY8" s="875"/>
      <c r="OZZ8" s="875"/>
      <c r="PAA8" s="875"/>
      <c r="PAB8" s="875"/>
      <c r="PAC8" s="875"/>
      <c r="PAD8" s="875"/>
      <c r="PAE8" s="875"/>
      <c r="PAF8" s="875"/>
      <c r="PAG8" s="875"/>
      <c r="PAH8" s="875"/>
      <c r="PAI8" s="875"/>
      <c r="PAJ8" s="875"/>
      <c r="PAK8" s="875"/>
      <c r="PAL8" s="875"/>
      <c r="PAM8" s="875"/>
      <c r="PAN8" s="875"/>
      <c r="PAO8" s="875"/>
      <c r="PAP8" s="875"/>
      <c r="PAQ8" s="875"/>
      <c r="PAR8" s="875"/>
      <c r="PAS8" s="875"/>
      <c r="PAT8" s="875"/>
      <c r="PAU8" s="875"/>
      <c r="PAV8" s="875"/>
      <c r="PAW8" s="875"/>
      <c r="PAX8" s="875"/>
      <c r="PAY8" s="875"/>
      <c r="PAZ8" s="875"/>
      <c r="PBA8" s="875"/>
      <c r="PBB8" s="875"/>
      <c r="PBC8" s="875"/>
      <c r="PBD8" s="875"/>
      <c r="PBE8" s="875"/>
      <c r="PBF8" s="875"/>
      <c r="PBG8" s="875"/>
      <c r="PBH8" s="875"/>
      <c r="PBI8" s="875"/>
      <c r="PBJ8" s="875"/>
      <c r="PBK8" s="875"/>
      <c r="PBL8" s="875"/>
      <c r="PBM8" s="875"/>
      <c r="PBN8" s="875"/>
      <c r="PBO8" s="875"/>
      <c r="PBP8" s="875"/>
      <c r="PBQ8" s="875"/>
      <c r="PBR8" s="875"/>
      <c r="PBS8" s="875"/>
      <c r="PBT8" s="875"/>
      <c r="PBU8" s="875"/>
      <c r="PBV8" s="875"/>
      <c r="PBW8" s="875"/>
      <c r="PBX8" s="875"/>
      <c r="PBY8" s="875"/>
      <c r="PBZ8" s="875"/>
      <c r="PCA8" s="875"/>
      <c r="PCB8" s="875"/>
      <c r="PCC8" s="875"/>
      <c r="PCD8" s="875"/>
      <c r="PCE8" s="875"/>
      <c r="PCF8" s="875"/>
      <c r="PCG8" s="875"/>
      <c r="PCH8" s="875"/>
      <c r="PCI8" s="875"/>
      <c r="PCJ8" s="875"/>
      <c r="PCK8" s="875"/>
      <c r="PCL8" s="875"/>
      <c r="PCM8" s="875"/>
      <c r="PCN8" s="875"/>
      <c r="PCO8" s="875"/>
      <c r="PCP8" s="875"/>
      <c r="PCQ8" s="875"/>
      <c r="PCR8" s="875"/>
      <c r="PCS8" s="875"/>
      <c r="PCT8" s="875"/>
      <c r="PCU8" s="875"/>
      <c r="PCV8" s="875"/>
      <c r="PCW8" s="875"/>
      <c r="PCX8" s="875"/>
      <c r="PCY8" s="875"/>
      <c r="PCZ8" s="875"/>
      <c r="PDA8" s="875"/>
      <c r="PDB8" s="875"/>
      <c r="PDC8" s="875"/>
      <c r="PDD8" s="875"/>
      <c r="PDE8" s="875"/>
      <c r="PDF8" s="875"/>
      <c r="PDG8" s="875"/>
      <c r="PDH8" s="875"/>
      <c r="PDI8" s="875"/>
      <c r="PDJ8" s="875"/>
      <c r="PDK8" s="875"/>
      <c r="PDL8" s="875"/>
      <c r="PDM8" s="875"/>
      <c r="PDN8" s="875"/>
      <c r="PDO8" s="875"/>
      <c r="PDP8" s="875"/>
      <c r="PDQ8" s="875"/>
      <c r="PDR8" s="875"/>
      <c r="PDS8" s="875"/>
      <c r="PDT8" s="875"/>
      <c r="PDU8" s="875"/>
      <c r="PDV8" s="875"/>
      <c r="PDW8" s="875"/>
      <c r="PDX8" s="875"/>
      <c r="PDY8" s="875"/>
      <c r="PDZ8" s="875"/>
      <c r="PEA8" s="875"/>
      <c r="PEB8" s="875"/>
      <c r="PEC8" s="875"/>
      <c r="PED8" s="875"/>
      <c r="PEE8" s="875"/>
      <c r="PEF8" s="875"/>
      <c r="PEG8" s="875"/>
      <c r="PEH8" s="875"/>
      <c r="PEI8" s="875"/>
      <c r="PEJ8" s="875"/>
      <c r="PEK8" s="875"/>
      <c r="PEL8" s="875"/>
      <c r="PEM8" s="875"/>
      <c r="PEN8" s="875"/>
      <c r="PEO8" s="875"/>
      <c r="PEP8" s="875"/>
      <c r="PEQ8" s="875"/>
      <c r="PER8" s="875"/>
      <c r="PES8" s="875"/>
      <c r="PET8" s="875"/>
      <c r="PEU8" s="875"/>
      <c r="PEV8" s="875"/>
      <c r="PEW8" s="875"/>
      <c r="PEX8" s="875"/>
      <c r="PEY8" s="875"/>
      <c r="PEZ8" s="875"/>
      <c r="PFA8" s="875"/>
      <c r="PFB8" s="875"/>
      <c r="PFC8" s="875"/>
      <c r="PFD8" s="875"/>
      <c r="PFE8" s="875"/>
      <c r="PFF8" s="875"/>
      <c r="PFG8" s="875"/>
      <c r="PFH8" s="875"/>
      <c r="PFI8" s="875"/>
      <c r="PFJ8" s="875"/>
      <c r="PFK8" s="875"/>
      <c r="PFL8" s="875"/>
      <c r="PFM8" s="875"/>
      <c r="PFN8" s="875"/>
      <c r="PFO8" s="875"/>
      <c r="PFP8" s="875"/>
      <c r="PFQ8" s="875"/>
      <c r="PFR8" s="875"/>
      <c r="PFS8" s="875"/>
      <c r="PFT8" s="875"/>
      <c r="PFU8" s="875"/>
      <c r="PFV8" s="875"/>
      <c r="PFW8" s="875"/>
      <c r="PFX8" s="875"/>
      <c r="PFY8" s="875"/>
      <c r="PFZ8" s="875"/>
      <c r="PGA8" s="875"/>
      <c r="PGB8" s="875"/>
      <c r="PGC8" s="875"/>
      <c r="PGD8" s="875"/>
      <c r="PGE8" s="875"/>
      <c r="PGF8" s="875"/>
      <c r="PGG8" s="875"/>
      <c r="PGH8" s="875"/>
      <c r="PGI8" s="875"/>
      <c r="PGJ8" s="875"/>
      <c r="PGK8" s="875"/>
      <c r="PGL8" s="875"/>
      <c r="PGM8" s="875"/>
      <c r="PGN8" s="875"/>
      <c r="PGO8" s="875"/>
      <c r="PGP8" s="875"/>
      <c r="PGQ8" s="875"/>
      <c r="PGR8" s="875"/>
      <c r="PGS8" s="875"/>
      <c r="PGT8" s="875"/>
      <c r="PGU8" s="875"/>
      <c r="PGV8" s="875"/>
      <c r="PGW8" s="875"/>
      <c r="PGX8" s="875"/>
      <c r="PGY8" s="875"/>
      <c r="PGZ8" s="875"/>
      <c r="PHA8" s="875"/>
      <c r="PHB8" s="875"/>
      <c r="PHC8" s="875"/>
      <c r="PHD8" s="875"/>
      <c r="PHE8" s="875"/>
      <c r="PHF8" s="875"/>
      <c r="PHG8" s="875"/>
      <c r="PHH8" s="875"/>
      <c r="PHI8" s="875"/>
      <c r="PHJ8" s="875"/>
      <c r="PHK8" s="875"/>
      <c r="PHL8" s="875"/>
      <c r="PHM8" s="875"/>
      <c r="PHN8" s="875"/>
      <c r="PHO8" s="875"/>
      <c r="PHP8" s="875"/>
      <c r="PHQ8" s="875"/>
      <c r="PHR8" s="875"/>
      <c r="PHS8" s="875"/>
      <c r="PHT8" s="875"/>
      <c r="PHU8" s="875"/>
      <c r="PHV8" s="875"/>
      <c r="PHW8" s="875"/>
      <c r="PHX8" s="875"/>
      <c r="PHY8" s="875"/>
      <c r="PHZ8" s="875"/>
      <c r="PIA8" s="875"/>
      <c r="PIB8" s="875"/>
      <c r="PIC8" s="875"/>
      <c r="PID8" s="875"/>
      <c r="PIE8" s="875"/>
      <c r="PIF8" s="875"/>
      <c r="PIG8" s="875"/>
      <c r="PIH8" s="875"/>
      <c r="PII8" s="875"/>
      <c r="PIJ8" s="875"/>
      <c r="PIK8" s="875"/>
      <c r="PIL8" s="875"/>
      <c r="PIM8" s="875"/>
      <c r="PIN8" s="875"/>
      <c r="PIO8" s="875"/>
      <c r="PIP8" s="875"/>
      <c r="PIQ8" s="875"/>
      <c r="PIR8" s="875"/>
      <c r="PIS8" s="875"/>
      <c r="PIT8" s="875"/>
      <c r="PIU8" s="875"/>
      <c r="PIV8" s="875"/>
      <c r="PIW8" s="875"/>
      <c r="PIX8" s="875"/>
      <c r="PIY8" s="875"/>
      <c r="PIZ8" s="875"/>
      <c r="PJA8" s="875"/>
      <c r="PJB8" s="875"/>
      <c r="PJC8" s="875"/>
      <c r="PJD8" s="875"/>
      <c r="PJE8" s="875"/>
      <c r="PJF8" s="875"/>
      <c r="PJG8" s="875"/>
      <c r="PJH8" s="875"/>
      <c r="PJI8" s="875"/>
      <c r="PJJ8" s="875"/>
      <c r="PJK8" s="875"/>
      <c r="PJL8" s="875"/>
      <c r="PJM8" s="875"/>
      <c r="PJN8" s="875"/>
      <c r="PJO8" s="875"/>
      <c r="PJP8" s="875"/>
      <c r="PJQ8" s="875"/>
      <c r="PJR8" s="875"/>
      <c r="PJS8" s="875"/>
      <c r="PJT8" s="875"/>
      <c r="PJU8" s="875"/>
      <c r="PJV8" s="875"/>
      <c r="PJW8" s="875"/>
      <c r="PJX8" s="875"/>
      <c r="PJY8" s="875"/>
      <c r="PJZ8" s="875"/>
      <c r="PKA8" s="875"/>
      <c r="PKB8" s="875"/>
      <c r="PKC8" s="875"/>
      <c r="PKD8" s="875"/>
      <c r="PKE8" s="875"/>
      <c r="PKF8" s="875"/>
      <c r="PKG8" s="875"/>
      <c r="PKH8" s="875"/>
      <c r="PKI8" s="875"/>
      <c r="PKJ8" s="875"/>
      <c r="PKK8" s="875"/>
      <c r="PKL8" s="875"/>
      <c r="PKM8" s="875"/>
      <c r="PKN8" s="875"/>
      <c r="PKO8" s="875"/>
      <c r="PKP8" s="875"/>
      <c r="PKQ8" s="875"/>
      <c r="PKR8" s="875"/>
      <c r="PKS8" s="875"/>
      <c r="PKT8" s="875"/>
      <c r="PKU8" s="875"/>
      <c r="PKV8" s="875"/>
      <c r="PKW8" s="875"/>
      <c r="PKX8" s="875"/>
      <c r="PKY8" s="875"/>
      <c r="PKZ8" s="875"/>
      <c r="PLA8" s="875"/>
      <c r="PLB8" s="875"/>
      <c r="PLC8" s="875"/>
      <c r="PLD8" s="875"/>
      <c r="PLE8" s="875"/>
      <c r="PLF8" s="875"/>
      <c r="PLG8" s="875"/>
      <c r="PLH8" s="875"/>
      <c r="PLI8" s="875"/>
      <c r="PLJ8" s="875"/>
      <c r="PLK8" s="875"/>
      <c r="PLL8" s="875"/>
      <c r="PLM8" s="875"/>
      <c r="PLN8" s="875"/>
      <c r="PLO8" s="875"/>
      <c r="PLP8" s="875"/>
      <c r="PLQ8" s="875"/>
      <c r="PLR8" s="875"/>
      <c r="PLS8" s="875"/>
      <c r="PLT8" s="875"/>
      <c r="PLU8" s="875"/>
      <c r="PLV8" s="875"/>
      <c r="PLW8" s="875"/>
      <c r="PLX8" s="875"/>
      <c r="PLY8" s="875"/>
      <c r="PLZ8" s="875"/>
      <c r="PMA8" s="875"/>
      <c r="PMB8" s="875"/>
      <c r="PMC8" s="875"/>
      <c r="PMD8" s="875"/>
      <c r="PME8" s="875"/>
      <c r="PMF8" s="875"/>
      <c r="PMG8" s="875"/>
      <c r="PMH8" s="875"/>
      <c r="PMI8" s="875"/>
      <c r="PMJ8" s="875"/>
      <c r="PMK8" s="875"/>
      <c r="PML8" s="875"/>
      <c r="PMM8" s="875"/>
      <c r="PMN8" s="875"/>
      <c r="PMO8" s="875"/>
      <c r="PMP8" s="875"/>
      <c r="PMQ8" s="875"/>
      <c r="PMR8" s="875"/>
      <c r="PMS8" s="875"/>
      <c r="PMT8" s="875"/>
      <c r="PMU8" s="875"/>
      <c r="PMV8" s="875"/>
      <c r="PMW8" s="875"/>
      <c r="PMX8" s="875"/>
      <c r="PMY8" s="875"/>
      <c r="PMZ8" s="875"/>
      <c r="PNA8" s="875"/>
      <c r="PNB8" s="875"/>
      <c r="PNC8" s="875"/>
      <c r="PND8" s="875"/>
      <c r="PNE8" s="875"/>
      <c r="PNF8" s="875"/>
      <c r="PNG8" s="875"/>
      <c r="PNH8" s="875"/>
      <c r="PNI8" s="875"/>
      <c r="PNJ8" s="875"/>
      <c r="PNK8" s="875"/>
      <c r="PNL8" s="875"/>
      <c r="PNM8" s="875"/>
      <c r="PNN8" s="875"/>
      <c r="PNO8" s="875"/>
      <c r="PNP8" s="875"/>
      <c r="PNQ8" s="875"/>
      <c r="PNR8" s="875"/>
      <c r="PNS8" s="875"/>
      <c r="PNT8" s="875"/>
      <c r="PNU8" s="875"/>
      <c r="PNV8" s="875"/>
      <c r="PNW8" s="875"/>
      <c r="PNX8" s="875"/>
      <c r="PNY8" s="875"/>
      <c r="PNZ8" s="875"/>
      <c r="POA8" s="875"/>
      <c r="POB8" s="875"/>
      <c r="POC8" s="875"/>
      <c r="POD8" s="875"/>
      <c r="POE8" s="875"/>
      <c r="POF8" s="875"/>
      <c r="POG8" s="875"/>
      <c r="POH8" s="875"/>
      <c r="POI8" s="875"/>
      <c r="POJ8" s="875"/>
      <c r="POK8" s="875"/>
      <c r="POL8" s="875"/>
      <c r="POM8" s="875"/>
      <c r="PON8" s="875"/>
      <c r="POO8" s="875"/>
      <c r="POP8" s="875"/>
      <c r="POQ8" s="875"/>
      <c r="POR8" s="875"/>
      <c r="POS8" s="875"/>
      <c r="POT8" s="875"/>
      <c r="POU8" s="875"/>
      <c r="POV8" s="875"/>
      <c r="POW8" s="875"/>
      <c r="POX8" s="875"/>
      <c r="POY8" s="875"/>
      <c r="POZ8" s="875"/>
      <c r="PPA8" s="875"/>
      <c r="PPB8" s="875"/>
      <c r="PPC8" s="875"/>
      <c r="PPD8" s="875"/>
      <c r="PPE8" s="875"/>
      <c r="PPF8" s="875"/>
      <c r="PPG8" s="875"/>
      <c r="PPH8" s="875"/>
      <c r="PPI8" s="875"/>
      <c r="PPJ8" s="875"/>
      <c r="PPK8" s="875"/>
      <c r="PPL8" s="875"/>
      <c r="PPM8" s="875"/>
      <c r="PPN8" s="875"/>
      <c r="PPO8" s="875"/>
      <c r="PPP8" s="875"/>
      <c r="PPQ8" s="875"/>
      <c r="PPR8" s="875"/>
      <c r="PPS8" s="875"/>
      <c r="PPT8" s="875"/>
      <c r="PPU8" s="875"/>
      <c r="PPV8" s="875"/>
      <c r="PPW8" s="875"/>
      <c r="PPX8" s="875"/>
      <c r="PPY8" s="875"/>
      <c r="PPZ8" s="875"/>
      <c r="PQA8" s="875"/>
      <c r="PQB8" s="875"/>
      <c r="PQC8" s="875"/>
      <c r="PQD8" s="875"/>
      <c r="PQE8" s="875"/>
      <c r="PQF8" s="875"/>
      <c r="PQG8" s="875"/>
      <c r="PQH8" s="875"/>
      <c r="PQI8" s="875"/>
      <c r="PQJ8" s="875"/>
      <c r="PQK8" s="875"/>
      <c r="PQL8" s="875"/>
      <c r="PQM8" s="875"/>
      <c r="PQN8" s="875"/>
      <c r="PQO8" s="875"/>
      <c r="PQP8" s="875"/>
      <c r="PQQ8" s="875"/>
      <c r="PQR8" s="875"/>
      <c r="PQS8" s="875"/>
      <c r="PQT8" s="875"/>
      <c r="PQU8" s="875"/>
      <c r="PQV8" s="875"/>
      <c r="PQW8" s="875"/>
      <c r="PQX8" s="875"/>
      <c r="PQY8" s="875"/>
      <c r="PQZ8" s="875"/>
      <c r="PRA8" s="875"/>
      <c r="PRB8" s="875"/>
      <c r="PRC8" s="875"/>
      <c r="PRD8" s="875"/>
      <c r="PRE8" s="875"/>
      <c r="PRF8" s="875"/>
      <c r="PRG8" s="875"/>
      <c r="PRH8" s="875"/>
      <c r="PRI8" s="875"/>
      <c r="PRJ8" s="875"/>
      <c r="PRK8" s="875"/>
      <c r="PRL8" s="875"/>
      <c r="PRM8" s="875"/>
      <c r="PRN8" s="875"/>
      <c r="PRO8" s="875"/>
      <c r="PRP8" s="875"/>
      <c r="PRQ8" s="875"/>
      <c r="PRR8" s="875"/>
      <c r="PRS8" s="875"/>
      <c r="PRT8" s="875"/>
      <c r="PRU8" s="875"/>
      <c r="PRV8" s="875"/>
      <c r="PRW8" s="875"/>
      <c r="PRX8" s="875"/>
      <c r="PRY8" s="875"/>
      <c r="PRZ8" s="875"/>
      <c r="PSA8" s="875"/>
      <c r="PSB8" s="875"/>
      <c r="PSC8" s="875"/>
      <c r="PSD8" s="875"/>
      <c r="PSE8" s="875"/>
      <c r="PSF8" s="875"/>
      <c r="PSG8" s="875"/>
      <c r="PSH8" s="875"/>
      <c r="PSI8" s="875"/>
      <c r="PSJ8" s="875"/>
      <c r="PSK8" s="875"/>
      <c r="PSL8" s="875"/>
      <c r="PSM8" s="875"/>
      <c r="PSN8" s="875"/>
      <c r="PSO8" s="875"/>
      <c r="PSP8" s="875"/>
      <c r="PSQ8" s="875"/>
      <c r="PSR8" s="875"/>
      <c r="PSS8" s="875"/>
      <c r="PST8" s="875"/>
      <c r="PSU8" s="875"/>
      <c r="PSV8" s="875"/>
      <c r="PSW8" s="875"/>
      <c r="PSX8" s="875"/>
      <c r="PSY8" s="875"/>
      <c r="PSZ8" s="875"/>
      <c r="PTA8" s="875"/>
      <c r="PTB8" s="875"/>
      <c r="PTC8" s="875"/>
      <c r="PTD8" s="875"/>
      <c r="PTE8" s="875"/>
      <c r="PTF8" s="875"/>
      <c r="PTG8" s="875"/>
      <c r="PTH8" s="875"/>
      <c r="PTI8" s="875"/>
      <c r="PTJ8" s="875"/>
      <c r="PTK8" s="875"/>
      <c r="PTL8" s="875"/>
      <c r="PTM8" s="875"/>
      <c r="PTN8" s="875"/>
      <c r="PTO8" s="875"/>
      <c r="PTP8" s="875"/>
      <c r="PTQ8" s="875"/>
      <c r="PTR8" s="875"/>
      <c r="PTS8" s="875"/>
      <c r="PTT8" s="875"/>
      <c r="PTU8" s="875"/>
      <c r="PTV8" s="875"/>
      <c r="PTW8" s="875"/>
      <c r="PTX8" s="875"/>
      <c r="PTY8" s="875"/>
      <c r="PTZ8" s="875"/>
      <c r="PUA8" s="875"/>
      <c r="PUB8" s="875"/>
      <c r="PUC8" s="875"/>
      <c r="PUD8" s="875"/>
      <c r="PUE8" s="875"/>
      <c r="PUF8" s="875"/>
      <c r="PUG8" s="875"/>
      <c r="PUH8" s="875"/>
      <c r="PUI8" s="875"/>
      <c r="PUJ8" s="875"/>
      <c r="PUK8" s="875"/>
      <c r="PUL8" s="875"/>
      <c r="PUM8" s="875"/>
      <c r="PUN8" s="875"/>
      <c r="PUO8" s="875"/>
      <c r="PUP8" s="875"/>
      <c r="PUQ8" s="875"/>
      <c r="PUR8" s="875"/>
      <c r="PUS8" s="875"/>
      <c r="PUT8" s="875"/>
      <c r="PUU8" s="875"/>
      <c r="PUV8" s="875"/>
      <c r="PUW8" s="875"/>
      <c r="PUX8" s="875"/>
      <c r="PUY8" s="875"/>
      <c r="PUZ8" s="875"/>
      <c r="PVA8" s="875"/>
      <c r="PVB8" s="875"/>
      <c r="PVC8" s="875"/>
      <c r="PVD8" s="875"/>
      <c r="PVE8" s="875"/>
      <c r="PVF8" s="875"/>
      <c r="PVG8" s="875"/>
      <c r="PVH8" s="875"/>
      <c r="PVI8" s="875"/>
      <c r="PVJ8" s="875"/>
      <c r="PVK8" s="875"/>
      <c r="PVL8" s="875"/>
      <c r="PVM8" s="875"/>
      <c r="PVN8" s="875"/>
      <c r="PVO8" s="875"/>
      <c r="PVP8" s="875"/>
      <c r="PVQ8" s="875"/>
      <c r="PVR8" s="875"/>
      <c r="PVS8" s="875"/>
      <c r="PVT8" s="875"/>
      <c r="PVU8" s="875"/>
      <c r="PVV8" s="875"/>
      <c r="PVW8" s="875"/>
      <c r="PVX8" s="875"/>
      <c r="PVY8" s="875"/>
      <c r="PVZ8" s="875"/>
      <c r="PWA8" s="875"/>
      <c r="PWB8" s="875"/>
      <c r="PWC8" s="875"/>
      <c r="PWD8" s="875"/>
      <c r="PWE8" s="875"/>
      <c r="PWF8" s="875"/>
      <c r="PWG8" s="875"/>
      <c r="PWH8" s="875"/>
      <c r="PWI8" s="875"/>
      <c r="PWJ8" s="875"/>
      <c r="PWK8" s="875"/>
      <c r="PWL8" s="875"/>
      <c r="PWM8" s="875"/>
      <c r="PWN8" s="875"/>
      <c r="PWO8" s="875"/>
      <c r="PWP8" s="875"/>
      <c r="PWQ8" s="875"/>
      <c r="PWR8" s="875"/>
      <c r="PWS8" s="875"/>
      <c r="PWT8" s="875"/>
      <c r="PWU8" s="875"/>
      <c r="PWV8" s="875"/>
      <c r="PWW8" s="875"/>
      <c r="PWX8" s="875"/>
      <c r="PWY8" s="875"/>
      <c r="PWZ8" s="875"/>
      <c r="PXA8" s="875"/>
      <c r="PXB8" s="875"/>
      <c r="PXC8" s="875"/>
      <c r="PXD8" s="875"/>
      <c r="PXE8" s="875"/>
      <c r="PXF8" s="875"/>
      <c r="PXG8" s="875"/>
      <c r="PXH8" s="875"/>
      <c r="PXI8" s="875"/>
      <c r="PXJ8" s="875"/>
      <c r="PXK8" s="875"/>
      <c r="PXL8" s="875"/>
      <c r="PXM8" s="875"/>
      <c r="PXN8" s="875"/>
      <c r="PXO8" s="875"/>
      <c r="PXP8" s="875"/>
      <c r="PXQ8" s="875"/>
      <c r="PXR8" s="875"/>
      <c r="PXS8" s="875"/>
      <c r="PXT8" s="875"/>
      <c r="PXU8" s="875"/>
      <c r="PXV8" s="875"/>
      <c r="PXW8" s="875"/>
      <c r="PXX8" s="875"/>
      <c r="PXY8" s="875"/>
      <c r="PXZ8" s="875"/>
      <c r="PYA8" s="875"/>
      <c r="PYB8" s="875"/>
      <c r="PYC8" s="875"/>
      <c r="PYD8" s="875"/>
      <c r="PYE8" s="875"/>
      <c r="PYF8" s="875"/>
      <c r="PYG8" s="875"/>
      <c r="PYH8" s="875"/>
      <c r="PYI8" s="875"/>
      <c r="PYJ8" s="875"/>
      <c r="PYK8" s="875"/>
      <c r="PYL8" s="875"/>
      <c r="PYM8" s="875"/>
      <c r="PYN8" s="875"/>
      <c r="PYO8" s="875"/>
      <c r="PYP8" s="875"/>
      <c r="PYQ8" s="875"/>
      <c r="PYR8" s="875"/>
      <c r="PYS8" s="875"/>
      <c r="PYT8" s="875"/>
      <c r="PYU8" s="875"/>
      <c r="PYV8" s="875"/>
      <c r="PYW8" s="875"/>
      <c r="PYX8" s="875"/>
      <c r="PYY8" s="875"/>
      <c r="PYZ8" s="875"/>
      <c r="PZA8" s="875"/>
      <c r="PZB8" s="875"/>
      <c r="PZC8" s="875"/>
      <c r="PZD8" s="875"/>
      <c r="PZE8" s="875"/>
      <c r="PZF8" s="875"/>
      <c r="PZG8" s="875"/>
      <c r="PZH8" s="875"/>
      <c r="PZI8" s="875"/>
      <c r="PZJ8" s="875"/>
      <c r="PZK8" s="875"/>
      <c r="PZL8" s="875"/>
      <c r="PZM8" s="875"/>
      <c r="PZN8" s="875"/>
      <c r="PZO8" s="875"/>
      <c r="PZP8" s="875"/>
      <c r="PZQ8" s="875"/>
      <c r="PZR8" s="875"/>
      <c r="PZS8" s="875"/>
      <c r="PZT8" s="875"/>
      <c r="PZU8" s="875"/>
      <c r="PZV8" s="875"/>
      <c r="PZW8" s="875"/>
      <c r="PZX8" s="875"/>
      <c r="PZY8" s="875"/>
      <c r="PZZ8" s="875"/>
      <c r="QAA8" s="875"/>
      <c r="QAB8" s="875"/>
      <c r="QAC8" s="875"/>
      <c r="QAD8" s="875"/>
      <c r="QAE8" s="875"/>
      <c r="QAF8" s="875"/>
      <c r="QAG8" s="875"/>
      <c r="QAH8" s="875"/>
      <c r="QAI8" s="875"/>
      <c r="QAJ8" s="875"/>
      <c r="QAK8" s="875"/>
      <c r="QAL8" s="875"/>
      <c r="QAM8" s="875"/>
      <c r="QAN8" s="875"/>
      <c r="QAO8" s="875"/>
      <c r="QAP8" s="875"/>
      <c r="QAQ8" s="875"/>
      <c r="QAR8" s="875"/>
      <c r="QAS8" s="875"/>
      <c r="QAT8" s="875"/>
      <c r="QAU8" s="875"/>
      <c r="QAV8" s="875"/>
      <c r="QAW8" s="875"/>
      <c r="QAX8" s="875"/>
      <c r="QAY8" s="875"/>
      <c r="QAZ8" s="875"/>
      <c r="QBA8" s="875"/>
      <c r="QBB8" s="875"/>
      <c r="QBC8" s="875"/>
      <c r="QBD8" s="875"/>
      <c r="QBE8" s="875"/>
      <c r="QBF8" s="875"/>
      <c r="QBG8" s="875"/>
      <c r="QBH8" s="875"/>
      <c r="QBI8" s="875"/>
      <c r="QBJ8" s="875"/>
      <c r="QBK8" s="875"/>
      <c r="QBL8" s="875"/>
      <c r="QBM8" s="875"/>
      <c r="QBN8" s="875"/>
      <c r="QBO8" s="875"/>
      <c r="QBP8" s="875"/>
      <c r="QBQ8" s="875"/>
      <c r="QBR8" s="875"/>
      <c r="QBS8" s="875"/>
      <c r="QBT8" s="875"/>
      <c r="QBU8" s="875"/>
      <c r="QBV8" s="875"/>
      <c r="QBW8" s="875"/>
      <c r="QBX8" s="875"/>
      <c r="QBY8" s="875"/>
      <c r="QBZ8" s="875"/>
      <c r="QCA8" s="875"/>
      <c r="QCB8" s="875"/>
      <c r="QCC8" s="875"/>
      <c r="QCD8" s="875"/>
      <c r="QCE8" s="875"/>
      <c r="QCF8" s="875"/>
      <c r="QCG8" s="875"/>
      <c r="QCH8" s="875"/>
      <c r="QCI8" s="875"/>
      <c r="QCJ8" s="875"/>
      <c r="QCK8" s="875"/>
      <c r="QCL8" s="875"/>
      <c r="QCM8" s="875"/>
      <c r="QCN8" s="875"/>
      <c r="QCO8" s="875"/>
      <c r="QCP8" s="875"/>
      <c r="QCQ8" s="875"/>
      <c r="QCR8" s="875"/>
      <c r="QCS8" s="875"/>
      <c r="QCT8" s="875"/>
      <c r="QCU8" s="875"/>
      <c r="QCV8" s="875"/>
      <c r="QCW8" s="875"/>
      <c r="QCX8" s="875"/>
      <c r="QCY8" s="875"/>
      <c r="QCZ8" s="875"/>
      <c r="QDA8" s="875"/>
      <c r="QDB8" s="875"/>
      <c r="QDC8" s="875"/>
      <c r="QDD8" s="875"/>
      <c r="QDE8" s="875"/>
      <c r="QDF8" s="875"/>
      <c r="QDG8" s="875"/>
      <c r="QDH8" s="875"/>
      <c r="QDI8" s="875"/>
      <c r="QDJ8" s="875"/>
      <c r="QDK8" s="875"/>
      <c r="QDL8" s="875"/>
      <c r="QDM8" s="875"/>
      <c r="QDN8" s="875"/>
      <c r="QDO8" s="875"/>
      <c r="QDP8" s="875"/>
      <c r="QDQ8" s="875"/>
      <c r="QDR8" s="875"/>
      <c r="QDS8" s="875"/>
      <c r="QDT8" s="875"/>
      <c r="QDU8" s="875"/>
      <c r="QDV8" s="875"/>
      <c r="QDW8" s="875"/>
      <c r="QDX8" s="875"/>
      <c r="QDY8" s="875"/>
      <c r="QDZ8" s="875"/>
      <c r="QEA8" s="875"/>
      <c r="QEB8" s="875"/>
      <c r="QEC8" s="875"/>
      <c r="QED8" s="875"/>
      <c r="QEE8" s="875"/>
      <c r="QEF8" s="875"/>
      <c r="QEG8" s="875"/>
      <c r="QEH8" s="875"/>
      <c r="QEI8" s="875"/>
      <c r="QEJ8" s="875"/>
      <c r="QEK8" s="875"/>
      <c r="QEL8" s="875"/>
      <c r="QEM8" s="875"/>
      <c r="QEN8" s="875"/>
      <c r="QEO8" s="875"/>
      <c r="QEP8" s="875"/>
      <c r="QEQ8" s="875"/>
      <c r="QER8" s="875"/>
      <c r="QES8" s="875"/>
      <c r="QET8" s="875"/>
      <c r="QEU8" s="875"/>
      <c r="QEV8" s="875"/>
      <c r="QEW8" s="875"/>
      <c r="QEX8" s="875"/>
      <c r="QEY8" s="875"/>
      <c r="QEZ8" s="875"/>
      <c r="QFA8" s="875"/>
      <c r="QFB8" s="875"/>
      <c r="QFC8" s="875"/>
      <c r="QFD8" s="875"/>
      <c r="QFE8" s="875"/>
      <c r="QFF8" s="875"/>
      <c r="QFG8" s="875"/>
      <c r="QFH8" s="875"/>
      <c r="QFI8" s="875"/>
      <c r="QFJ8" s="875"/>
      <c r="QFK8" s="875"/>
      <c r="QFL8" s="875"/>
      <c r="QFM8" s="875"/>
      <c r="QFN8" s="875"/>
      <c r="QFO8" s="875"/>
      <c r="QFP8" s="875"/>
      <c r="QFQ8" s="875"/>
      <c r="QFR8" s="875"/>
      <c r="QFS8" s="875"/>
      <c r="QFT8" s="875"/>
      <c r="QFU8" s="875"/>
      <c r="QFV8" s="875"/>
      <c r="QFW8" s="875"/>
      <c r="QFX8" s="875"/>
      <c r="QFY8" s="875"/>
      <c r="QFZ8" s="875"/>
      <c r="QGA8" s="875"/>
      <c r="QGB8" s="875"/>
      <c r="QGC8" s="875"/>
      <c r="QGD8" s="875"/>
      <c r="QGE8" s="875"/>
      <c r="QGF8" s="875"/>
      <c r="QGG8" s="875"/>
      <c r="QGH8" s="875"/>
      <c r="QGI8" s="875"/>
      <c r="QGJ8" s="875"/>
      <c r="QGK8" s="875"/>
      <c r="QGL8" s="875"/>
      <c r="QGM8" s="875"/>
      <c r="QGN8" s="875"/>
      <c r="QGO8" s="875"/>
      <c r="QGP8" s="875"/>
      <c r="QGQ8" s="875"/>
      <c r="QGR8" s="875"/>
      <c r="QGS8" s="875"/>
      <c r="QGT8" s="875"/>
      <c r="QGU8" s="875"/>
      <c r="QGV8" s="875"/>
      <c r="QGW8" s="875"/>
      <c r="QGX8" s="875"/>
      <c r="QGY8" s="875"/>
      <c r="QGZ8" s="875"/>
      <c r="QHA8" s="875"/>
      <c r="QHB8" s="875"/>
      <c r="QHC8" s="875"/>
      <c r="QHD8" s="875"/>
      <c r="QHE8" s="875"/>
      <c r="QHF8" s="875"/>
      <c r="QHG8" s="875"/>
      <c r="QHH8" s="875"/>
      <c r="QHI8" s="875"/>
      <c r="QHJ8" s="875"/>
      <c r="QHK8" s="875"/>
      <c r="QHL8" s="875"/>
      <c r="QHM8" s="875"/>
      <c r="QHN8" s="875"/>
      <c r="QHO8" s="875"/>
      <c r="QHP8" s="875"/>
      <c r="QHQ8" s="875"/>
      <c r="QHR8" s="875"/>
      <c r="QHS8" s="875"/>
      <c r="QHT8" s="875"/>
      <c r="QHU8" s="875"/>
      <c r="QHV8" s="875"/>
      <c r="QHW8" s="875"/>
      <c r="QHX8" s="875"/>
      <c r="QHY8" s="875"/>
      <c r="QHZ8" s="875"/>
      <c r="QIA8" s="875"/>
      <c r="QIB8" s="875"/>
      <c r="QIC8" s="875"/>
      <c r="QID8" s="875"/>
      <c r="QIE8" s="875"/>
      <c r="QIF8" s="875"/>
      <c r="QIG8" s="875"/>
      <c r="QIH8" s="875"/>
      <c r="QII8" s="875"/>
      <c r="QIJ8" s="875"/>
      <c r="QIK8" s="875"/>
      <c r="QIL8" s="875"/>
      <c r="QIM8" s="875"/>
      <c r="QIN8" s="875"/>
      <c r="QIO8" s="875"/>
      <c r="QIP8" s="875"/>
      <c r="QIQ8" s="875"/>
      <c r="QIR8" s="875"/>
      <c r="QIS8" s="875"/>
      <c r="QIT8" s="875"/>
      <c r="QIU8" s="875"/>
      <c r="QIV8" s="875"/>
      <c r="QIW8" s="875"/>
      <c r="QIX8" s="875"/>
      <c r="QIY8" s="875"/>
      <c r="QIZ8" s="875"/>
      <c r="QJA8" s="875"/>
      <c r="QJB8" s="875"/>
      <c r="QJC8" s="875"/>
      <c r="QJD8" s="875"/>
      <c r="QJE8" s="875"/>
      <c r="QJF8" s="875"/>
      <c r="QJG8" s="875"/>
      <c r="QJH8" s="875"/>
      <c r="QJI8" s="875"/>
      <c r="QJJ8" s="875"/>
      <c r="QJK8" s="875"/>
      <c r="QJL8" s="875"/>
      <c r="QJM8" s="875"/>
      <c r="QJN8" s="875"/>
      <c r="QJO8" s="875"/>
      <c r="QJP8" s="875"/>
      <c r="QJQ8" s="875"/>
      <c r="QJR8" s="875"/>
      <c r="QJS8" s="875"/>
      <c r="QJT8" s="875"/>
      <c r="QJU8" s="875"/>
      <c r="QJV8" s="875"/>
      <c r="QJW8" s="875"/>
      <c r="QJX8" s="875"/>
      <c r="QJY8" s="875"/>
      <c r="QJZ8" s="875"/>
      <c r="QKA8" s="875"/>
      <c r="QKB8" s="875"/>
      <c r="QKC8" s="875"/>
      <c r="QKD8" s="875"/>
      <c r="QKE8" s="875"/>
      <c r="QKF8" s="875"/>
      <c r="QKG8" s="875"/>
      <c r="QKH8" s="875"/>
      <c r="QKI8" s="875"/>
      <c r="QKJ8" s="875"/>
      <c r="QKK8" s="875"/>
      <c r="QKL8" s="875"/>
      <c r="QKM8" s="875"/>
      <c r="QKN8" s="875"/>
      <c r="QKO8" s="875"/>
      <c r="QKP8" s="875"/>
      <c r="QKQ8" s="875"/>
      <c r="QKR8" s="875"/>
      <c r="QKS8" s="875"/>
      <c r="QKT8" s="875"/>
      <c r="QKU8" s="875"/>
      <c r="QKV8" s="875"/>
      <c r="QKW8" s="875"/>
      <c r="QKX8" s="875"/>
      <c r="QKY8" s="875"/>
      <c r="QKZ8" s="875"/>
      <c r="QLA8" s="875"/>
      <c r="QLB8" s="875"/>
      <c r="QLC8" s="875"/>
      <c r="QLD8" s="875"/>
      <c r="QLE8" s="875"/>
      <c r="QLF8" s="875"/>
      <c r="QLG8" s="875"/>
      <c r="QLH8" s="875"/>
      <c r="QLI8" s="875"/>
      <c r="QLJ8" s="875"/>
      <c r="QLK8" s="875"/>
      <c r="QLL8" s="875"/>
      <c r="QLM8" s="875"/>
      <c r="QLN8" s="875"/>
      <c r="QLO8" s="875"/>
      <c r="QLP8" s="875"/>
      <c r="QLQ8" s="875"/>
      <c r="QLR8" s="875"/>
      <c r="QLS8" s="875"/>
      <c r="QLT8" s="875"/>
      <c r="QLU8" s="875"/>
      <c r="QLV8" s="875"/>
      <c r="QLW8" s="875"/>
      <c r="QLX8" s="875"/>
      <c r="QLY8" s="875"/>
      <c r="QLZ8" s="875"/>
      <c r="QMA8" s="875"/>
      <c r="QMB8" s="875"/>
      <c r="QMC8" s="875"/>
      <c r="QMD8" s="875"/>
      <c r="QME8" s="875"/>
      <c r="QMF8" s="875"/>
      <c r="QMG8" s="875"/>
      <c r="QMH8" s="875"/>
      <c r="QMI8" s="875"/>
      <c r="QMJ8" s="875"/>
      <c r="QMK8" s="875"/>
      <c r="QML8" s="875"/>
      <c r="QMM8" s="875"/>
      <c r="QMN8" s="875"/>
      <c r="QMO8" s="875"/>
      <c r="QMP8" s="875"/>
      <c r="QMQ8" s="875"/>
      <c r="QMR8" s="875"/>
      <c r="QMS8" s="875"/>
      <c r="QMT8" s="875"/>
      <c r="QMU8" s="875"/>
      <c r="QMV8" s="875"/>
      <c r="QMW8" s="875"/>
      <c r="QMX8" s="875"/>
      <c r="QMY8" s="875"/>
      <c r="QMZ8" s="875"/>
      <c r="QNA8" s="875"/>
      <c r="QNB8" s="875"/>
      <c r="QNC8" s="875"/>
      <c r="QND8" s="875"/>
      <c r="QNE8" s="875"/>
      <c r="QNF8" s="875"/>
      <c r="QNG8" s="875"/>
      <c r="QNH8" s="875"/>
      <c r="QNI8" s="875"/>
      <c r="QNJ8" s="875"/>
      <c r="QNK8" s="875"/>
      <c r="QNL8" s="875"/>
      <c r="QNM8" s="875"/>
      <c r="QNN8" s="875"/>
      <c r="QNO8" s="875"/>
      <c r="QNP8" s="875"/>
      <c r="QNQ8" s="875"/>
      <c r="QNR8" s="875"/>
      <c r="QNS8" s="875"/>
      <c r="QNT8" s="875"/>
      <c r="QNU8" s="875"/>
      <c r="QNV8" s="875"/>
      <c r="QNW8" s="875"/>
      <c r="QNX8" s="875"/>
      <c r="QNY8" s="875"/>
      <c r="QNZ8" s="875"/>
      <c r="QOA8" s="875"/>
      <c r="QOB8" s="875"/>
      <c r="QOC8" s="875"/>
      <c r="QOD8" s="875"/>
      <c r="QOE8" s="875"/>
      <c r="QOF8" s="875"/>
      <c r="QOG8" s="875"/>
      <c r="QOH8" s="875"/>
      <c r="QOI8" s="875"/>
      <c r="QOJ8" s="875"/>
      <c r="QOK8" s="875"/>
      <c r="QOL8" s="875"/>
      <c r="QOM8" s="875"/>
      <c r="QON8" s="875"/>
      <c r="QOO8" s="875"/>
      <c r="QOP8" s="875"/>
      <c r="QOQ8" s="875"/>
      <c r="QOR8" s="875"/>
      <c r="QOS8" s="875"/>
      <c r="QOT8" s="875"/>
      <c r="QOU8" s="875"/>
      <c r="QOV8" s="875"/>
      <c r="QOW8" s="875"/>
      <c r="QOX8" s="875"/>
      <c r="QOY8" s="875"/>
      <c r="QOZ8" s="875"/>
      <c r="QPA8" s="875"/>
      <c r="QPB8" s="875"/>
      <c r="QPC8" s="875"/>
      <c r="QPD8" s="875"/>
      <c r="QPE8" s="875"/>
      <c r="QPF8" s="875"/>
      <c r="QPG8" s="875"/>
      <c r="QPH8" s="875"/>
      <c r="QPI8" s="875"/>
      <c r="QPJ8" s="875"/>
      <c r="QPK8" s="875"/>
      <c r="QPL8" s="875"/>
      <c r="QPM8" s="875"/>
      <c r="QPN8" s="875"/>
      <c r="QPO8" s="875"/>
      <c r="QPP8" s="875"/>
      <c r="QPQ8" s="875"/>
      <c r="QPR8" s="875"/>
      <c r="QPS8" s="875"/>
      <c r="QPT8" s="875"/>
      <c r="QPU8" s="875"/>
      <c r="QPV8" s="875"/>
      <c r="QPW8" s="875"/>
      <c r="QPX8" s="875"/>
      <c r="QPY8" s="875"/>
      <c r="QPZ8" s="875"/>
      <c r="QQA8" s="875"/>
      <c r="QQB8" s="875"/>
      <c r="QQC8" s="875"/>
      <c r="QQD8" s="875"/>
      <c r="QQE8" s="875"/>
      <c r="QQF8" s="875"/>
      <c r="QQG8" s="875"/>
      <c r="QQH8" s="875"/>
      <c r="QQI8" s="875"/>
      <c r="QQJ8" s="875"/>
      <c r="QQK8" s="875"/>
      <c r="QQL8" s="875"/>
      <c r="QQM8" s="875"/>
      <c r="QQN8" s="875"/>
      <c r="QQO8" s="875"/>
      <c r="QQP8" s="875"/>
      <c r="QQQ8" s="875"/>
      <c r="QQR8" s="875"/>
      <c r="QQS8" s="875"/>
      <c r="QQT8" s="875"/>
      <c r="QQU8" s="875"/>
      <c r="QQV8" s="875"/>
      <c r="QQW8" s="875"/>
      <c r="QQX8" s="875"/>
      <c r="QQY8" s="875"/>
      <c r="QQZ8" s="875"/>
      <c r="QRA8" s="875"/>
      <c r="QRB8" s="875"/>
      <c r="QRC8" s="875"/>
      <c r="QRD8" s="875"/>
      <c r="QRE8" s="875"/>
      <c r="QRF8" s="875"/>
      <c r="QRG8" s="875"/>
      <c r="QRH8" s="875"/>
      <c r="QRI8" s="875"/>
      <c r="QRJ8" s="875"/>
      <c r="QRK8" s="875"/>
      <c r="QRL8" s="875"/>
      <c r="QRM8" s="875"/>
      <c r="QRN8" s="875"/>
      <c r="QRO8" s="875"/>
      <c r="QRP8" s="875"/>
      <c r="QRQ8" s="875"/>
      <c r="QRR8" s="875"/>
      <c r="QRS8" s="875"/>
      <c r="QRT8" s="875"/>
      <c r="QRU8" s="875"/>
      <c r="QRV8" s="875"/>
      <c r="QRW8" s="875"/>
      <c r="QRX8" s="875"/>
      <c r="QRY8" s="875"/>
      <c r="QRZ8" s="875"/>
      <c r="QSA8" s="875"/>
      <c r="QSB8" s="875"/>
      <c r="QSC8" s="875"/>
      <c r="QSD8" s="875"/>
      <c r="QSE8" s="875"/>
      <c r="QSF8" s="875"/>
      <c r="QSG8" s="875"/>
      <c r="QSH8" s="875"/>
      <c r="QSI8" s="875"/>
      <c r="QSJ8" s="875"/>
      <c r="QSK8" s="875"/>
      <c r="QSL8" s="875"/>
      <c r="QSM8" s="875"/>
      <c r="QSN8" s="875"/>
      <c r="QSO8" s="875"/>
      <c r="QSP8" s="875"/>
      <c r="QSQ8" s="875"/>
      <c r="QSR8" s="875"/>
      <c r="QSS8" s="875"/>
      <c r="QST8" s="875"/>
      <c r="QSU8" s="875"/>
      <c r="QSV8" s="875"/>
      <c r="QSW8" s="875"/>
      <c r="QSX8" s="875"/>
      <c r="QSY8" s="875"/>
      <c r="QSZ8" s="875"/>
      <c r="QTA8" s="875"/>
      <c r="QTB8" s="875"/>
      <c r="QTC8" s="875"/>
      <c r="QTD8" s="875"/>
      <c r="QTE8" s="875"/>
      <c r="QTF8" s="875"/>
      <c r="QTG8" s="875"/>
      <c r="QTH8" s="875"/>
      <c r="QTI8" s="875"/>
      <c r="QTJ8" s="875"/>
      <c r="QTK8" s="875"/>
      <c r="QTL8" s="875"/>
      <c r="QTM8" s="875"/>
      <c r="QTN8" s="875"/>
      <c r="QTO8" s="875"/>
      <c r="QTP8" s="875"/>
      <c r="QTQ8" s="875"/>
      <c r="QTR8" s="875"/>
      <c r="QTS8" s="875"/>
      <c r="QTT8" s="875"/>
      <c r="QTU8" s="875"/>
      <c r="QTV8" s="875"/>
      <c r="QTW8" s="875"/>
      <c r="QTX8" s="875"/>
      <c r="QTY8" s="875"/>
      <c r="QTZ8" s="875"/>
      <c r="QUA8" s="875"/>
      <c r="QUB8" s="875"/>
      <c r="QUC8" s="875"/>
      <c r="QUD8" s="875"/>
      <c r="QUE8" s="875"/>
      <c r="QUF8" s="875"/>
      <c r="QUG8" s="875"/>
      <c r="QUH8" s="875"/>
      <c r="QUI8" s="875"/>
      <c r="QUJ8" s="875"/>
      <c r="QUK8" s="875"/>
      <c r="QUL8" s="875"/>
      <c r="QUM8" s="875"/>
      <c r="QUN8" s="875"/>
      <c r="QUO8" s="875"/>
      <c r="QUP8" s="875"/>
      <c r="QUQ8" s="875"/>
      <c r="QUR8" s="875"/>
      <c r="QUS8" s="875"/>
      <c r="QUT8" s="875"/>
      <c r="QUU8" s="875"/>
      <c r="QUV8" s="875"/>
      <c r="QUW8" s="875"/>
      <c r="QUX8" s="875"/>
      <c r="QUY8" s="875"/>
      <c r="QUZ8" s="875"/>
      <c r="QVA8" s="875"/>
      <c r="QVB8" s="875"/>
      <c r="QVC8" s="875"/>
      <c r="QVD8" s="875"/>
      <c r="QVE8" s="875"/>
      <c r="QVF8" s="875"/>
      <c r="QVG8" s="875"/>
      <c r="QVH8" s="875"/>
      <c r="QVI8" s="875"/>
      <c r="QVJ8" s="875"/>
      <c r="QVK8" s="875"/>
      <c r="QVL8" s="875"/>
      <c r="QVM8" s="875"/>
      <c r="QVN8" s="875"/>
      <c r="QVO8" s="875"/>
      <c r="QVP8" s="875"/>
      <c r="QVQ8" s="875"/>
      <c r="QVR8" s="875"/>
      <c r="QVS8" s="875"/>
      <c r="QVT8" s="875"/>
      <c r="QVU8" s="875"/>
      <c r="QVV8" s="875"/>
      <c r="QVW8" s="875"/>
      <c r="QVX8" s="875"/>
      <c r="QVY8" s="875"/>
      <c r="QVZ8" s="875"/>
      <c r="QWA8" s="875"/>
      <c r="QWB8" s="875"/>
      <c r="QWC8" s="875"/>
      <c r="QWD8" s="875"/>
      <c r="QWE8" s="875"/>
      <c r="QWF8" s="875"/>
      <c r="QWG8" s="875"/>
      <c r="QWH8" s="875"/>
      <c r="QWI8" s="875"/>
      <c r="QWJ8" s="875"/>
      <c r="QWK8" s="875"/>
      <c r="QWL8" s="875"/>
      <c r="QWM8" s="875"/>
      <c r="QWN8" s="875"/>
      <c r="QWO8" s="875"/>
      <c r="QWP8" s="875"/>
      <c r="QWQ8" s="875"/>
      <c r="QWR8" s="875"/>
      <c r="QWS8" s="875"/>
      <c r="QWT8" s="875"/>
      <c r="QWU8" s="875"/>
      <c r="QWV8" s="875"/>
      <c r="QWW8" s="875"/>
      <c r="QWX8" s="875"/>
      <c r="QWY8" s="875"/>
      <c r="QWZ8" s="875"/>
      <c r="QXA8" s="875"/>
      <c r="QXB8" s="875"/>
      <c r="QXC8" s="875"/>
      <c r="QXD8" s="875"/>
      <c r="QXE8" s="875"/>
      <c r="QXF8" s="875"/>
      <c r="QXG8" s="875"/>
      <c r="QXH8" s="875"/>
      <c r="QXI8" s="875"/>
      <c r="QXJ8" s="875"/>
      <c r="QXK8" s="875"/>
      <c r="QXL8" s="875"/>
      <c r="QXM8" s="875"/>
      <c r="QXN8" s="875"/>
      <c r="QXO8" s="875"/>
      <c r="QXP8" s="875"/>
      <c r="QXQ8" s="875"/>
      <c r="QXR8" s="875"/>
      <c r="QXS8" s="875"/>
      <c r="QXT8" s="875"/>
      <c r="QXU8" s="875"/>
      <c r="QXV8" s="875"/>
      <c r="QXW8" s="875"/>
      <c r="QXX8" s="875"/>
      <c r="QXY8" s="875"/>
      <c r="QXZ8" s="875"/>
      <c r="QYA8" s="875"/>
      <c r="QYB8" s="875"/>
      <c r="QYC8" s="875"/>
      <c r="QYD8" s="875"/>
      <c r="QYE8" s="875"/>
      <c r="QYF8" s="875"/>
      <c r="QYG8" s="875"/>
      <c r="QYH8" s="875"/>
      <c r="QYI8" s="875"/>
      <c r="QYJ8" s="875"/>
      <c r="QYK8" s="875"/>
      <c r="QYL8" s="875"/>
      <c r="QYM8" s="875"/>
      <c r="QYN8" s="875"/>
      <c r="QYO8" s="875"/>
      <c r="QYP8" s="875"/>
      <c r="QYQ8" s="875"/>
      <c r="QYR8" s="875"/>
      <c r="QYS8" s="875"/>
      <c r="QYT8" s="875"/>
      <c r="QYU8" s="875"/>
      <c r="QYV8" s="875"/>
      <c r="QYW8" s="875"/>
      <c r="QYX8" s="875"/>
      <c r="QYY8" s="875"/>
      <c r="QYZ8" s="875"/>
      <c r="QZA8" s="875"/>
      <c r="QZB8" s="875"/>
      <c r="QZC8" s="875"/>
      <c r="QZD8" s="875"/>
      <c r="QZE8" s="875"/>
      <c r="QZF8" s="875"/>
      <c r="QZG8" s="875"/>
      <c r="QZH8" s="875"/>
      <c r="QZI8" s="875"/>
      <c r="QZJ8" s="875"/>
      <c r="QZK8" s="875"/>
      <c r="QZL8" s="875"/>
      <c r="QZM8" s="875"/>
      <c r="QZN8" s="875"/>
      <c r="QZO8" s="875"/>
      <c r="QZP8" s="875"/>
      <c r="QZQ8" s="875"/>
      <c r="QZR8" s="875"/>
      <c r="QZS8" s="875"/>
      <c r="QZT8" s="875"/>
      <c r="QZU8" s="875"/>
      <c r="QZV8" s="875"/>
      <c r="QZW8" s="875"/>
      <c r="QZX8" s="875"/>
      <c r="QZY8" s="875"/>
      <c r="QZZ8" s="875"/>
      <c r="RAA8" s="875"/>
      <c r="RAB8" s="875"/>
      <c r="RAC8" s="875"/>
      <c r="RAD8" s="875"/>
      <c r="RAE8" s="875"/>
      <c r="RAF8" s="875"/>
      <c r="RAG8" s="875"/>
      <c r="RAH8" s="875"/>
      <c r="RAI8" s="875"/>
      <c r="RAJ8" s="875"/>
      <c r="RAK8" s="875"/>
      <c r="RAL8" s="875"/>
      <c r="RAM8" s="875"/>
      <c r="RAN8" s="875"/>
      <c r="RAO8" s="875"/>
      <c r="RAP8" s="875"/>
      <c r="RAQ8" s="875"/>
      <c r="RAR8" s="875"/>
      <c r="RAS8" s="875"/>
      <c r="RAT8" s="875"/>
      <c r="RAU8" s="875"/>
      <c r="RAV8" s="875"/>
      <c r="RAW8" s="875"/>
      <c r="RAX8" s="875"/>
      <c r="RAY8" s="875"/>
      <c r="RAZ8" s="875"/>
      <c r="RBA8" s="875"/>
      <c r="RBB8" s="875"/>
      <c r="RBC8" s="875"/>
      <c r="RBD8" s="875"/>
      <c r="RBE8" s="875"/>
      <c r="RBF8" s="875"/>
      <c r="RBG8" s="875"/>
      <c r="RBH8" s="875"/>
      <c r="RBI8" s="875"/>
      <c r="RBJ8" s="875"/>
      <c r="RBK8" s="875"/>
      <c r="RBL8" s="875"/>
      <c r="RBM8" s="875"/>
      <c r="RBN8" s="875"/>
      <c r="RBO8" s="875"/>
      <c r="RBP8" s="875"/>
      <c r="RBQ8" s="875"/>
      <c r="RBR8" s="875"/>
      <c r="RBS8" s="875"/>
      <c r="RBT8" s="875"/>
      <c r="RBU8" s="875"/>
      <c r="RBV8" s="875"/>
      <c r="RBW8" s="875"/>
      <c r="RBX8" s="875"/>
      <c r="RBY8" s="875"/>
      <c r="RBZ8" s="875"/>
      <c r="RCA8" s="875"/>
      <c r="RCB8" s="875"/>
      <c r="RCC8" s="875"/>
      <c r="RCD8" s="875"/>
      <c r="RCE8" s="875"/>
      <c r="RCF8" s="875"/>
      <c r="RCG8" s="875"/>
      <c r="RCH8" s="875"/>
      <c r="RCI8" s="875"/>
      <c r="RCJ8" s="875"/>
      <c r="RCK8" s="875"/>
      <c r="RCL8" s="875"/>
      <c r="RCM8" s="875"/>
      <c r="RCN8" s="875"/>
      <c r="RCO8" s="875"/>
      <c r="RCP8" s="875"/>
      <c r="RCQ8" s="875"/>
      <c r="RCR8" s="875"/>
      <c r="RCS8" s="875"/>
      <c r="RCT8" s="875"/>
      <c r="RCU8" s="875"/>
      <c r="RCV8" s="875"/>
      <c r="RCW8" s="875"/>
      <c r="RCX8" s="875"/>
      <c r="RCY8" s="875"/>
      <c r="RCZ8" s="875"/>
      <c r="RDA8" s="875"/>
      <c r="RDB8" s="875"/>
      <c r="RDC8" s="875"/>
      <c r="RDD8" s="875"/>
      <c r="RDE8" s="875"/>
      <c r="RDF8" s="875"/>
      <c r="RDG8" s="875"/>
      <c r="RDH8" s="875"/>
      <c r="RDI8" s="875"/>
      <c r="RDJ8" s="875"/>
      <c r="RDK8" s="875"/>
      <c r="RDL8" s="875"/>
      <c r="RDM8" s="875"/>
      <c r="RDN8" s="875"/>
      <c r="RDO8" s="875"/>
      <c r="RDP8" s="875"/>
      <c r="RDQ8" s="875"/>
      <c r="RDR8" s="875"/>
      <c r="RDS8" s="875"/>
      <c r="RDT8" s="875"/>
      <c r="RDU8" s="875"/>
      <c r="RDV8" s="875"/>
      <c r="RDW8" s="875"/>
      <c r="RDX8" s="875"/>
      <c r="RDY8" s="875"/>
      <c r="RDZ8" s="875"/>
      <c r="REA8" s="875"/>
      <c r="REB8" s="875"/>
      <c r="REC8" s="875"/>
      <c r="RED8" s="875"/>
      <c r="REE8" s="875"/>
      <c r="REF8" s="875"/>
      <c r="REG8" s="875"/>
      <c r="REH8" s="875"/>
      <c r="REI8" s="875"/>
      <c r="REJ8" s="875"/>
      <c r="REK8" s="875"/>
      <c r="REL8" s="875"/>
      <c r="REM8" s="875"/>
      <c r="REN8" s="875"/>
      <c r="REO8" s="875"/>
      <c r="REP8" s="875"/>
      <c r="REQ8" s="875"/>
      <c r="RER8" s="875"/>
      <c r="RES8" s="875"/>
      <c r="RET8" s="875"/>
      <c r="REU8" s="875"/>
      <c r="REV8" s="875"/>
      <c r="REW8" s="875"/>
      <c r="REX8" s="875"/>
      <c r="REY8" s="875"/>
      <c r="REZ8" s="875"/>
      <c r="RFA8" s="875"/>
      <c r="RFB8" s="875"/>
      <c r="RFC8" s="875"/>
      <c r="RFD8" s="875"/>
      <c r="RFE8" s="875"/>
      <c r="RFF8" s="875"/>
      <c r="RFG8" s="875"/>
      <c r="RFH8" s="875"/>
      <c r="RFI8" s="875"/>
      <c r="RFJ8" s="875"/>
      <c r="RFK8" s="875"/>
      <c r="RFL8" s="875"/>
      <c r="RFM8" s="875"/>
      <c r="RFN8" s="875"/>
      <c r="RFO8" s="875"/>
      <c r="RFP8" s="875"/>
      <c r="RFQ8" s="875"/>
      <c r="RFR8" s="875"/>
      <c r="RFS8" s="875"/>
      <c r="RFT8" s="875"/>
      <c r="RFU8" s="875"/>
      <c r="RFV8" s="875"/>
      <c r="RFW8" s="875"/>
      <c r="RFX8" s="875"/>
      <c r="RFY8" s="875"/>
      <c r="RFZ8" s="875"/>
      <c r="RGA8" s="875"/>
      <c r="RGB8" s="875"/>
      <c r="RGC8" s="875"/>
      <c r="RGD8" s="875"/>
      <c r="RGE8" s="875"/>
      <c r="RGF8" s="875"/>
      <c r="RGG8" s="875"/>
      <c r="RGH8" s="875"/>
      <c r="RGI8" s="875"/>
      <c r="RGJ8" s="875"/>
      <c r="RGK8" s="875"/>
      <c r="RGL8" s="875"/>
      <c r="RGM8" s="875"/>
      <c r="RGN8" s="875"/>
      <c r="RGO8" s="875"/>
      <c r="RGP8" s="875"/>
      <c r="RGQ8" s="875"/>
      <c r="RGR8" s="875"/>
      <c r="RGS8" s="875"/>
      <c r="RGT8" s="875"/>
      <c r="RGU8" s="875"/>
      <c r="RGV8" s="875"/>
      <c r="RGW8" s="875"/>
      <c r="RGX8" s="875"/>
      <c r="RGY8" s="875"/>
      <c r="RGZ8" s="875"/>
      <c r="RHA8" s="875"/>
      <c r="RHB8" s="875"/>
      <c r="RHC8" s="875"/>
      <c r="RHD8" s="875"/>
      <c r="RHE8" s="875"/>
      <c r="RHF8" s="875"/>
      <c r="RHG8" s="875"/>
      <c r="RHH8" s="875"/>
      <c r="RHI8" s="875"/>
      <c r="RHJ8" s="875"/>
      <c r="RHK8" s="875"/>
      <c r="RHL8" s="875"/>
      <c r="RHM8" s="875"/>
      <c r="RHN8" s="875"/>
      <c r="RHO8" s="875"/>
      <c r="RHP8" s="875"/>
      <c r="RHQ8" s="875"/>
      <c r="RHR8" s="875"/>
      <c r="RHS8" s="875"/>
      <c r="RHT8" s="875"/>
      <c r="RHU8" s="875"/>
      <c r="RHV8" s="875"/>
      <c r="RHW8" s="875"/>
      <c r="RHX8" s="875"/>
      <c r="RHY8" s="875"/>
      <c r="RHZ8" s="875"/>
      <c r="RIA8" s="875"/>
      <c r="RIB8" s="875"/>
      <c r="RIC8" s="875"/>
      <c r="RID8" s="875"/>
      <c r="RIE8" s="875"/>
      <c r="RIF8" s="875"/>
      <c r="RIG8" s="875"/>
      <c r="RIH8" s="875"/>
      <c r="RII8" s="875"/>
      <c r="RIJ8" s="875"/>
      <c r="RIK8" s="875"/>
      <c r="RIL8" s="875"/>
      <c r="RIM8" s="875"/>
      <c r="RIN8" s="875"/>
      <c r="RIO8" s="875"/>
      <c r="RIP8" s="875"/>
      <c r="RIQ8" s="875"/>
      <c r="RIR8" s="875"/>
      <c r="RIS8" s="875"/>
      <c r="RIT8" s="875"/>
      <c r="RIU8" s="875"/>
      <c r="RIV8" s="875"/>
      <c r="RIW8" s="875"/>
      <c r="RIX8" s="875"/>
      <c r="RIY8" s="875"/>
      <c r="RIZ8" s="875"/>
      <c r="RJA8" s="875"/>
      <c r="RJB8" s="875"/>
      <c r="RJC8" s="875"/>
      <c r="RJD8" s="875"/>
      <c r="RJE8" s="875"/>
      <c r="RJF8" s="875"/>
      <c r="RJG8" s="875"/>
      <c r="RJH8" s="875"/>
      <c r="RJI8" s="875"/>
      <c r="RJJ8" s="875"/>
      <c r="RJK8" s="875"/>
      <c r="RJL8" s="875"/>
      <c r="RJM8" s="875"/>
      <c r="RJN8" s="875"/>
      <c r="RJO8" s="875"/>
      <c r="RJP8" s="875"/>
      <c r="RJQ8" s="875"/>
      <c r="RJR8" s="875"/>
      <c r="RJS8" s="875"/>
      <c r="RJT8" s="875"/>
      <c r="RJU8" s="875"/>
      <c r="RJV8" s="875"/>
      <c r="RJW8" s="875"/>
      <c r="RJX8" s="875"/>
      <c r="RJY8" s="875"/>
      <c r="RJZ8" s="875"/>
      <c r="RKA8" s="875"/>
      <c r="RKB8" s="875"/>
      <c r="RKC8" s="875"/>
      <c r="RKD8" s="875"/>
      <c r="RKE8" s="875"/>
      <c r="RKF8" s="875"/>
      <c r="RKG8" s="875"/>
      <c r="RKH8" s="875"/>
      <c r="RKI8" s="875"/>
      <c r="RKJ8" s="875"/>
      <c r="RKK8" s="875"/>
      <c r="RKL8" s="875"/>
      <c r="RKM8" s="875"/>
      <c r="RKN8" s="875"/>
      <c r="RKO8" s="875"/>
      <c r="RKP8" s="875"/>
      <c r="RKQ8" s="875"/>
      <c r="RKR8" s="875"/>
      <c r="RKS8" s="875"/>
      <c r="RKT8" s="875"/>
      <c r="RKU8" s="875"/>
      <c r="RKV8" s="875"/>
      <c r="RKW8" s="875"/>
      <c r="RKX8" s="875"/>
      <c r="RKY8" s="875"/>
      <c r="RKZ8" s="875"/>
      <c r="RLA8" s="875"/>
      <c r="RLB8" s="875"/>
      <c r="RLC8" s="875"/>
      <c r="RLD8" s="875"/>
      <c r="RLE8" s="875"/>
      <c r="RLF8" s="875"/>
      <c r="RLG8" s="875"/>
      <c r="RLH8" s="875"/>
      <c r="RLI8" s="875"/>
      <c r="RLJ8" s="875"/>
      <c r="RLK8" s="875"/>
      <c r="RLL8" s="875"/>
      <c r="RLM8" s="875"/>
      <c r="RLN8" s="875"/>
      <c r="RLO8" s="875"/>
      <c r="RLP8" s="875"/>
      <c r="RLQ8" s="875"/>
      <c r="RLR8" s="875"/>
      <c r="RLS8" s="875"/>
      <c r="RLT8" s="875"/>
      <c r="RLU8" s="875"/>
      <c r="RLV8" s="875"/>
      <c r="RLW8" s="875"/>
      <c r="RLX8" s="875"/>
      <c r="RLY8" s="875"/>
      <c r="RLZ8" s="875"/>
      <c r="RMA8" s="875"/>
      <c r="RMB8" s="875"/>
      <c r="RMC8" s="875"/>
      <c r="RMD8" s="875"/>
      <c r="RME8" s="875"/>
      <c r="RMF8" s="875"/>
      <c r="RMG8" s="875"/>
      <c r="RMH8" s="875"/>
      <c r="RMI8" s="875"/>
      <c r="RMJ8" s="875"/>
      <c r="RMK8" s="875"/>
      <c r="RML8" s="875"/>
      <c r="RMM8" s="875"/>
      <c r="RMN8" s="875"/>
      <c r="RMO8" s="875"/>
      <c r="RMP8" s="875"/>
      <c r="RMQ8" s="875"/>
      <c r="RMR8" s="875"/>
      <c r="RMS8" s="875"/>
      <c r="RMT8" s="875"/>
      <c r="RMU8" s="875"/>
      <c r="RMV8" s="875"/>
      <c r="RMW8" s="875"/>
      <c r="RMX8" s="875"/>
      <c r="RMY8" s="875"/>
      <c r="RMZ8" s="875"/>
      <c r="RNA8" s="875"/>
      <c r="RNB8" s="875"/>
      <c r="RNC8" s="875"/>
      <c r="RND8" s="875"/>
      <c r="RNE8" s="875"/>
      <c r="RNF8" s="875"/>
      <c r="RNG8" s="875"/>
      <c r="RNH8" s="875"/>
      <c r="RNI8" s="875"/>
      <c r="RNJ8" s="875"/>
      <c r="RNK8" s="875"/>
      <c r="RNL8" s="875"/>
      <c r="RNM8" s="875"/>
      <c r="RNN8" s="875"/>
      <c r="RNO8" s="875"/>
      <c r="RNP8" s="875"/>
      <c r="RNQ8" s="875"/>
      <c r="RNR8" s="875"/>
      <c r="RNS8" s="875"/>
      <c r="RNT8" s="875"/>
      <c r="RNU8" s="875"/>
      <c r="RNV8" s="875"/>
      <c r="RNW8" s="875"/>
      <c r="RNX8" s="875"/>
      <c r="RNY8" s="875"/>
      <c r="RNZ8" s="875"/>
      <c r="ROA8" s="875"/>
      <c r="ROB8" s="875"/>
      <c r="ROC8" s="875"/>
      <c r="ROD8" s="875"/>
      <c r="ROE8" s="875"/>
      <c r="ROF8" s="875"/>
      <c r="ROG8" s="875"/>
      <c r="ROH8" s="875"/>
      <c r="ROI8" s="875"/>
      <c r="ROJ8" s="875"/>
      <c r="ROK8" s="875"/>
      <c r="ROL8" s="875"/>
      <c r="ROM8" s="875"/>
      <c r="RON8" s="875"/>
      <c r="ROO8" s="875"/>
      <c r="ROP8" s="875"/>
      <c r="ROQ8" s="875"/>
      <c r="ROR8" s="875"/>
      <c r="ROS8" s="875"/>
      <c r="ROT8" s="875"/>
      <c r="ROU8" s="875"/>
      <c r="ROV8" s="875"/>
      <c r="ROW8" s="875"/>
      <c r="ROX8" s="875"/>
      <c r="ROY8" s="875"/>
      <c r="ROZ8" s="875"/>
      <c r="RPA8" s="875"/>
      <c r="RPB8" s="875"/>
      <c r="RPC8" s="875"/>
      <c r="RPD8" s="875"/>
      <c r="RPE8" s="875"/>
      <c r="RPF8" s="875"/>
      <c r="RPG8" s="875"/>
      <c r="RPH8" s="875"/>
      <c r="RPI8" s="875"/>
      <c r="RPJ8" s="875"/>
      <c r="RPK8" s="875"/>
      <c r="RPL8" s="875"/>
      <c r="RPM8" s="875"/>
      <c r="RPN8" s="875"/>
      <c r="RPO8" s="875"/>
      <c r="RPP8" s="875"/>
      <c r="RPQ8" s="875"/>
      <c r="RPR8" s="875"/>
      <c r="RPS8" s="875"/>
      <c r="RPT8" s="875"/>
      <c r="RPU8" s="875"/>
      <c r="RPV8" s="875"/>
      <c r="RPW8" s="875"/>
      <c r="RPX8" s="875"/>
      <c r="RPY8" s="875"/>
      <c r="RPZ8" s="875"/>
      <c r="RQA8" s="875"/>
      <c r="RQB8" s="875"/>
      <c r="RQC8" s="875"/>
      <c r="RQD8" s="875"/>
      <c r="RQE8" s="875"/>
      <c r="RQF8" s="875"/>
      <c r="RQG8" s="875"/>
      <c r="RQH8" s="875"/>
      <c r="RQI8" s="875"/>
      <c r="RQJ8" s="875"/>
      <c r="RQK8" s="875"/>
      <c r="RQL8" s="875"/>
      <c r="RQM8" s="875"/>
      <c r="RQN8" s="875"/>
      <c r="RQO8" s="875"/>
      <c r="RQP8" s="875"/>
      <c r="RQQ8" s="875"/>
      <c r="RQR8" s="875"/>
      <c r="RQS8" s="875"/>
      <c r="RQT8" s="875"/>
      <c r="RQU8" s="875"/>
      <c r="RQV8" s="875"/>
      <c r="RQW8" s="875"/>
      <c r="RQX8" s="875"/>
      <c r="RQY8" s="875"/>
      <c r="RQZ8" s="875"/>
      <c r="RRA8" s="875"/>
      <c r="RRB8" s="875"/>
      <c r="RRC8" s="875"/>
      <c r="RRD8" s="875"/>
      <c r="RRE8" s="875"/>
      <c r="RRF8" s="875"/>
      <c r="RRG8" s="875"/>
      <c r="RRH8" s="875"/>
      <c r="RRI8" s="875"/>
      <c r="RRJ8" s="875"/>
      <c r="RRK8" s="875"/>
      <c r="RRL8" s="875"/>
      <c r="RRM8" s="875"/>
      <c r="RRN8" s="875"/>
      <c r="RRO8" s="875"/>
      <c r="RRP8" s="875"/>
      <c r="RRQ8" s="875"/>
      <c r="RRR8" s="875"/>
      <c r="RRS8" s="875"/>
      <c r="RRT8" s="875"/>
      <c r="RRU8" s="875"/>
      <c r="RRV8" s="875"/>
      <c r="RRW8" s="875"/>
      <c r="RRX8" s="875"/>
      <c r="RRY8" s="875"/>
      <c r="RRZ8" s="875"/>
      <c r="RSA8" s="875"/>
      <c r="RSB8" s="875"/>
      <c r="RSC8" s="875"/>
      <c r="RSD8" s="875"/>
      <c r="RSE8" s="875"/>
      <c r="RSF8" s="875"/>
      <c r="RSG8" s="875"/>
      <c r="RSH8" s="875"/>
      <c r="RSI8" s="875"/>
      <c r="RSJ8" s="875"/>
      <c r="RSK8" s="875"/>
      <c r="RSL8" s="875"/>
      <c r="RSM8" s="875"/>
      <c r="RSN8" s="875"/>
      <c r="RSO8" s="875"/>
      <c r="RSP8" s="875"/>
      <c r="RSQ8" s="875"/>
      <c r="RSR8" s="875"/>
      <c r="RSS8" s="875"/>
      <c r="RST8" s="875"/>
      <c r="RSU8" s="875"/>
      <c r="RSV8" s="875"/>
      <c r="RSW8" s="875"/>
      <c r="RSX8" s="875"/>
      <c r="RSY8" s="875"/>
      <c r="RSZ8" s="875"/>
      <c r="RTA8" s="875"/>
      <c r="RTB8" s="875"/>
      <c r="RTC8" s="875"/>
      <c r="RTD8" s="875"/>
      <c r="RTE8" s="875"/>
      <c r="RTF8" s="875"/>
      <c r="RTG8" s="875"/>
      <c r="RTH8" s="875"/>
      <c r="RTI8" s="875"/>
      <c r="RTJ8" s="875"/>
      <c r="RTK8" s="875"/>
      <c r="RTL8" s="875"/>
      <c r="RTM8" s="875"/>
      <c r="RTN8" s="875"/>
      <c r="RTO8" s="875"/>
      <c r="RTP8" s="875"/>
      <c r="RTQ8" s="875"/>
      <c r="RTR8" s="875"/>
      <c r="RTS8" s="875"/>
      <c r="RTT8" s="875"/>
      <c r="RTU8" s="875"/>
      <c r="RTV8" s="875"/>
      <c r="RTW8" s="875"/>
      <c r="RTX8" s="875"/>
      <c r="RTY8" s="875"/>
      <c r="RTZ8" s="875"/>
      <c r="RUA8" s="875"/>
      <c r="RUB8" s="875"/>
      <c r="RUC8" s="875"/>
      <c r="RUD8" s="875"/>
      <c r="RUE8" s="875"/>
      <c r="RUF8" s="875"/>
      <c r="RUG8" s="875"/>
      <c r="RUH8" s="875"/>
      <c r="RUI8" s="875"/>
      <c r="RUJ8" s="875"/>
      <c r="RUK8" s="875"/>
      <c r="RUL8" s="875"/>
      <c r="RUM8" s="875"/>
      <c r="RUN8" s="875"/>
      <c r="RUO8" s="875"/>
      <c r="RUP8" s="875"/>
      <c r="RUQ8" s="875"/>
      <c r="RUR8" s="875"/>
      <c r="RUS8" s="875"/>
      <c r="RUT8" s="875"/>
      <c r="RUU8" s="875"/>
      <c r="RUV8" s="875"/>
      <c r="RUW8" s="875"/>
      <c r="RUX8" s="875"/>
      <c r="RUY8" s="875"/>
      <c r="RUZ8" s="875"/>
      <c r="RVA8" s="875"/>
      <c r="RVB8" s="875"/>
      <c r="RVC8" s="875"/>
      <c r="RVD8" s="875"/>
      <c r="RVE8" s="875"/>
      <c r="RVF8" s="875"/>
      <c r="RVG8" s="875"/>
      <c r="RVH8" s="875"/>
      <c r="RVI8" s="875"/>
      <c r="RVJ8" s="875"/>
      <c r="RVK8" s="875"/>
      <c r="RVL8" s="875"/>
      <c r="RVM8" s="875"/>
      <c r="RVN8" s="875"/>
      <c r="RVO8" s="875"/>
      <c r="RVP8" s="875"/>
      <c r="RVQ8" s="875"/>
      <c r="RVR8" s="875"/>
      <c r="RVS8" s="875"/>
      <c r="RVT8" s="875"/>
      <c r="RVU8" s="875"/>
      <c r="RVV8" s="875"/>
      <c r="RVW8" s="875"/>
      <c r="RVX8" s="875"/>
      <c r="RVY8" s="875"/>
      <c r="RVZ8" s="875"/>
      <c r="RWA8" s="875"/>
      <c r="RWB8" s="875"/>
      <c r="RWC8" s="875"/>
      <c r="RWD8" s="875"/>
      <c r="RWE8" s="875"/>
      <c r="RWF8" s="875"/>
      <c r="RWG8" s="875"/>
      <c r="RWH8" s="875"/>
      <c r="RWI8" s="875"/>
      <c r="RWJ8" s="875"/>
      <c r="RWK8" s="875"/>
      <c r="RWL8" s="875"/>
      <c r="RWM8" s="875"/>
      <c r="RWN8" s="875"/>
      <c r="RWO8" s="875"/>
      <c r="RWP8" s="875"/>
      <c r="RWQ8" s="875"/>
      <c r="RWR8" s="875"/>
      <c r="RWS8" s="875"/>
      <c r="RWT8" s="875"/>
      <c r="RWU8" s="875"/>
      <c r="RWV8" s="875"/>
      <c r="RWW8" s="875"/>
      <c r="RWX8" s="875"/>
      <c r="RWY8" s="875"/>
      <c r="RWZ8" s="875"/>
      <c r="RXA8" s="875"/>
      <c r="RXB8" s="875"/>
      <c r="RXC8" s="875"/>
      <c r="RXD8" s="875"/>
      <c r="RXE8" s="875"/>
      <c r="RXF8" s="875"/>
      <c r="RXG8" s="875"/>
      <c r="RXH8" s="875"/>
      <c r="RXI8" s="875"/>
      <c r="RXJ8" s="875"/>
      <c r="RXK8" s="875"/>
      <c r="RXL8" s="875"/>
      <c r="RXM8" s="875"/>
      <c r="RXN8" s="875"/>
      <c r="RXO8" s="875"/>
      <c r="RXP8" s="875"/>
      <c r="RXQ8" s="875"/>
      <c r="RXR8" s="875"/>
      <c r="RXS8" s="875"/>
      <c r="RXT8" s="875"/>
      <c r="RXU8" s="875"/>
      <c r="RXV8" s="875"/>
      <c r="RXW8" s="875"/>
      <c r="RXX8" s="875"/>
      <c r="RXY8" s="875"/>
      <c r="RXZ8" s="875"/>
      <c r="RYA8" s="875"/>
      <c r="RYB8" s="875"/>
      <c r="RYC8" s="875"/>
      <c r="RYD8" s="875"/>
      <c r="RYE8" s="875"/>
      <c r="RYF8" s="875"/>
      <c r="RYG8" s="875"/>
      <c r="RYH8" s="875"/>
      <c r="RYI8" s="875"/>
      <c r="RYJ8" s="875"/>
      <c r="RYK8" s="875"/>
      <c r="RYL8" s="875"/>
      <c r="RYM8" s="875"/>
      <c r="RYN8" s="875"/>
      <c r="RYO8" s="875"/>
      <c r="RYP8" s="875"/>
      <c r="RYQ8" s="875"/>
      <c r="RYR8" s="875"/>
      <c r="RYS8" s="875"/>
      <c r="RYT8" s="875"/>
      <c r="RYU8" s="875"/>
      <c r="RYV8" s="875"/>
      <c r="RYW8" s="875"/>
      <c r="RYX8" s="875"/>
      <c r="RYY8" s="875"/>
      <c r="RYZ8" s="875"/>
      <c r="RZA8" s="875"/>
      <c r="RZB8" s="875"/>
      <c r="RZC8" s="875"/>
      <c r="RZD8" s="875"/>
      <c r="RZE8" s="875"/>
      <c r="RZF8" s="875"/>
      <c r="RZG8" s="875"/>
      <c r="RZH8" s="875"/>
      <c r="RZI8" s="875"/>
      <c r="RZJ8" s="875"/>
      <c r="RZK8" s="875"/>
      <c r="RZL8" s="875"/>
      <c r="RZM8" s="875"/>
      <c r="RZN8" s="875"/>
      <c r="RZO8" s="875"/>
      <c r="RZP8" s="875"/>
      <c r="RZQ8" s="875"/>
      <c r="RZR8" s="875"/>
      <c r="RZS8" s="875"/>
      <c r="RZT8" s="875"/>
      <c r="RZU8" s="875"/>
      <c r="RZV8" s="875"/>
      <c r="RZW8" s="875"/>
      <c r="RZX8" s="875"/>
      <c r="RZY8" s="875"/>
      <c r="RZZ8" s="875"/>
      <c r="SAA8" s="875"/>
      <c r="SAB8" s="875"/>
      <c r="SAC8" s="875"/>
      <c r="SAD8" s="875"/>
      <c r="SAE8" s="875"/>
      <c r="SAF8" s="875"/>
      <c r="SAG8" s="875"/>
      <c r="SAH8" s="875"/>
      <c r="SAI8" s="875"/>
      <c r="SAJ8" s="875"/>
      <c r="SAK8" s="875"/>
      <c r="SAL8" s="875"/>
      <c r="SAM8" s="875"/>
      <c r="SAN8" s="875"/>
      <c r="SAO8" s="875"/>
      <c r="SAP8" s="875"/>
      <c r="SAQ8" s="875"/>
      <c r="SAR8" s="875"/>
      <c r="SAS8" s="875"/>
      <c r="SAT8" s="875"/>
      <c r="SAU8" s="875"/>
      <c r="SAV8" s="875"/>
      <c r="SAW8" s="875"/>
      <c r="SAX8" s="875"/>
      <c r="SAY8" s="875"/>
      <c r="SAZ8" s="875"/>
      <c r="SBA8" s="875"/>
      <c r="SBB8" s="875"/>
      <c r="SBC8" s="875"/>
      <c r="SBD8" s="875"/>
      <c r="SBE8" s="875"/>
      <c r="SBF8" s="875"/>
      <c r="SBG8" s="875"/>
      <c r="SBH8" s="875"/>
      <c r="SBI8" s="875"/>
      <c r="SBJ8" s="875"/>
      <c r="SBK8" s="875"/>
      <c r="SBL8" s="875"/>
      <c r="SBM8" s="875"/>
      <c r="SBN8" s="875"/>
      <c r="SBO8" s="875"/>
      <c r="SBP8" s="875"/>
      <c r="SBQ8" s="875"/>
      <c r="SBR8" s="875"/>
      <c r="SBS8" s="875"/>
      <c r="SBT8" s="875"/>
      <c r="SBU8" s="875"/>
      <c r="SBV8" s="875"/>
      <c r="SBW8" s="875"/>
      <c r="SBX8" s="875"/>
      <c r="SBY8" s="875"/>
      <c r="SBZ8" s="875"/>
      <c r="SCA8" s="875"/>
      <c r="SCB8" s="875"/>
      <c r="SCC8" s="875"/>
      <c r="SCD8" s="875"/>
      <c r="SCE8" s="875"/>
      <c r="SCF8" s="875"/>
      <c r="SCG8" s="875"/>
      <c r="SCH8" s="875"/>
      <c r="SCI8" s="875"/>
      <c r="SCJ8" s="875"/>
      <c r="SCK8" s="875"/>
      <c r="SCL8" s="875"/>
      <c r="SCM8" s="875"/>
      <c r="SCN8" s="875"/>
      <c r="SCO8" s="875"/>
      <c r="SCP8" s="875"/>
      <c r="SCQ8" s="875"/>
      <c r="SCR8" s="875"/>
      <c r="SCS8" s="875"/>
      <c r="SCT8" s="875"/>
      <c r="SCU8" s="875"/>
      <c r="SCV8" s="875"/>
      <c r="SCW8" s="875"/>
      <c r="SCX8" s="875"/>
      <c r="SCY8" s="875"/>
      <c r="SCZ8" s="875"/>
      <c r="SDA8" s="875"/>
      <c r="SDB8" s="875"/>
      <c r="SDC8" s="875"/>
      <c r="SDD8" s="875"/>
      <c r="SDE8" s="875"/>
      <c r="SDF8" s="875"/>
      <c r="SDG8" s="875"/>
      <c r="SDH8" s="875"/>
      <c r="SDI8" s="875"/>
      <c r="SDJ8" s="875"/>
      <c r="SDK8" s="875"/>
      <c r="SDL8" s="875"/>
      <c r="SDM8" s="875"/>
      <c r="SDN8" s="875"/>
      <c r="SDO8" s="875"/>
      <c r="SDP8" s="875"/>
      <c r="SDQ8" s="875"/>
      <c r="SDR8" s="875"/>
      <c r="SDS8" s="875"/>
      <c r="SDT8" s="875"/>
      <c r="SDU8" s="875"/>
      <c r="SDV8" s="875"/>
      <c r="SDW8" s="875"/>
      <c r="SDX8" s="875"/>
      <c r="SDY8" s="875"/>
      <c r="SDZ8" s="875"/>
      <c r="SEA8" s="875"/>
      <c r="SEB8" s="875"/>
      <c r="SEC8" s="875"/>
      <c r="SED8" s="875"/>
      <c r="SEE8" s="875"/>
      <c r="SEF8" s="875"/>
      <c r="SEG8" s="875"/>
      <c r="SEH8" s="875"/>
      <c r="SEI8" s="875"/>
      <c r="SEJ8" s="875"/>
      <c r="SEK8" s="875"/>
      <c r="SEL8" s="875"/>
      <c r="SEM8" s="875"/>
      <c r="SEN8" s="875"/>
      <c r="SEO8" s="875"/>
      <c r="SEP8" s="875"/>
      <c r="SEQ8" s="875"/>
      <c r="SER8" s="875"/>
      <c r="SES8" s="875"/>
      <c r="SET8" s="875"/>
      <c r="SEU8" s="875"/>
      <c r="SEV8" s="875"/>
      <c r="SEW8" s="875"/>
      <c r="SEX8" s="875"/>
      <c r="SEY8" s="875"/>
      <c r="SEZ8" s="875"/>
      <c r="SFA8" s="875"/>
      <c r="SFB8" s="875"/>
      <c r="SFC8" s="875"/>
      <c r="SFD8" s="875"/>
      <c r="SFE8" s="875"/>
      <c r="SFF8" s="875"/>
      <c r="SFG8" s="875"/>
      <c r="SFH8" s="875"/>
      <c r="SFI8" s="875"/>
      <c r="SFJ8" s="875"/>
      <c r="SFK8" s="875"/>
      <c r="SFL8" s="875"/>
      <c r="SFM8" s="875"/>
      <c r="SFN8" s="875"/>
      <c r="SFO8" s="875"/>
      <c r="SFP8" s="875"/>
      <c r="SFQ8" s="875"/>
      <c r="SFR8" s="875"/>
      <c r="SFS8" s="875"/>
      <c r="SFT8" s="875"/>
      <c r="SFU8" s="875"/>
      <c r="SFV8" s="875"/>
      <c r="SFW8" s="875"/>
      <c r="SFX8" s="875"/>
      <c r="SFY8" s="875"/>
      <c r="SFZ8" s="875"/>
      <c r="SGA8" s="875"/>
      <c r="SGB8" s="875"/>
      <c r="SGC8" s="875"/>
      <c r="SGD8" s="875"/>
      <c r="SGE8" s="875"/>
      <c r="SGF8" s="875"/>
      <c r="SGG8" s="875"/>
      <c r="SGH8" s="875"/>
      <c r="SGI8" s="875"/>
      <c r="SGJ8" s="875"/>
      <c r="SGK8" s="875"/>
      <c r="SGL8" s="875"/>
      <c r="SGM8" s="875"/>
      <c r="SGN8" s="875"/>
      <c r="SGO8" s="875"/>
      <c r="SGP8" s="875"/>
      <c r="SGQ8" s="875"/>
      <c r="SGR8" s="875"/>
      <c r="SGS8" s="875"/>
      <c r="SGT8" s="875"/>
      <c r="SGU8" s="875"/>
      <c r="SGV8" s="875"/>
      <c r="SGW8" s="875"/>
      <c r="SGX8" s="875"/>
      <c r="SGY8" s="875"/>
      <c r="SGZ8" s="875"/>
      <c r="SHA8" s="875"/>
      <c r="SHB8" s="875"/>
      <c r="SHC8" s="875"/>
      <c r="SHD8" s="875"/>
      <c r="SHE8" s="875"/>
      <c r="SHF8" s="875"/>
      <c r="SHG8" s="875"/>
      <c r="SHH8" s="875"/>
      <c r="SHI8" s="875"/>
      <c r="SHJ8" s="875"/>
      <c r="SHK8" s="875"/>
      <c r="SHL8" s="875"/>
      <c r="SHM8" s="875"/>
      <c r="SHN8" s="875"/>
      <c r="SHO8" s="875"/>
      <c r="SHP8" s="875"/>
      <c r="SHQ8" s="875"/>
      <c r="SHR8" s="875"/>
      <c r="SHS8" s="875"/>
      <c r="SHT8" s="875"/>
      <c r="SHU8" s="875"/>
      <c r="SHV8" s="875"/>
      <c r="SHW8" s="875"/>
      <c r="SHX8" s="875"/>
      <c r="SHY8" s="875"/>
      <c r="SHZ8" s="875"/>
      <c r="SIA8" s="875"/>
      <c r="SIB8" s="875"/>
      <c r="SIC8" s="875"/>
      <c r="SID8" s="875"/>
      <c r="SIE8" s="875"/>
      <c r="SIF8" s="875"/>
      <c r="SIG8" s="875"/>
      <c r="SIH8" s="875"/>
      <c r="SII8" s="875"/>
      <c r="SIJ8" s="875"/>
      <c r="SIK8" s="875"/>
      <c r="SIL8" s="875"/>
      <c r="SIM8" s="875"/>
      <c r="SIN8" s="875"/>
      <c r="SIO8" s="875"/>
      <c r="SIP8" s="875"/>
      <c r="SIQ8" s="875"/>
      <c r="SIR8" s="875"/>
      <c r="SIS8" s="875"/>
      <c r="SIT8" s="875"/>
      <c r="SIU8" s="875"/>
      <c r="SIV8" s="875"/>
      <c r="SIW8" s="875"/>
      <c r="SIX8" s="875"/>
      <c r="SIY8" s="875"/>
      <c r="SIZ8" s="875"/>
      <c r="SJA8" s="875"/>
      <c r="SJB8" s="875"/>
      <c r="SJC8" s="875"/>
      <c r="SJD8" s="875"/>
      <c r="SJE8" s="875"/>
      <c r="SJF8" s="875"/>
      <c r="SJG8" s="875"/>
      <c r="SJH8" s="875"/>
      <c r="SJI8" s="875"/>
      <c r="SJJ8" s="875"/>
      <c r="SJK8" s="875"/>
      <c r="SJL8" s="875"/>
      <c r="SJM8" s="875"/>
      <c r="SJN8" s="875"/>
      <c r="SJO8" s="875"/>
      <c r="SJP8" s="875"/>
      <c r="SJQ8" s="875"/>
      <c r="SJR8" s="875"/>
      <c r="SJS8" s="875"/>
      <c r="SJT8" s="875"/>
      <c r="SJU8" s="875"/>
      <c r="SJV8" s="875"/>
      <c r="SJW8" s="875"/>
      <c r="SJX8" s="875"/>
      <c r="SJY8" s="875"/>
      <c r="SJZ8" s="875"/>
      <c r="SKA8" s="875"/>
      <c r="SKB8" s="875"/>
      <c r="SKC8" s="875"/>
      <c r="SKD8" s="875"/>
      <c r="SKE8" s="875"/>
      <c r="SKF8" s="875"/>
      <c r="SKG8" s="875"/>
      <c r="SKH8" s="875"/>
      <c r="SKI8" s="875"/>
      <c r="SKJ8" s="875"/>
      <c r="SKK8" s="875"/>
      <c r="SKL8" s="875"/>
      <c r="SKM8" s="875"/>
      <c r="SKN8" s="875"/>
      <c r="SKO8" s="875"/>
      <c r="SKP8" s="875"/>
      <c r="SKQ8" s="875"/>
      <c r="SKR8" s="875"/>
      <c r="SKS8" s="875"/>
      <c r="SKT8" s="875"/>
      <c r="SKU8" s="875"/>
      <c r="SKV8" s="875"/>
      <c r="SKW8" s="875"/>
      <c r="SKX8" s="875"/>
      <c r="SKY8" s="875"/>
      <c r="SKZ8" s="875"/>
      <c r="SLA8" s="875"/>
      <c r="SLB8" s="875"/>
      <c r="SLC8" s="875"/>
      <c r="SLD8" s="875"/>
      <c r="SLE8" s="875"/>
      <c r="SLF8" s="875"/>
      <c r="SLG8" s="875"/>
      <c r="SLH8" s="875"/>
      <c r="SLI8" s="875"/>
      <c r="SLJ8" s="875"/>
      <c r="SLK8" s="875"/>
      <c r="SLL8" s="875"/>
      <c r="SLM8" s="875"/>
      <c r="SLN8" s="875"/>
      <c r="SLO8" s="875"/>
      <c r="SLP8" s="875"/>
      <c r="SLQ8" s="875"/>
      <c r="SLR8" s="875"/>
      <c r="SLS8" s="875"/>
      <c r="SLT8" s="875"/>
      <c r="SLU8" s="875"/>
      <c r="SLV8" s="875"/>
      <c r="SLW8" s="875"/>
      <c r="SLX8" s="875"/>
      <c r="SLY8" s="875"/>
      <c r="SLZ8" s="875"/>
      <c r="SMA8" s="875"/>
      <c r="SMB8" s="875"/>
      <c r="SMC8" s="875"/>
      <c r="SMD8" s="875"/>
      <c r="SME8" s="875"/>
      <c r="SMF8" s="875"/>
      <c r="SMG8" s="875"/>
      <c r="SMH8" s="875"/>
      <c r="SMI8" s="875"/>
      <c r="SMJ8" s="875"/>
      <c r="SMK8" s="875"/>
      <c r="SML8" s="875"/>
      <c r="SMM8" s="875"/>
      <c r="SMN8" s="875"/>
      <c r="SMO8" s="875"/>
      <c r="SMP8" s="875"/>
      <c r="SMQ8" s="875"/>
      <c r="SMR8" s="875"/>
      <c r="SMS8" s="875"/>
      <c r="SMT8" s="875"/>
      <c r="SMU8" s="875"/>
      <c r="SMV8" s="875"/>
      <c r="SMW8" s="875"/>
      <c r="SMX8" s="875"/>
      <c r="SMY8" s="875"/>
      <c r="SMZ8" s="875"/>
      <c r="SNA8" s="875"/>
      <c r="SNB8" s="875"/>
      <c r="SNC8" s="875"/>
      <c r="SND8" s="875"/>
      <c r="SNE8" s="875"/>
      <c r="SNF8" s="875"/>
      <c r="SNG8" s="875"/>
      <c r="SNH8" s="875"/>
      <c r="SNI8" s="875"/>
      <c r="SNJ8" s="875"/>
      <c r="SNK8" s="875"/>
      <c r="SNL8" s="875"/>
      <c r="SNM8" s="875"/>
      <c r="SNN8" s="875"/>
      <c r="SNO8" s="875"/>
      <c r="SNP8" s="875"/>
      <c r="SNQ8" s="875"/>
      <c r="SNR8" s="875"/>
      <c r="SNS8" s="875"/>
      <c r="SNT8" s="875"/>
      <c r="SNU8" s="875"/>
      <c r="SNV8" s="875"/>
      <c r="SNW8" s="875"/>
      <c r="SNX8" s="875"/>
      <c r="SNY8" s="875"/>
      <c r="SNZ8" s="875"/>
      <c r="SOA8" s="875"/>
      <c r="SOB8" s="875"/>
      <c r="SOC8" s="875"/>
      <c r="SOD8" s="875"/>
      <c r="SOE8" s="875"/>
      <c r="SOF8" s="875"/>
      <c r="SOG8" s="875"/>
      <c r="SOH8" s="875"/>
      <c r="SOI8" s="875"/>
      <c r="SOJ8" s="875"/>
      <c r="SOK8" s="875"/>
      <c r="SOL8" s="875"/>
      <c r="SOM8" s="875"/>
      <c r="SON8" s="875"/>
      <c r="SOO8" s="875"/>
      <c r="SOP8" s="875"/>
      <c r="SOQ8" s="875"/>
      <c r="SOR8" s="875"/>
      <c r="SOS8" s="875"/>
      <c r="SOT8" s="875"/>
      <c r="SOU8" s="875"/>
      <c r="SOV8" s="875"/>
      <c r="SOW8" s="875"/>
      <c r="SOX8" s="875"/>
      <c r="SOY8" s="875"/>
      <c r="SOZ8" s="875"/>
      <c r="SPA8" s="875"/>
      <c r="SPB8" s="875"/>
      <c r="SPC8" s="875"/>
      <c r="SPD8" s="875"/>
      <c r="SPE8" s="875"/>
      <c r="SPF8" s="875"/>
      <c r="SPG8" s="875"/>
      <c r="SPH8" s="875"/>
      <c r="SPI8" s="875"/>
      <c r="SPJ8" s="875"/>
      <c r="SPK8" s="875"/>
      <c r="SPL8" s="875"/>
      <c r="SPM8" s="875"/>
      <c r="SPN8" s="875"/>
      <c r="SPO8" s="875"/>
      <c r="SPP8" s="875"/>
      <c r="SPQ8" s="875"/>
      <c r="SPR8" s="875"/>
      <c r="SPS8" s="875"/>
      <c r="SPT8" s="875"/>
      <c r="SPU8" s="875"/>
      <c r="SPV8" s="875"/>
      <c r="SPW8" s="875"/>
      <c r="SPX8" s="875"/>
      <c r="SPY8" s="875"/>
      <c r="SPZ8" s="875"/>
      <c r="SQA8" s="875"/>
      <c r="SQB8" s="875"/>
      <c r="SQC8" s="875"/>
      <c r="SQD8" s="875"/>
      <c r="SQE8" s="875"/>
      <c r="SQF8" s="875"/>
      <c r="SQG8" s="875"/>
      <c r="SQH8" s="875"/>
      <c r="SQI8" s="875"/>
      <c r="SQJ8" s="875"/>
      <c r="SQK8" s="875"/>
      <c r="SQL8" s="875"/>
      <c r="SQM8" s="875"/>
      <c r="SQN8" s="875"/>
      <c r="SQO8" s="875"/>
      <c r="SQP8" s="875"/>
      <c r="SQQ8" s="875"/>
      <c r="SQR8" s="875"/>
      <c r="SQS8" s="875"/>
      <c r="SQT8" s="875"/>
      <c r="SQU8" s="875"/>
      <c r="SQV8" s="875"/>
      <c r="SQW8" s="875"/>
      <c r="SQX8" s="875"/>
      <c r="SQY8" s="875"/>
      <c r="SQZ8" s="875"/>
      <c r="SRA8" s="875"/>
      <c r="SRB8" s="875"/>
      <c r="SRC8" s="875"/>
      <c r="SRD8" s="875"/>
      <c r="SRE8" s="875"/>
      <c r="SRF8" s="875"/>
      <c r="SRG8" s="875"/>
      <c r="SRH8" s="875"/>
      <c r="SRI8" s="875"/>
      <c r="SRJ8" s="875"/>
      <c r="SRK8" s="875"/>
      <c r="SRL8" s="875"/>
      <c r="SRM8" s="875"/>
      <c r="SRN8" s="875"/>
      <c r="SRO8" s="875"/>
      <c r="SRP8" s="875"/>
      <c r="SRQ8" s="875"/>
      <c r="SRR8" s="875"/>
      <c r="SRS8" s="875"/>
      <c r="SRT8" s="875"/>
      <c r="SRU8" s="875"/>
      <c r="SRV8" s="875"/>
      <c r="SRW8" s="875"/>
      <c r="SRX8" s="875"/>
      <c r="SRY8" s="875"/>
      <c r="SRZ8" s="875"/>
      <c r="SSA8" s="875"/>
      <c r="SSB8" s="875"/>
      <c r="SSC8" s="875"/>
      <c r="SSD8" s="875"/>
      <c r="SSE8" s="875"/>
      <c r="SSF8" s="875"/>
      <c r="SSG8" s="875"/>
      <c r="SSH8" s="875"/>
      <c r="SSI8" s="875"/>
      <c r="SSJ8" s="875"/>
      <c r="SSK8" s="875"/>
      <c r="SSL8" s="875"/>
      <c r="SSM8" s="875"/>
      <c r="SSN8" s="875"/>
      <c r="SSO8" s="875"/>
      <c r="SSP8" s="875"/>
      <c r="SSQ8" s="875"/>
      <c r="SSR8" s="875"/>
      <c r="SSS8" s="875"/>
      <c r="SST8" s="875"/>
      <c r="SSU8" s="875"/>
      <c r="SSV8" s="875"/>
      <c r="SSW8" s="875"/>
      <c r="SSX8" s="875"/>
      <c r="SSY8" s="875"/>
      <c r="SSZ8" s="875"/>
      <c r="STA8" s="875"/>
      <c r="STB8" s="875"/>
      <c r="STC8" s="875"/>
      <c r="STD8" s="875"/>
      <c r="STE8" s="875"/>
      <c r="STF8" s="875"/>
      <c r="STG8" s="875"/>
      <c r="STH8" s="875"/>
      <c r="STI8" s="875"/>
      <c r="STJ8" s="875"/>
      <c r="STK8" s="875"/>
      <c r="STL8" s="875"/>
      <c r="STM8" s="875"/>
      <c r="STN8" s="875"/>
      <c r="STO8" s="875"/>
      <c r="STP8" s="875"/>
      <c r="STQ8" s="875"/>
      <c r="STR8" s="875"/>
      <c r="STS8" s="875"/>
      <c r="STT8" s="875"/>
      <c r="STU8" s="875"/>
      <c r="STV8" s="875"/>
      <c r="STW8" s="875"/>
      <c r="STX8" s="875"/>
      <c r="STY8" s="875"/>
      <c r="STZ8" s="875"/>
      <c r="SUA8" s="875"/>
      <c r="SUB8" s="875"/>
      <c r="SUC8" s="875"/>
      <c r="SUD8" s="875"/>
      <c r="SUE8" s="875"/>
      <c r="SUF8" s="875"/>
      <c r="SUG8" s="875"/>
      <c r="SUH8" s="875"/>
      <c r="SUI8" s="875"/>
      <c r="SUJ8" s="875"/>
      <c r="SUK8" s="875"/>
      <c r="SUL8" s="875"/>
      <c r="SUM8" s="875"/>
      <c r="SUN8" s="875"/>
      <c r="SUO8" s="875"/>
      <c r="SUP8" s="875"/>
      <c r="SUQ8" s="875"/>
      <c r="SUR8" s="875"/>
      <c r="SUS8" s="875"/>
      <c r="SUT8" s="875"/>
      <c r="SUU8" s="875"/>
      <c r="SUV8" s="875"/>
      <c r="SUW8" s="875"/>
      <c r="SUX8" s="875"/>
      <c r="SUY8" s="875"/>
      <c r="SUZ8" s="875"/>
      <c r="SVA8" s="875"/>
      <c r="SVB8" s="875"/>
      <c r="SVC8" s="875"/>
      <c r="SVD8" s="875"/>
      <c r="SVE8" s="875"/>
      <c r="SVF8" s="875"/>
      <c r="SVG8" s="875"/>
      <c r="SVH8" s="875"/>
      <c r="SVI8" s="875"/>
      <c r="SVJ8" s="875"/>
      <c r="SVK8" s="875"/>
      <c r="SVL8" s="875"/>
      <c r="SVM8" s="875"/>
      <c r="SVN8" s="875"/>
      <c r="SVO8" s="875"/>
      <c r="SVP8" s="875"/>
      <c r="SVQ8" s="875"/>
      <c r="SVR8" s="875"/>
      <c r="SVS8" s="875"/>
      <c r="SVT8" s="875"/>
      <c r="SVU8" s="875"/>
      <c r="SVV8" s="875"/>
      <c r="SVW8" s="875"/>
      <c r="SVX8" s="875"/>
      <c r="SVY8" s="875"/>
      <c r="SVZ8" s="875"/>
      <c r="SWA8" s="875"/>
      <c r="SWB8" s="875"/>
      <c r="SWC8" s="875"/>
      <c r="SWD8" s="875"/>
      <c r="SWE8" s="875"/>
      <c r="SWF8" s="875"/>
      <c r="SWG8" s="875"/>
      <c r="SWH8" s="875"/>
      <c r="SWI8" s="875"/>
      <c r="SWJ8" s="875"/>
      <c r="SWK8" s="875"/>
      <c r="SWL8" s="875"/>
      <c r="SWM8" s="875"/>
      <c r="SWN8" s="875"/>
      <c r="SWO8" s="875"/>
      <c r="SWP8" s="875"/>
      <c r="SWQ8" s="875"/>
      <c r="SWR8" s="875"/>
      <c r="SWS8" s="875"/>
      <c r="SWT8" s="875"/>
      <c r="SWU8" s="875"/>
      <c r="SWV8" s="875"/>
      <c r="SWW8" s="875"/>
      <c r="SWX8" s="875"/>
      <c r="SWY8" s="875"/>
      <c r="SWZ8" s="875"/>
      <c r="SXA8" s="875"/>
      <c r="SXB8" s="875"/>
      <c r="SXC8" s="875"/>
      <c r="SXD8" s="875"/>
      <c r="SXE8" s="875"/>
      <c r="SXF8" s="875"/>
      <c r="SXG8" s="875"/>
      <c r="SXH8" s="875"/>
      <c r="SXI8" s="875"/>
      <c r="SXJ8" s="875"/>
      <c r="SXK8" s="875"/>
      <c r="SXL8" s="875"/>
      <c r="SXM8" s="875"/>
      <c r="SXN8" s="875"/>
      <c r="SXO8" s="875"/>
      <c r="SXP8" s="875"/>
      <c r="SXQ8" s="875"/>
      <c r="SXR8" s="875"/>
      <c r="SXS8" s="875"/>
      <c r="SXT8" s="875"/>
      <c r="SXU8" s="875"/>
      <c r="SXV8" s="875"/>
      <c r="SXW8" s="875"/>
      <c r="SXX8" s="875"/>
      <c r="SXY8" s="875"/>
      <c r="SXZ8" s="875"/>
      <c r="SYA8" s="875"/>
      <c r="SYB8" s="875"/>
      <c r="SYC8" s="875"/>
      <c r="SYD8" s="875"/>
      <c r="SYE8" s="875"/>
      <c r="SYF8" s="875"/>
      <c r="SYG8" s="875"/>
      <c r="SYH8" s="875"/>
      <c r="SYI8" s="875"/>
      <c r="SYJ8" s="875"/>
      <c r="SYK8" s="875"/>
      <c r="SYL8" s="875"/>
      <c r="SYM8" s="875"/>
      <c r="SYN8" s="875"/>
      <c r="SYO8" s="875"/>
      <c r="SYP8" s="875"/>
      <c r="SYQ8" s="875"/>
      <c r="SYR8" s="875"/>
      <c r="SYS8" s="875"/>
      <c r="SYT8" s="875"/>
      <c r="SYU8" s="875"/>
      <c r="SYV8" s="875"/>
      <c r="SYW8" s="875"/>
      <c r="SYX8" s="875"/>
      <c r="SYY8" s="875"/>
      <c r="SYZ8" s="875"/>
      <c r="SZA8" s="875"/>
      <c r="SZB8" s="875"/>
      <c r="SZC8" s="875"/>
      <c r="SZD8" s="875"/>
      <c r="SZE8" s="875"/>
      <c r="SZF8" s="875"/>
      <c r="SZG8" s="875"/>
      <c r="SZH8" s="875"/>
      <c r="SZI8" s="875"/>
      <c r="SZJ8" s="875"/>
      <c r="SZK8" s="875"/>
      <c r="SZL8" s="875"/>
      <c r="SZM8" s="875"/>
      <c r="SZN8" s="875"/>
      <c r="SZO8" s="875"/>
      <c r="SZP8" s="875"/>
      <c r="SZQ8" s="875"/>
      <c r="SZR8" s="875"/>
      <c r="SZS8" s="875"/>
      <c r="SZT8" s="875"/>
      <c r="SZU8" s="875"/>
      <c r="SZV8" s="875"/>
      <c r="SZW8" s="875"/>
      <c r="SZX8" s="875"/>
      <c r="SZY8" s="875"/>
      <c r="SZZ8" s="875"/>
      <c r="TAA8" s="875"/>
      <c r="TAB8" s="875"/>
      <c r="TAC8" s="875"/>
      <c r="TAD8" s="875"/>
      <c r="TAE8" s="875"/>
      <c r="TAF8" s="875"/>
      <c r="TAG8" s="875"/>
      <c r="TAH8" s="875"/>
      <c r="TAI8" s="875"/>
      <c r="TAJ8" s="875"/>
      <c r="TAK8" s="875"/>
      <c r="TAL8" s="875"/>
      <c r="TAM8" s="875"/>
      <c r="TAN8" s="875"/>
      <c r="TAO8" s="875"/>
      <c r="TAP8" s="875"/>
      <c r="TAQ8" s="875"/>
      <c r="TAR8" s="875"/>
      <c r="TAS8" s="875"/>
      <c r="TAT8" s="875"/>
      <c r="TAU8" s="875"/>
      <c r="TAV8" s="875"/>
      <c r="TAW8" s="875"/>
      <c r="TAX8" s="875"/>
      <c r="TAY8" s="875"/>
      <c r="TAZ8" s="875"/>
      <c r="TBA8" s="875"/>
      <c r="TBB8" s="875"/>
      <c r="TBC8" s="875"/>
      <c r="TBD8" s="875"/>
      <c r="TBE8" s="875"/>
      <c r="TBF8" s="875"/>
      <c r="TBG8" s="875"/>
      <c r="TBH8" s="875"/>
      <c r="TBI8" s="875"/>
      <c r="TBJ8" s="875"/>
      <c r="TBK8" s="875"/>
      <c r="TBL8" s="875"/>
      <c r="TBM8" s="875"/>
      <c r="TBN8" s="875"/>
      <c r="TBO8" s="875"/>
      <c r="TBP8" s="875"/>
      <c r="TBQ8" s="875"/>
      <c r="TBR8" s="875"/>
      <c r="TBS8" s="875"/>
      <c r="TBT8" s="875"/>
      <c r="TBU8" s="875"/>
      <c r="TBV8" s="875"/>
      <c r="TBW8" s="875"/>
      <c r="TBX8" s="875"/>
      <c r="TBY8" s="875"/>
      <c r="TBZ8" s="875"/>
      <c r="TCA8" s="875"/>
      <c r="TCB8" s="875"/>
      <c r="TCC8" s="875"/>
      <c r="TCD8" s="875"/>
      <c r="TCE8" s="875"/>
      <c r="TCF8" s="875"/>
      <c r="TCG8" s="875"/>
      <c r="TCH8" s="875"/>
      <c r="TCI8" s="875"/>
      <c r="TCJ8" s="875"/>
      <c r="TCK8" s="875"/>
      <c r="TCL8" s="875"/>
      <c r="TCM8" s="875"/>
      <c r="TCN8" s="875"/>
      <c r="TCO8" s="875"/>
      <c r="TCP8" s="875"/>
      <c r="TCQ8" s="875"/>
      <c r="TCR8" s="875"/>
      <c r="TCS8" s="875"/>
      <c r="TCT8" s="875"/>
      <c r="TCU8" s="875"/>
      <c r="TCV8" s="875"/>
      <c r="TCW8" s="875"/>
      <c r="TCX8" s="875"/>
      <c r="TCY8" s="875"/>
      <c r="TCZ8" s="875"/>
      <c r="TDA8" s="875"/>
      <c r="TDB8" s="875"/>
      <c r="TDC8" s="875"/>
      <c r="TDD8" s="875"/>
      <c r="TDE8" s="875"/>
      <c r="TDF8" s="875"/>
      <c r="TDG8" s="875"/>
      <c r="TDH8" s="875"/>
      <c r="TDI8" s="875"/>
      <c r="TDJ8" s="875"/>
      <c r="TDK8" s="875"/>
      <c r="TDL8" s="875"/>
      <c r="TDM8" s="875"/>
      <c r="TDN8" s="875"/>
      <c r="TDO8" s="875"/>
      <c r="TDP8" s="875"/>
      <c r="TDQ8" s="875"/>
      <c r="TDR8" s="875"/>
      <c r="TDS8" s="875"/>
      <c r="TDT8" s="875"/>
      <c r="TDU8" s="875"/>
      <c r="TDV8" s="875"/>
      <c r="TDW8" s="875"/>
      <c r="TDX8" s="875"/>
      <c r="TDY8" s="875"/>
      <c r="TDZ8" s="875"/>
      <c r="TEA8" s="875"/>
      <c r="TEB8" s="875"/>
      <c r="TEC8" s="875"/>
      <c r="TED8" s="875"/>
      <c r="TEE8" s="875"/>
      <c r="TEF8" s="875"/>
      <c r="TEG8" s="875"/>
      <c r="TEH8" s="875"/>
      <c r="TEI8" s="875"/>
      <c r="TEJ8" s="875"/>
      <c r="TEK8" s="875"/>
      <c r="TEL8" s="875"/>
      <c r="TEM8" s="875"/>
      <c r="TEN8" s="875"/>
      <c r="TEO8" s="875"/>
      <c r="TEP8" s="875"/>
      <c r="TEQ8" s="875"/>
      <c r="TER8" s="875"/>
      <c r="TES8" s="875"/>
      <c r="TET8" s="875"/>
      <c r="TEU8" s="875"/>
      <c r="TEV8" s="875"/>
      <c r="TEW8" s="875"/>
      <c r="TEX8" s="875"/>
      <c r="TEY8" s="875"/>
      <c r="TEZ8" s="875"/>
      <c r="TFA8" s="875"/>
      <c r="TFB8" s="875"/>
      <c r="TFC8" s="875"/>
      <c r="TFD8" s="875"/>
      <c r="TFE8" s="875"/>
      <c r="TFF8" s="875"/>
      <c r="TFG8" s="875"/>
      <c r="TFH8" s="875"/>
      <c r="TFI8" s="875"/>
      <c r="TFJ8" s="875"/>
      <c r="TFK8" s="875"/>
      <c r="TFL8" s="875"/>
      <c r="TFM8" s="875"/>
      <c r="TFN8" s="875"/>
      <c r="TFO8" s="875"/>
      <c r="TFP8" s="875"/>
      <c r="TFQ8" s="875"/>
      <c r="TFR8" s="875"/>
      <c r="TFS8" s="875"/>
      <c r="TFT8" s="875"/>
      <c r="TFU8" s="875"/>
      <c r="TFV8" s="875"/>
      <c r="TFW8" s="875"/>
      <c r="TFX8" s="875"/>
      <c r="TFY8" s="875"/>
      <c r="TFZ8" s="875"/>
      <c r="TGA8" s="875"/>
      <c r="TGB8" s="875"/>
      <c r="TGC8" s="875"/>
      <c r="TGD8" s="875"/>
      <c r="TGE8" s="875"/>
      <c r="TGF8" s="875"/>
      <c r="TGG8" s="875"/>
      <c r="TGH8" s="875"/>
      <c r="TGI8" s="875"/>
      <c r="TGJ8" s="875"/>
      <c r="TGK8" s="875"/>
      <c r="TGL8" s="875"/>
      <c r="TGM8" s="875"/>
      <c r="TGN8" s="875"/>
      <c r="TGO8" s="875"/>
      <c r="TGP8" s="875"/>
      <c r="TGQ8" s="875"/>
      <c r="TGR8" s="875"/>
      <c r="TGS8" s="875"/>
      <c r="TGT8" s="875"/>
      <c r="TGU8" s="875"/>
      <c r="TGV8" s="875"/>
      <c r="TGW8" s="875"/>
      <c r="TGX8" s="875"/>
      <c r="TGY8" s="875"/>
      <c r="TGZ8" s="875"/>
      <c r="THA8" s="875"/>
      <c r="THB8" s="875"/>
      <c r="THC8" s="875"/>
      <c r="THD8" s="875"/>
      <c r="THE8" s="875"/>
      <c r="THF8" s="875"/>
      <c r="THG8" s="875"/>
      <c r="THH8" s="875"/>
      <c r="THI8" s="875"/>
      <c r="THJ8" s="875"/>
      <c r="THK8" s="875"/>
      <c r="THL8" s="875"/>
      <c r="THM8" s="875"/>
      <c r="THN8" s="875"/>
      <c r="THO8" s="875"/>
      <c r="THP8" s="875"/>
      <c r="THQ8" s="875"/>
      <c r="THR8" s="875"/>
      <c r="THS8" s="875"/>
      <c r="THT8" s="875"/>
      <c r="THU8" s="875"/>
      <c r="THV8" s="875"/>
      <c r="THW8" s="875"/>
      <c r="THX8" s="875"/>
      <c r="THY8" s="875"/>
      <c r="THZ8" s="875"/>
      <c r="TIA8" s="875"/>
      <c r="TIB8" s="875"/>
      <c r="TIC8" s="875"/>
      <c r="TID8" s="875"/>
      <c r="TIE8" s="875"/>
      <c r="TIF8" s="875"/>
      <c r="TIG8" s="875"/>
      <c r="TIH8" s="875"/>
      <c r="TII8" s="875"/>
      <c r="TIJ8" s="875"/>
      <c r="TIK8" s="875"/>
      <c r="TIL8" s="875"/>
      <c r="TIM8" s="875"/>
      <c r="TIN8" s="875"/>
      <c r="TIO8" s="875"/>
      <c r="TIP8" s="875"/>
      <c r="TIQ8" s="875"/>
      <c r="TIR8" s="875"/>
      <c r="TIS8" s="875"/>
      <c r="TIT8" s="875"/>
      <c r="TIU8" s="875"/>
      <c r="TIV8" s="875"/>
      <c r="TIW8" s="875"/>
      <c r="TIX8" s="875"/>
      <c r="TIY8" s="875"/>
      <c r="TIZ8" s="875"/>
      <c r="TJA8" s="875"/>
      <c r="TJB8" s="875"/>
      <c r="TJC8" s="875"/>
      <c r="TJD8" s="875"/>
      <c r="TJE8" s="875"/>
      <c r="TJF8" s="875"/>
      <c r="TJG8" s="875"/>
      <c r="TJH8" s="875"/>
      <c r="TJI8" s="875"/>
      <c r="TJJ8" s="875"/>
      <c r="TJK8" s="875"/>
      <c r="TJL8" s="875"/>
      <c r="TJM8" s="875"/>
      <c r="TJN8" s="875"/>
      <c r="TJO8" s="875"/>
      <c r="TJP8" s="875"/>
      <c r="TJQ8" s="875"/>
      <c r="TJR8" s="875"/>
      <c r="TJS8" s="875"/>
      <c r="TJT8" s="875"/>
      <c r="TJU8" s="875"/>
      <c r="TJV8" s="875"/>
      <c r="TJW8" s="875"/>
      <c r="TJX8" s="875"/>
      <c r="TJY8" s="875"/>
      <c r="TJZ8" s="875"/>
      <c r="TKA8" s="875"/>
      <c r="TKB8" s="875"/>
      <c r="TKC8" s="875"/>
      <c r="TKD8" s="875"/>
      <c r="TKE8" s="875"/>
      <c r="TKF8" s="875"/>
      <c r="TKG8" s="875"/>
      <c r="TKH8" s="875"/>
      <c r="TKI8" s="875"/>
      <c r="TKJ8" s="875"/>
      <c r="TKK8" s="875"/>
      <c r="TKL8" s="875"/>
      <c r="TKM8" s="875"/>
      <c r="TKN8" s="875"/>
      <c r="TKO8" s="875"/>
      <c r="TKP8" s="875"/>
      <c r="TKQ8" s="875"/>
      <c r="TKR8" s="875"/>
      <c r="TKS8" s="875"/>
      <c r="TKT8" s="875"/>
      <c r="TKU8" s="875"/>
      <c r="TKV8" s="875"/>
      <c r="TKW8" s="875"/>
      <c r="TKX8" s="875"/>
      <c r="TKY8" s="875"/>
      <c r="TKZ8" s="875"/>
      <c r="TLA8" s="875"/>
      <c r="TLB8" s="875"/>
      <c r="TLC8" s="875"/>
      <c r="TLD8" s="875"/>
      <c r="TLE8" s="875"/>
      <c r="TLF8" s="875"/>
      <c r="TLG8" s="875"/>
      <c r="TLH8" s="875"/>
      <c r="TLI8" s="875"/>
      <c r="TLJ8" s="875"/>
      <c r="TLK8" s="875"/>
      <c r="TLL8" s="875"/>
      <c r="TLM8" s="875"/>
      <c r="TLN8" s="875"/>
      <c r="TLO8" s="875"/>
      <c r="TLP8" s="875"/>
      <c r="TLQ8" s="875"/>
      <c r="TLR8" s="875"/>
      <c r="TLS8" s="875"/>
      <c r="TLT8" s="875"/>
      <c r="TLU8" s="875"/>
      <c r="TLV8" s="875"/>
      <c r="TLW8" s="875"/>
      <c r="TLX8" s="875"/>
      <c r="TLY8" s="875"/>
      <c r="TLZ8" s="875"/>
      <c r="TMA8" s="875"/>
      <c r="TMB8" s="875"/>
      <c r="TMC8" s="875"/>
      <c r="TMD8" s="875"/>
      <c r="TME8" s="875"/>
      <c r="TMF8" s="875"/>
      <c r="TMG8" s="875"/>
      <c r="TMH8" s="875"/>
      <c r="TMI8" s="875"/>
      <c r="TMJ8" s="875"/>
      <c r="TMK8" s="875"/>
      <c r="TML8" s="875"/>
      <c r="TMM8" s="875"/>
      <c r="TMN8" s="875"/>
      <c r="TMO8" s="875"/>
      <c r="TMP8" s="875"/>
      <c r="TMQ8" s="875"/>
      <c r="TMR8" s="875"/>
      <c r="TMS8" s="875"/>
      <c r="TMT8" s="875"/>
      <c r="TMU8" s="875"/>
      <c r="TMV8" s="875"/>
      <c r="TMW8" s="875"/>
      <c r="TMX8" s="875"/>
      <c r="TMY8" s="875"/>
      <c r="TMZ8" s="875"/>
      <c r="TNA8" s="875"/>
      <c r="TNB8" s="875"/>
      <c r="TNC8" s="875"/>
      <c r="TND8" s="875"/>
      <c r="TNE8" s="875"/>
      <c r="TNF8" s="875"/>
      <c r="TNG8" s="875"/>
      <c r="TNH8" s="875"/>
      <c r="TNI8" s="875"/>
      <c r="TNJ8" s="875"/>
      <c r="TNK8" s="875"/>
      <c r="TNL8" s="875"/>
      <c r="TNM8" s="875"/>
      <c r="TNN8" s="875"/>
      <c r="TNO8" s="875"/>
      <c r="TNP8" s="875"/>
      <c r="TNQ8" s="875"/>
      <c r="TNR8" s="875"/>
      <c r="TNS8" s="875"/>
      <c r="TNT8" s="875"/>
      <c r="TNU8" s="875"/>
      <c r="TNV8" s="875"/>
      <c r="TNW8" s="875"/>
      <c r="TNX8" s="875"/>
      <c r="TNY8" s="875"/>
      <c r="TNZ8" s="875"/>
      <c r="TOA8" s="875"/>
      <c r="TOB8" s="875"/>
      <c r="TOC8" s="875"/>
      <c r="TOD8" s="875"/>
      <c r="TOE8" s="875"/>
      <c r="TOF8" s="875"/>
      <c r="TOG8" s="875"/>
      <c r="TOH8" s="875"/>
      <c r="TOI8" s="875"/>
      <c r="TOJ8" s="875"/>
      <c r="TOK8" s="875"/>
      <c r="TOL8" s="875"/>
      <c r="TOM8" s="875"/>
      <c r="TON8" s="875"/>
      <c r="TOO8" s="875"/>
      <c r="TOP8" s="875"/>
      <c r="TOQ8" s="875"/>
      <c r="TOR8" s="875"/>
      <c r="TOS8" s="875"/>
      <c r="TOT8" s="875"/>
      <c r="TOU8" s="875"/>
      <c r="TOV8" s="875"/>
      <c r="TOW8" s="875"/>
      <c r="TOX8" s="875"/>
      <c r="TOY8" s="875"/>
      <c r="TOZ8" s="875"/>
      <c r="TPA8" s="875"/>
      <c r="TPB8" s="875"/>
      <c r="TPC8" s="875"/>
      <c r="TPD8" s="875"/>
      <c r="TPE8" s="875"/>
      <c r="TPF8" s="875"/>
      <c r="TPG8" s="875"/>
      <c r="TPH8" s="875"/>
      <c r="TPI8" s="875"/>
      <c r="TPJ8" s="875"/>
      <c r="TPK8" s="875"/>
      <c r="TPL8" s="875"/>
      <c r="TPM8" s="875"/>
      <c r="TPN8" s="875"/>
      <c r="TPO8" s="875"/>
      <c r="TPP8" s="875"/>
      <c r="TPQ8" s="875"/>
      <c r="TPR8" s="875"/>
      <c r="TPS8" s="875"/>
      <c r="TPT8" s="875"/>
      <c r="TPU8" s="875"/>
      <c r="TPV8" s="875"/>
      <c r="TPW8" s="875"/>
      <c r="TPX8" s="875"/>
      <c r="TPY8" s="875"/>
      <c r="TPZ8" s="875"/>
      <c r="TQA8" s="875"/>
      <c r="TQB8" s="875"/>
      <c r="TQC8" s="875"/>
      <c r="TQD8" s="875"/>
      <c r="TQE8" s="875"/>
      <c r="TQF8" s="875"/>
      <c r="TQG8" s="875"/>
      <c r="TQH8" s="875"/>
      <c r="TQI8" s="875"/>
      <c r="TQJ8" s="875"/>
      <c r="TQK8" s="875"/>
      <c r="TQL8" s="875"/>
      <c r="TQM8" s="875"/>
      <c r="TQN8" s="875"/>
      <c r="TQO8" s="875"/>
      <c r="TQP8" s="875"/>
      <c r="TQQ8" s="875"/>
      <c r="TQR8" s="875"/>
      <c r="TQS8" s="875"/>
      <c r="TQT8" s="875"/>
      <c r="TQU8" s="875"/>
      <c r="TQV8" s="875"/>
      <c r="TQW8" s="875"/>
      <c r="TQX8" s="875"/>
      <c r="TQY8" s="875"/>
      <c r="TQZ8" s="875"/>
      <c r="TRA8" s="875"/>
      <c r="TRB8" s="875"/>
      <c r="TRC8" s="875"/>
      <c r="TRD8" s="875"/>
      <c r="TRE8" s="875"/>
      <c r="TRF8" s="875"/>
      <c r="TRG8" s="875"/>
      <c r="TRH8" s="875"/>
      <c r="TRI8" s="875"/>
      <c r="TRJ8" s="875"/>
      <c r="TRK8" s="875"/>
      <c r="TRL8" s="875"/>
      <c r="TRM8" s="875"/>
      <c r="TRN8" s="875"/>
      <c r="TRO8" s="875"/>
      <c r="TRP8" s="875"/>
      <c r="TRQ8" s="875"/>
      <c r="TRR8" s="875"/>
      <c r="TRS8" s="875"/>
      <c r="TRT8" s="875"/>
      <c r="TRU8" s="875"/>
      <c r="TRV8" s="875"/>
      <c r="TRW8" s="875"/>
      <c r="TRX8" s="875"/>
      <c r="TRY8" s="875"/>
      <c r="TRZ8" s="875"/>
      <c r="TSA8" s="875"/>
      <c r="TSB8" s="875"/>
      <c r="TSC8" s="875"/>
      <c r="TSD8" s="875"/>
      <c r="TSE8" s="875"/>
      <c r="TSF8" s="875"/>
      <c r="TSG8" s="875"/>
      <c r="TSH8" s="875"/>
      <c r="TSI8" s="875"/>
      <c r="TSJ8" s="875"/>
      <c r="TSK8" s="875"/>
      <c r="TSL8" s="875"/>
      <c r="TSM8" s="875"/>
      <c r="TSN8" s="875"/>
      <c r="TSO8" s="875"/>
      <c r="TSP8" s="875"/>
      <c r="TSQ8" s="875"/>
      <c r="TSR8" s="875"/>
      <c r="TSS8" s="875"/>
      <c r="TST8" s="875"/>
      <c r="TSU8" s="875"/>
      <c r="TSV8" s="875"/>
      <c r="TSW8" s="875"/>
      <c r="TSX8" s="875"/>
      <c r="TSY8" s="875"/>
      <c r="TSZ8" s="875"/>
      <c r="TTA8" s="875"/>
      <c r="TTB8" s="875"/>
      <c r="TTC8" s="875"/>
      <c r="TTD8" s="875"/>
      <c r="TTE8" s="875"/>
      <c r="TTF8" s="875"/>
      <c r="TTG8" s="875"/>
      <c r="TTH8" s="875"/>
      <c r="TTI8" s="875"/>
      <c r="TTJ8" s="875"/>
      <c r="TTK8" s="875"/>
      <c r="TTL8" s="875"/>
      <c r="TTM8" s="875"/>
      <c r="TTN8" s="875"/>
      <c r="TTO8" s="875"/>
      <c r="TTP8" s="875"/>
      <c r="TTQ8" s="875"/>
      <c r="TTR8" s="875"/>
      <c r="TTS8" s="875"/>
      <c r="TTT8" s="875"/>
      <c r="TTU8" s="875"/>
      <c r="TTV8" s="875"/>
      <c r="TTW8" s="875"/>
      <c r="TTX8" s="875"/>
      <c r="TTY8" s="875"/>
      <c r="TTZ8" s="875"/>
      <c r="TUA8" s="875"/>
      <c r="TUB8" s="875"/>
      <c r="TUC8" s="875"/>
      <c r="TUD8" s="875"/>
      <c r="TUE8" s="875"/>
      <c r="TUF8" s="875"/>
      <c r="TUG8" s="875"/>
      <c r="TUH8" s="875"/>
      <c r="TUI8" s="875"/>
      <c r="TUJ8" s="875"/>
      <c r="TUK8" s="875"/>
      <c r="TUL8" s="875"/>
      <c r="TUM8" s="875"/>
      <c r="TUN8" s="875"/>
      <c r="TUO8" s="875"/>
      <c r="TUP8" s="875"/>
      <c r="TUQ8" s="875"/>
      <c r="TUR8" s="875"/>
      <c r="TUS8" s="875"/>
      <c r="TUT8" s="875"/>
      <c r="TUU8" s="875"/>
      <c r="TUV8" s="875"/>
      <c r="TUW8" s="875"/>
      <c r="TUX8" s="875"/>
      <c r="TUY8" s="875"/>
      <c r="TUZ8" s="875"/>
      <c r="TVA8" s="875"/>
      <c r="TVB8" s="875"/>
      <c r="TVC8" s="875"/>
      <c r="TVD8" s="875"/>
      <c r="TVE8" s="875"/>
      <c r="TVF8" s="875"/>
      <c r="TVG8" s="875"/>
      <c r="TVH8" s="875"/>
      <c r="TVI8" s="875"/>
      <c r="TVJ8" s="875"/>
      <c r="TVK8" s="875"/>
      <c r="TVL8" s="875"/>
      <c r="TVM8" s="875"/>
      <c r="TVN8" s="875"/>
      <c r="TVO8" s="875"/>
      <c r="TVP8" s="875"/>
      <c r="TVQ8" s="875"/>
      <c r="TVR8" s="875"/>
      <c r="TVS8" s="875"/>
      <c r="TVT8" s="875"/>
      <c r="TVU8" s="875"/>
      <c r="TVV8" s="875"/>
      <c r="TVW8" s="875"/>
      <c r="TVX8" s="875"/>
      <c r="TVY8" s="875"/>
      <c r="TVZ8" s="875"/>
      <c r="TWA8" s="875"/>
      <c r="TWB8" s="875"/>
      <c r="TWC8" s="875"/>
      <c r="TWD8" s="875"/>
      <c r="TWE8" s="875"/>
      <c r="TWF8" s="875"/>
      <c r="TWG8" s="875"/>
      <c r="TWH8" s="875"/>
      <c r="TWI8" s="875"/>
      <c r="TWJ8" s="875"/>
      <c r="TWK8" s="875"/>
      <c r="TWL8" s="875"/>
      <c r="TWM8" s="875"/>
      <c r="TWN8" s="875"/>
      <c r="TWO8" s="875"/>
      <c r="TWP8" s="875"/>
      <c r="TWQ8" s="875"/>
      <c r="TWR8" s="875"/>
      <c r="TWS8" s="875"/>
      <c r="TWT8" s="875"/>
      <c r="TWU8" s="875"/>
      <c r="TWV8" s="875"/>
      <c r="TWW8" s="875"/>
      <c r="TWX8" s="875"/>
      <c r="TWY8" s="875"/>
      <c r="TWZ8" s="875"/>
      <c r="TXA8" s="875"/>
      <c r="TXB8" s="875"/>
      <c r="TXC8" s="875"/>
      <c r="TXD8" s="875"/>
      <c r="TXE8" s="875"/>
      <c r="TXF8" s="875"/>
      <c r="TXG8" s="875"/>
      <c r="TXH8" s="875"/>
      <c r="TXI8" s="875"/>
      <c r="TXJ8" s="875"/>
      <c r="TXK8" s="875"/>
      <c r="TXL8" s="875"/>
      <c r="TXM8" s="875"/>
      <c r="TXN8" s="875"/>
      <c r="TXO8" s="875"/>
      <c r="TXP8" s="875"/>
      <c r="TXQ8" s="875"/>
      <c r="TXR8" s="875"/>
      <c r="TXS8" s="875"/>
      <c r="TXT8" s="875"/>
      <c r="TXU8" s="875"/>
      <c r="TXV8" s="875"/>
      <c r="TXW8" s="875"/>
      <c r="TXX8" s="875"/>
      <c r="TXY8" s="875"/>
      <c r="TXZ8" s="875"/>
      <c r="TYA8" s="875"/>
      <c r="TYB8" s="875"/>
      <c r="TYC8" s="875"/>
      <c r="TYD8" s="875"/>
      <c r="TYE8" s="875"/>
      <c r="TYF8" s="875"/>
      <c r="TYG8" s="875"/>
      <c r="TYH8" s="875"/>
      <c r="TYI8" s="875"/>
      <c r="TYJ8" s="875"/>
      <c r="TYK8" s="875"/>
      <c r="TYL8" s="875"/>
      <c r="TYM8" s="875"/>
      <c r="TYN8" s="875"/>
      <c r="TYO8" s="875"/>
      <c r="TYP8" s="875"/>
      <c r="TYQ8" s="875"/>
      <c r="TYR8" s="875"/>
      <c r="TYS8" s="875"/>
      <c r="TYT8" s="875"/>
      <c r="TYU8" s="875"/>
      <c r="TYV8" s="875"/>
      <c r="TYW8" s="875"/>
      <c r="TYX8" s="875"/>
      <c r="TYY8" s="875"/>
      <c r="TYZ8" s="875"/>
      <c r="TZA8" s="875"/>
      <c r="TZB8" s="875"/>
      <c r="TZC8" s="875"/>
      <c r="TZD8" s="875"/>
      <c r="TZE8" s="875"/>
      <c r="TZF8" s="875"/>
      <c r="TZG8" s="875"/>
      <c r="TZH8" s="875"/>
      <c r="TZI8" s="875"/>
      <c r="TZJ8" s="875"/>
      <c r="TZK8" s="875"/>
      <c r="TZL8" s="875"/>
      <c r="TZM8" s="875"/>
      <c r="TZN8" s="875"/>
      <c r="TZO8" s="875"/>
      <c r="TZP8" s="875"/>
      <c r="TZQ8" s="875"/>
      <c r="TZR8" s="875"/>
      <c r="TZS8" s="875"/>
      <c r="TZT8" s="875"/>
      <c r="TZU8" s="875"/>
      <c r="TZV8" s="875"/>
      <c r="TZW8" s="875"/>
      <c r="TZX8" s="875"/>
      <c r="TZY8" s="875"/>
      <c r="TZZ8" s="875"/>
      <c r="UAA8" s="875"/>
      <c r="UAB8" s="875"/>
      <c r="UAC8" s="875"/>
      <c r="UAD8" s="875"/>
      <c r="UAE8" s="875"/>
      <c r="UAF8" s="875"/>
      <c r="UAG8" s="875"/>
      <c r="UAH8" s="875"/>
      <c r="UAI8" s="875"/>
      <c r="UAJ8" s="875"/>
      <c r="UAK8" s="875"/>
      <c r="UAL8" s="875"/>
      <c r="UAM8" s="875"/>
      <c r="UAN8" s="875"/>
      <c r="UAO8" s="875"/>
      <c r="UAP8" s="875"/>
      <c r="UAQ8" s="875"/>
      <c r="UAR8" s="875"/>
      <c r="UAS8" s="875"/>
      <c r="UAT8" s="875"/>
      <c r="UAU8" s="875"/>
      <c r="UAV8" s="875"/>
      <c r="UAW8" s="875"/>
      <c r="UAX8" s="875"/>
      <c r="UAY8" s="875"/>
      <c r="UAZ8" s="875"/>
      <c r="UBA8" s="875"/>
      <c r="UBB8" s="875"/>
      <c r="UBC8" s="875"/>
      <c r="UBD8" s="875"/>
      <c r="UBE8" s="875"/>
      <c r="UBF8" s="875"/>
      <c r="UBG8" s="875"/>
      <c r="UBH8" s="875"/>
      <c r="UBI8" s="875"/>
      <c r="UBJ8" s="875"/>
      <c r="UBK8" s="875"/>
      <c r="UBL8" s="875"/>
      <c r="UBM8" s="875"/>
      <c r="UBN8" s="875"/>
      <c r="UBO8" s="875"/>
      <c r="UBP8" s="875"/>
      <c r="UBQ8" s="875"/>
      <c r="UBR8" s="875"/>
      <c r="UBS8" s="875"/>
      <c r="UBT8" s="875"/>
      <c r="UBU8" s="875"/>
      <c r="UBV8" s="875"/>
      <c r="UBW8" s="875"/>
      <c r="UBX8" s="875"/>
      <c r="UBY8" s="875"/>
      <c r="UBZ8" s="875"/>
      <c r="UCA8" s="875"/>
      <c r="UCB8" s="875"/>
      <c r="UCC8" s="875"/>
      <c r="UCD8" s="875"/>
      <c r="UCE8" s="875"/>
      <c r="UCF8" s="875"/>
      <c r="UCG8" s="875"/>
      <c r="UCH8" s="875"/>
      <c r="UCI8" s="875"/>
      <c r="UCJ8" s="875"/>
      <c r="UCK8" s="875"/>
      <c r="UCL8" s="875"/>
      <c r="UCM8" s="875"/>
      <c r="UCN8" s="875"/>
      <c r="UCO8" s="875"/>
      <c r="UCP8" s="875"/>
      <c r="UCQ8" s="875"/>
      <c r="UCR8" s="875"/>
      <c r="UCS8" s="875"/>
      <c r="UCT8" s="875"/>
      <c r="UCU8" s="875"/>
      <c r="UCV8" s="875"/>
      <c r="UCW8" s="875"/>
      <c r="UCX8" s="875"/>
      <c r="UCY8" s="875"/>
      <c r="UCZ8" s="875"/>
      <c r="UDA8" s="875"/>
      <c r="UDB8" s="875"/>
      <c r="UDC8" s="875"/>
      <c r="UDD8" s="875"/>
      <c r="UDE8" s="875"/>
      <c r="UDF8" s="875"/>
      <c r="UDG8" s="875"/>
      <c r="UDH8" s="875"/>
      <c r="UDI8" s="875"/>
      <c r="UDJ8" s="875"/>
      <c r="UDK8" s="875"/>
      <c r="UDL8" s="875"/>
      <c r="UDM8" s="875"/>
      <c r="UDN8" s="875"/>
      <c r="UDO8" s="875"/>
      <c r="UDP8" s="875"/>
      <c r="UDQ8" s="875"/>
      <c r="UDR8" s="875"/>
      <c r="UDS8" s="875"/>
      <c r="UDT8" s="875"/>
      <c r="UDU8" s="875"/>
      <c r="UDV8" s="875"/>
      <c r="UDW8" s="875"/>
      <c r="UDX8" s="875"/>
      <c r="UDY8" s="875"/>
      <c r="UDZ8" s="875"/>
      <c r="UEA8" s="875"/>
      <c r="UEB8" s="875"/>
      <c r="UEC8" s="875"/>
      <c r="UED8" s="875"/>
      <c r="UEE8" s="875"/>
      <c r="UEF8" s="875"/>
      <c r="UEG8" s="875"/>
      <c r="UEH8" s="875"/>
      <c r="UEI8" s="875"/>
      <c r="UEJ8" s="875"/>
      <c r="UEK8" s="875"/>
      <c r="UEL8" s="875"/>
      <c r="UEM8" s="875"/>
      <c r="UEN8" s="875"/>
      <c r="UEO8" s="875"/>
      <c r="UEP8" s="875"/>
      <c r="UEQ8" s="875"/>
      <c r="UER8" s="875"/>
      <c r="UES8" s="875"/>
      <c r="UET8" s="875"/>
      <c r="UEU8" s="875"/>
      <c r="UEV8" s="875"/>
      <c r="UEW8" s="875"/>
      <c r="UEX8" s="875"/>
      <c r="UEY8" s="875"/>
      <c r="UEZ8" s="875"/>
      <c r="UFA8" s="875"/>
      <c r="UFB8" s="875"/>
      <c r="UFC8" s="875"/>
      <c r="UFD8" s="875"/>
      <c r="UFE8" s="875"/>
      <c r="UFF8" s="875"/>
      <c r="UFG8" s="875"/>
      <c r="UFH8" s="875"/>
      <c r="UFI8" s="875"/>
      <c r="UFJ8" s="875"/>
      <c r="UFK8" s="875"/>
      <c r="UFL8" s="875"/>
      <c r="UFM8" s="875"/>
      <c r="UFN8" s="875"/>
      <c r="UFO8" s="875"/>
      <c r="UFP8" s="875"/>
      <c r="UFQ8" s="875"/>
      <c r="UFR8" s="875"/>
      <c r="UFS8" s="875"/>
      <c r="UFT8" s="875"/>
      <c r="UFU8" s="875"/>
      <c r="UFV8" s="875"/>
      <c r="UFW8" s="875"/>
      <c r="UFX8" s="875"/>
      <c r="UFY8" s="875"/>
      <c r="UFZ8" s="875"/>
      <c r="UGA8" s="875"/>
      <c r="UGB8" s="875"/>
      <c r="UGC8" s="875"/>
      <c r="UGD8" s="875"/>
      <c r="UGE8" s="875"/>
      <c r="UGF8" s="875"/>
      <c r="UGG8" s="875"/>
      <c r="UGH8" s="875"/>
      <c r="UGI8" s="875"/>
      <c r="UGJ8" s="875"/>
      <c r="UGK8" s="875"/>
      <c r="UGL8" s="875"/>
      <c r="UGM8" s="875"/>
      <c r="UGN8" s="875"/>
      <c r="UGO8" s="875"/>
      <c r="UGP8" s="875"/>
      <c r="UGQ8" s="875"/>
      <c r="UGR8" s="875"/>
      <c r="UGS8" s="875"/>
      <c r="UGT8" s="875"/>
      <c r="UGU8" s="875"/>
      <c r="UGV8" s="875"/>
      <c r="UGW8" s="875"/>
      <c r="UGX8" s="875"/>
      <c r="UGY8" s="875"/>
      <c r="UGZ8" s="875"/>
      <c r="UHA8" s="875"/>
      <c r="UHB8" s="875"/>
      <c r="UHC8" s="875"/>
      <c r="UHD8" s="875"/>
      <c r="UHE8" s="875"/>
      <c r="UHF8" s="875"/>
      <c r="UHG8" s="875"/>
      <c r="UHH8" s="875"/>
      <c r="UHI8" s="875"/>
      <c r="UHJ8" s="875"/>
      <c r="UHK8" s="875"/>
      <c r="UHL8" s="875"/>
      <c r="UHM8" s="875"/>
      <c r="UHN8" s="875"/>
      <c r="UHO8" s="875"/>
      <c r="UHP8" s="875"/>
      <c r="UHQ8" s="875"/>
      <c r="UHR8" s="875"/>
      <c r="UHS8" s="875"/>
      <c r="UHT8" s="875"/>
      <c r="UHU8" s="875"/>
      <c r="UHV8" s="875"/>
      <c r="UHW8" s="875"/>
      <c r="UHX8" s="875"/>
      <c r="UHY8" s="875"/>
      <c r="UHZ8" s="875"/>
      <c r="UIA8" s="875"/>
      <c r="UIB8" s="875"/>
      <c r="UIC8" s="875"/>
      <c r="UID8" s="875"/>
      <c r="UIE8" s="875"/>
      <c r="UIF8" s="875"/>
      <c r="UIG8" s="875"/>
      <c r="UIH8" s="875"/>
      <c r="UII8" s="875"/>
      <c r="UIJ8" s="875"/>
      <c r="UIK8" s="875"/>
      <c r="UIL8" s="875"/>
      <c r="UIM8" s="875"/>
      <c r="UIN8" s="875"/>
      <c r="UIO8" s="875"/>
      <c r="UIP8" s="875"/>
      <c r="UIQ8" s="875"/>
      <c r="UIR8" s="875"/>
      <c r="UIS8" s="875"/>
      <c r="UIT8" s="875"/>
      <c r="UIU8" s="875"/>
      <c r="UIV8" s="875"/>
      <c r="UIW8" s="875"/>
      <c r="UIX8" s="875"/>
      <c r="UIY8" s="875"/>
      <c r="UIZ8" s="875"/>
      <c r="UJA8" s="875"/>
      <c r="UJB8" s="875"/>
      <c r="UJC8" s="875"/>
      <c r="UJD8" s="875"/>
      <c r="UJE8" s="875"/>
      <c r="UJF8" s="875"/>
      <c r="UJG8" s="875"/>
      <c r="UJH8" s="875"/>
      <c r="UJI8" s="875"/>
      <c r="UJJ8" s="875"/>
      <c r="UJK8" s="875"/>
      <c r="UJL8" s="875"/>
      <c r="UJM8" s="875"/>
      <c r="UJN8" s="875"/>
      <c r="UJO8" s="875"/>
      <c r="UJP8" s="875"/>
      <c r="UJQ8" s="875"/>
      <c r="UJR8" s="875"/>
      <c r="UJS8" s="875"/>
      <c r="UJT8" s="875"/>
      <c r="UJU8" s="875"/>
      <c r="UJV8" s="875"/>
      <c r="UJW8" s="875"/>
      <c r="UJX8" s="875"/>
      <c r="UJY8" s="875"/>
      <c r="UJZ8" s="875"/>
      <c r="UKA8" s="875"/>
      <c r="UKB8" s="875"/>
      <c r="UKC8" s="875"/>
      <c r="UKD8" s="875"/>
      <c r="UKE8" s="875"/>
      <c r="UKF8" s="875"/>
      <c r="UKG8" s="875"/>
      <c r="UKH8" s="875"/>
      <c r="UKI8" s="875"/>
      <c r="UKJ8" s="875"/>
      <c r="UKK8" s="875"/>
      <c r="UKL8" s="875"/>
      <c r="UKM8" s="875"/>
      <c r="UKN8" s="875"/>
      <c r="UKO8" s="875"/>
      <c r="UKP8" s="875"/>
      <c r="UKQ8" s="875"/>
      <c r="UKR8" s="875"/>
      <c r="UKS8" s="875"/>
      <c r="UKT8" s="875"/>
      <c r="UKU8" s="875"/>
      <c r="UKV8" s="875"/>
      <c r="UKW8" s="875"/>
      <c r="UKX8" s="875"/>
      <c r="UKY8" s="875"/>
      <c r="UKZ8" s="875"/>
      <c r="ULA8" s="875"/>
      <c r="ULB8" s="875"/>
      <c r="ULC8" s="875"/>
      <c r="ULD8" s="875"/>
      <c r="ULE8" s="875"/>
      <c r="ULF8" s="875"/>
      <c r="ULG8" s="875"/>
      <c r="ULH8" s="875"/>
      <c r="ULI8" s="875"/>
      <c r="ULJ8" s="875"/>
      <c r="ULK8" s="875"/>
      <c r="ULL8" s="875"/>
      <c r="ULM8" s="875"/>
      <c r="ULN8" s="875"/>
      <c r="ULO8" s="875"/>
      <c r="ULP8" s="875"/>
      <c r="ULQ8" s="875"/>
      <c r="ULR8" s="875"/>
      <c r="ULS8" s="875"/>
      <c r="ULT8" s="875"/>
      <c r="ULU8" s="875"/>
      <c r="ULV8" s="875"/>
      <c r="ULW8" s="875"/>
      <c r="ULX8" s="875"/>
      <c r="ULY8" s="875"/>
      <c r="ULZ8" s="875"/>
      <c r="UMA8" s="875"/>
      <c r="UMB8" s="875"/>
      <c r="UMC8" s="875"/>
      <c r="UMD8" s="875"/>
      <c r="UME8" s="875"/>
      <c r="UMF8" s="875"/>
      <c r="UMG8" s="875"/>
      <c r="UMH8" s="875"/>
      <c r="UMI8" s="875"/>
      <c r="UMJ8" s="875"/>
      <c r="UMK8" s="875"/>
      <c r="UML8" s="875"/>
      <c r="UMM8" s="875"/>
      <c r="UMN8" s="875"/>
      <c r="UMO8" s="875"/>
      <c r="UMP8" s="875"/>
      <c r="UMQ8" s="875"/>
      <c r="UMR8" s="875"/>
      <c r="UMS8" s="875"/>
      <c r="UMT8" s="875"/>
      <c r="UMU8" s="875"/>
      <c r="UMV8" s="875"/>
      <c r="UMW8" s="875"/>
      <c r="UMX8" s="875"/>
      <c r="UMY8" s="875"/>
      <c r="UMZ8" s="875"/>
      <c r="UNA8" s="875"/>
      <c r="UNB8" s="875"/>
      <c r="UNC8" s="875"/>
      <c r="UND8" s="875"/>
      <c r="UNE8" s="875"/>
      <c r="UNF8" s="875"/>
      <c r="UNG8" s="875"/>
      <c r="UNH8" s="875"/>
      <c r="UNI8" s="875"/>
      <c r="UNJ8" s="875"/>
      <c r="UNK8" s="875"/>
      <c r="UNL8" s="875"/>
      <c r="UNM8" s="875"/>
      <c r="UNN8" s="875"/>
      <c r="UNO8" s="875"/>
      <c r="UNP8" s="875"/>
      <c r="UNQ8" s="875"/>
      <c r="UNR8" s="875"/>
      <c r="UNS8" s="875"/>
      <c r="UNT8" s="875"/>
      <c r="UNU8" s="875"/>
      <c r="UNV8" s="875"/>
      <c r="UNW8" s="875"/>
      <c r="UNX8" s="875"/>
      <c r="UNY8" s="875"/>
      <c r="UNZ8" s="875"/>
      <c r="UOA8" s="875"/>
      <c r="UOB8" s="875"/>
      <c r="UOC8" s="875"/>
      <c r="UOD8" s="875"/>
      <c r="UOE8" s="875"/>
      <c r="UOF8" s="875"/>
      <c r="UOG8" s="875"/>
      <c r="UOH8" s="875"/>
      <c r="UOI8" s="875"/>
      <c r="UOJ8" s="875"/>
      <c r="UOK8" s="875"/>
      <c r="UOL8" s="875"/>
      <c r="UOM8" s="875"/>
      <c r="UON8" s="875"/>
      <c r="UOO8" s="875"/>
      <c r="UOP8" s="875"/>
      <c r="UOQ8" s="875"/>
      <c r="UOR8" s="875"/>
      <c r="UOS8" s="875"/>
      <c r="UOT8" s="875"/>
      <c r="UOU8" s="875"/>
      <c r="UOV8" s="875"/>
      <c r="UOW8" s="875"/>
      <c r="UOX8" s="875"/>
      <c r="UOY8" s="875"/>
      <c r="UOZ8" s="875"/>
      <c r="UPA8" s="875"/>
      <c r="UPB8" s="875"/>
      <c r="UPC8" s="875"/>
      <c r="UPD8" s="875"/>
      <c r="UPE8" s="875"/>
      <c r="UPF8" s="875"/>
      <c r="UPG8" s="875"/>
      <c r="UPH8" s="875"/>
      <c r="UPI8" s="875"/>
      <c r="UPJ8" s="875"/>
      <c r="UPK8" s="875"/>
      <c r="UPL8" s="875"/>
      <c r="UPM8" s="875"/>
      <c r="UPN8" s="875"/>
      <c r="UPO8" s="875"/>
      <c r="UPP8" s="875"/>
      <c r="UPQ8" s="875"/>
      <c r="UPR8" s="875"/>
      <c r="UPS8" s="875"/>
      <c r="UPT8" s="875"/>
      <c r="UPU8" s="875"/>
      <c r="UPV8" s="875"/>
      <c r="UPW8" s="875"/>
      <c r="UPX8" s="875"/>
      <c r="UPY8" s="875"/>
      <c r="UPZ8" s="875"/>
      <c r="UQA8" s="875"/>
      <c r="UQB8" s="875"/>
      <c r="UQC8" s="875"/>
      <c r="UQD8" s="875"/>
      <c r="UQE8" s="875"/>
      <c r="UQF8" s="875"/>
      <c r="UQG8" s="875"/>
      <c r="UQH8" s="875"/>
      <c r="UQI8" s="875"/>
      <c r="UQJ8" s="875"/>
      <c r="UQK8" s="875"/>
      <c r="UQL8" s="875"/>
      <c r="UQM8" s="875"/>
      <c r="UQN8" s="875"/>
      <c r="UQO8" s="875"/>
      <c r="UQP8" s="875"/>
      <c r="UQQ8" s="875"/>
      <c r="UQR8" s="875"/>
      <c r="UQS8" s="875"/>
      <c r="UQT8" s="875"/>
      <c r="UQU8" s="875"/>
      <c r="UQV8" s="875"/>
      <c r="UQW8" s="875"/>
      <c r="UQX8" s="875"/>
      <c r="UQY8" s="875"/>
      <c r="UQZ8" s="875"/>
      <c r="URA8" s="875"/>
      <c r="URB8" s="875"/>
      <c r="URC8" s="875"/>
      <c r="URD8" s="875"/>
      <c r="URE8" s="875"/>
      <c r="URF8" s="875"/>
      <c r="URG8" s="875"/>
      <c r="URH8" s="875"/>
      <c r="URI8" s="875"/>
      <c r="URJ8" s="875"/>
      <c r="URK8" s="875"/>
      <c r="URL8" s="875"/>
      <c r="URM8" s="875"/>
      <c r="URN8" s="875"/>
      <c r="URO8" s="875"/>
      <c r="URP8" s="875"/>
      <c r="URQ8" s="875"/>
      <c r="URR8" s="875"/>
      <c r="URS8" s="875"/>
      <c r="URT8" s="875"/>
      <c r="URU8" s="875"/>
      <c r="URV8" s="875"/>
      <c r="URW8" s="875"/>
      <c r="URX8" s="875"/>
      <c r="URY8" s="875"/>
      <c r="URZ8" s="875"/>
      <c r="USA8" s="875"/>
      <c r="USB8" s="875"/>
      <c r="USC8" s="875"/>
      <c r="USD8" s="875"/>
      <c r="USE8" s="875"/>
      <c r="USF8" s="875"/>
      <c r="USG8" s="875"/>
      <c r="USH8" s="875"/>
      <c r="USI8" s="875"/>
      <c r="USJ8" s="875"/>
      <c r="USK8" s="875"/>
      <c r="USL8" s="875"/>
      <c r="USM8" s="875"/>
      <c r="USN8" s="875"/>
      <c r="USO8" s="875"/>
      <c r="USP8" s="875"/>
      <c r="USQ8" s="875"/>
      <c r="USR8" s="875"/>
      <c r="USS8" s="875"/>
      <c r="UST8" s="875"/>
      <c r="USU8" s="875"/>
      <c r="USV8" s="875"/>
      <c r="USW8" s="875"/>
      <c r="USX8" s="875"/>
      <c r="USY8" s="875"/>
      <c r="USZ8" s="875"/>
      <c r="UTA8" s="875"/>
      <c r="UTB8" s="875"/>
      <c r="UTC8" s="875"/>
      <c r="UTD8" s="875"/>
      <c r="UTE8" s="875"/>
      <c r="UTF8" s="875"/>
      <c r="UTG8" s="875"/>
      <c r="UTH8" s="875"/>
      <c r="UTI8" s="875"/>
      <c r="UTJ8" s="875"/>
      <c r="UTK8" s="875"/>
      <c r="UTL8" s="875"/>
      <c r="UTM8" s="875"/>
      <c r="UTN8" s="875"/>
      <c r="UTO8" s="875"/>
      <c r="UTP8" s="875"/>
      <c r="UTQ8" s="875"/>
      <c r="UTR8" s="875"/>
      <c r="UTS8" s="875"/>
      <c r="UTT8" s="875"/>
      <c r="UTU8" s="875"/>
      <c r="UTV8" s="875"/>
      <c r="UTW8" s="875"/>
      <c r="UTX8" s="875"/>
      <c r="UTY8" s="875"/>
      <c r="UTZ8" s="875"/>
      <c r="UUA8" s="875"/>
      <c r="UUB8" s="875"/>
      <c r="UUC8" s="875"/>
      <c r="UUD8" s="875"/>
      <c r="UUE8" s="875"/>
      <c r="UUF8" s="875"/>
      <c r="UUG8" s="875"/>
      <c r="UUH8" s="875"/>
      <c r="UUI8" s="875"/>
      <c r="UUJ8" s="875"/>
      <c r="UUK8" s="875"/>
      <c r="UUL8" s="875"/>
      <c r="UUM8" s="875"/>
      <c r="UUN8" s="875"/>
      <c r="UUO8" s="875"/>
      <c r="UUP8" s="875"/>
      <c r="UUQ8" s="875"/>
      <c r="UUR8" s="875"/>
      <c r="UUS8" s="875"/>
      <c r="UUT8" s="875"/>
      <c r="UUU8" s="875"/>
      <c r="UUV8" s="875"/>
      <c r="UUW8" s="875"/>
      <c r="UUX8" s="875"/>
      <c r="UUY8" s="875"/>
      <c r="UUZ8" s="875"/>
      <c r="UVA8" s="875"/>
      <c r="UVB8" s="875"/>
      <c r="UVC8" s="875"/>
      <c r="UVD8" s="875"/>
      <c r="UVE8" s="875"/>
      <c r="UVF8" s="875"/>
      <c r="UVG8" s="875"/>
      <c r="UVH8" s="875"/>
      <c r="UVI8" s="875"/>
      <c r="UVJ8" s="875"/>
      <c r="UVK8" s="875"/>
      <c r="UVL8" s="875"/>
      <c r="UVM8" s="875"/>
      <c r="UVN8" s="875"/>
      <c r="UVO8" s="875"/>
      <c r="UVP8" s="875"/>
      <c r="UVQ8" s="875"/>
      <c r="UVR8" s="875"/>
      <c r="UVS8" s="875"/>
      <c r="UVT8" s="875"/>
      <c r="UVU8" s="875"/>
      <c r="UVV8" s="875"/>
      <c r="UVW8" s="875"/>
      <c r="UVX8" s="875"/>
      <c r="UVY8" s="875"/>
      <c r="UVZ8" s="875"/>
      <c r="UWA8" s="875"/>
      <c r="UWB8" s="875"/>
      <c r="UWC8" s="875"/>
      <c r="UWD8" s="875"/>
      <c r="UWE8" s="875"/>
      <c r="UWF8" s="875"/>
      <c r="UWG8" s="875"/>
      <c r="UWH8" s="875"/>
      <c r="UWI8" s="875"/>
      <c r="UWJ8" s="875"/>
      <c r="UWK8" s="875"/>
      <c r="UWL8" s="875"/>
      <c r="UWM8" s="875"/>
      <c r="UWN8" s="875"/>
      <c r="UWO8" s="875"/>
      <c r="UWP8" s="875"/>
      <c r="UWQ8" s="875"/>
      <c r="UWR8" s="875"/>
      <c r="UWS8" s="875"/>
      <c r="UWT8" s="875"/>
      <c r="UWU8" s="875"/>
      <c r="UWV8" s="875"/>
      <c r="UWW8" s="875"/>
      <c r="UWX8" s="875"/>
      <c r="UWY8" s="875"/>
      <c r="UWZ8" s="875"/>
      <c r="UXA8" s="875"/>
      <c r="UXB8" s="875"/>
      <c r="UXC8" s="875"/>
      <c r="UXD8" s="875"/>
      <c r="UXE8" s="875"/>
      <c r="UXF8" s="875"/>
      <c r="UXG8" s="875"/>
      <c r="UXH8" s="875"/>
      <c r="UXI8" s="875"/>
      <c r="UXJ8" s="875"/>
      <c r="UXK8" s="875"/>
      <c r="UXL8" s="875"/>
      <c r="UXM8" s="875"/>
      <c r="UXN8" s="875"/>
      <c r="UXO8" s="875"/>
      <c r="UXP8" s="875"/>
      <c r="UXQ8" s="875"/>
      <c r="UXR8" s="875"/>
      <c r="UXS8" s="875"/>
      <c r="UXT8" s="875"/>
      <c r="UXU8" s="875"/>
      <c r="UXV8" s="875"/>
      <c r="UXW8" s="875"/>
      <c r="UXX8" s="875"/>
      <c r="UXY8" s="875"/>
      <c r="UXZ8" s="875"/>
      <c r="UYA8" s="875"/>
      <c r="UYB8" s="875"/>
      <c r="UYC8" s="875"/>
      <c r="UYD8" s="875"/>
      <c r="UYE8" s="875"/>
      <c r="UYF8" s="875"/>
      <c r="UYG8" s="875"/>
      <c r="UYH8" s="875"/>
      <c r="UYI8" s="875"/>
      <c r="UYJ8" s="875"/>
      <c r="UYK8" s="875"/>
      <c r="UYL8" s="875"/>
      <c r="UYM8" s="875"/>
      <c r="UYN8" s="875"/>
      <c r="UYO8" s="875"/>
      <c r="UYP8" s="875"/>
      <c r="UYQ8" s="875"/>
      <c r="UYR8" s="875"/>
      <c r="UYS8" s="875"/>
      <c r="UYT8" s="875"/>
      <c r="UYU8" s="875"/>
      <c r="UYV8" s="875"/>
      <c r="UYW8" s="875"/>
      <c r="UYX8" s="875"/>
      <c r="UYY8" s="875"/>
      <c r="UYZ8" s="875"/>
      <c r="UZA8" s="875"/>
      <c r="UZB8" s="875"/>
      <c r="UZC8" s="875"/>
      <c r="UZD8" s="875"/>
      <c r="UZE8" s="875"/>
      <c r="UZF8" s="875"/>
      <c r="UZG8" s="875"/>
      <c r="UZH8" s="875"/>
      <c r="UZI8" s="875"/>
      <c r="UZJ8" s="875"/>
      <c r="UZK8" s="875"/>
      <c r="UZL8" s="875"/>
      <c r="UZM8" s="875"/>
      <c r="UZN8" s="875"/>
      <c r="UZO8" s="875"/>
      <c r="UZP8" s="875"/>
      <c r="UZQ8" s="875"/>
      <c r="UZR8" s="875"/>
      <c r="UZS8" s="875"/>
      <c r="UZT8" s="875"/>
      <c r="UZU8" s="875"/>
      <c r="UZV8" s="875"/>
      <c r="UZW8" s="875"/>
      <c r="UZX8" s="875"/>
      <c r="UZY8" s="875"/>
      <c r="UZZ8" s="875"/>
      <c r="VAA8" s="875"/>
      <c r="VAB8" s="875"/>
      <c r="VAC8" s="875"/>
      <c r="VAD8" s="875"/>
      <c r="VAE8" s="875"/>
      <c r="VAF8" s="875"/>
      <c r="VAG8" s="875"/>
      <c r="VAH8" s="875"/>
      <c r="VAI8" s="875"/>
      <c r="VAJ8" s="875"/>
      <c r="VAK8" s="875"/>
      <c r="VAL8" s="875"/>
      <c r="VAM8" s="875"/>
      <c r="VAN8" s="875"/>
      <c r="VAO8" s="875"/>
      <c r="VAP8" s="875"/>
      <c r="VAQ8" s="875"/>
      <c r="VAR8" s="875"/>
      <c r="VAS8" s="875"/>
      <c r="VAT8" s="875"/>
      <c r="VAU8" s="875"/>
      <c r="VAV8" s="875"/>
      <c r="VAW8" s="875"/>
      <c r="VAX8" s="875"/>
      <c r="VAY8" s="875"/>
      <c r="VAZ8" s="875"/>
      <c r="VBA8" s="875"/>
      <c r="VBB8" s="875"/>
      <c r="VBC8" s="875"/>
      <c r="VBD8" s="875"/>
      <c r="VBE8" s="875"/>
      <c r="VBF8" s="875"/>
      <c r="VBG8" s="875"/>
      <c r="VBH8" s="875"/>
      <c r="VBI8" s="875"/>
      <c r="VBJ8" s="875"/>
      <c r="VBK8" s="875"/>
      <c r="VBL8" s="875"/>
      <c r="VBM8" s="875"/>
      <c r="VBN8" s="875"/>
      <c r="VBO8" s="875"/>
      <c r="VBP8" s="875"/>
      <c r="VBQ8" s="875"/>
      <c r="VBR8" s="875"/>
      <c r="VBS8" s="875"/>
      <c r="VBT8" s="875"/>
      <c r="VBU8" s="875"/>
      <c r="VBV8" s="875"/>
      <c r="VBW8" s="875"/>
      <c r="VBX8" s="875"/>
      <c r="VBY8" s="875"/>
      <c r="VBZ8" s="875"/>
      <c r="VCA8" s="875"/>
      <c r="VCB8" s="875"/>
      <c r="VCC8" s="875"/>
      <c r="VCD8" s="875"/>
      <c r="VCE8" s="875"/>
      <c r="VCF8" s="875"/>
      <c r="VCG8" s="875"/>
      <c r="VCH8" s="875"/>
      <c r="VCI8" s="875"/>
      <c r="VCJ8" s="875"/>
      <c r="VCK8" s="875"/>
      <c r="VCL8" s="875"/>
      <c r="VCM8" s="875"/>
      <c r="VCN8" s="875"/>
      <c r="VCO8" s="875"/>
      <c r="VCP8" s="875"/>
      <c r="VCQ8" s="875"/>
      <c r="VCR8" s="875"/>
      <c r="VCS8" s="875"/>
      <c r="VCT8" s="875"/>
      <c r="VCU8" s="875"/>
      <c r="VCV8" s="875"/>
      <c r="VCW8" s="875"/>
      <c r="VCX8" s="875"/>
      <c r="VCY8" s="875"/>
      <c r="VCZ8" s="875"/>
      <c r="VDA8" s="875"/>
      <c r="VDB8" s="875"/>
      <c r="VDC8" s="875"/>
      <c r="VDD8" s="875"/>
      <c r="VDE8" s="875"/>
      <c r="VDF8" s="875"/>
      <c r="VDG8" s="875"/>
      <c r="VDH8" s="875"/>
      <c r="VDI8" s="875"/>
      <c r="VDJ8" s="875"/>
      <c r="VDK8" s="875"/>
      <c r="VDL8" s="875"/>
      <c r="VDM8" s="875"/>
      <c r="VDN8" s="875"/>
      <c r="VDO8" s="875"/>
      <c r="VDP8" s="875"/>
      <c r="VDQ8" s="875"/>
      <c r="VDR8" s="875"/>
      <c r="VDS8" s="875"/>
      <c r="VDT8" s="875"/>
      <c r="VDU8" s="875"/>
      <c r="VDV8" s="875"/>
      <c r="VDW8" s="875"/>
      <c r="VDX8" s="875"/>
      <c r="VDY8" s="875"/>
      <c r="VDZ8" s="875"/>
      <c r="VEA8" s="875"/>
      <c r="VEB8" s="875"/>
      <c r="VEC8" s="875"/>
      <c r="VED8" s="875"/>
      <c r="VEE8" s="875"/>
      <c r="VEF8" s="875"/>
      <c r="VEG8" s="875"/>
      <c r="VEH8" s="875"/>
      <c r="VEI8" s="875"/>
      <c r="VEJ8" s="875"/>
      <c r="VEK8" s="875"/>
      <c r="VEL8" s="875"/>
      <c r="VEM8" s="875"/>
      <c r="VEN8" s="875"/>
      <c r="VEO8" s="875"/>
      <c r="VEP8" s="875"/>
      <c r="VEQ8" s="875"/>
      <c r="VER8" s="875"/>
      <c r="VES8" s="875"/>
      <c r="VET8" s="875"/>
      <c r="VEU8" s="875"/>
      <c r="VEV8" s="875"/>
      <c r="VEW8" s="875"/>
      <c r="VEX8" s="875"/>
      <c r="VEY8" s="875"/>
      <c r="VEZ8" s="875"/>
      <c r="VFA8" s="875"/>
      <c r="VFB8" s="875"/>
      <c r="VFC8" s="875"/>
      <c r="VFD8" s="875"/>
      <c r="VFE8" s="875"/>
      <c r="VFF8" s="875"/>
      <c r="VFG8" s="875"/>
      <c r="VFH8" s="875"/>
      <c r="VFI8" s="875"/>
      <c r="VFJ8" s="875"/>
      <c r="VFK8" s="875"/>
      <c r="VFL8" s="875"/>
      <c r="VFM8" s="875"/>
      <c r="VFN8" s="875"/>
      <c r="VFO8" s="875"/>
      <c r="VFP8" s="875"/>
      <c r="VFQ8" s="875"/>
      <c r="VFR8" s="875"/>
      <c r="VFS8" s="875"/>
      <c r="VFT8" s="875"/>
      <c r="VFU8" s="875"/>
      <c r="VFV8" s="875"/>
      <c r="VFW8" s="875"/>
      <c r="VFX8" s="875"/>
      <c r="VFY8" s="875"/>
      <c r="VFZ8" s="875"/>
      <c r="VGA8" s="875"/>
      <c r="VGB8" s="875"/>
      <c r="VGC8" s="875"/>
      <c r="VGD8" s="875"/>
      <c r="VGE8" s="875"/>
      <c r="VGF8" s="875"/>
      <c r="VGG8" s="875"/>
      <c r="VGH8" s="875"/>
      <c r="VGI8" s="875"/>
      <c r="VGJ8" s="875"/>
      <c r="VGK8" s="875"/>
      <c r="VGL8" s="875"/>
      <c r="VGM8" s="875"/>
      <c r="VGN8" s="875"/>
      <c r="VGO8" s="875"/>
      <c r="VGP8" s="875"/>
      <c r="VGQ8" s="875"/>
      <c r="VGR8" s="875"/>
      <c r="VGS8" s="875"/>
      <c r="VGT8" s="875"/>
      <c r="VGU8" s="875"/>
      <c r="VGV8" s="875"/>
      <c r="VGW8" s="875"/>
      <c r="VGX8" s="875"/>
      <c r="VGY8" s="875"/>
      <c r="VGZ8" s="875"/>
      <c r="VHA8" s="875"/>
      <c r="VHB8" s="875"/>
      <c r="VHC8" s="875"/>
      <c r="VHD8" s="875"/>
      <c r="VHE8" s="875"/>
      <c r="VHF8" s="875"/>
      <c r="VHG8" s="875"/>
      <c r="VHH8" s="875"/>
      <c r="VHI8" s="875"/>
      <c r="VHJ8" s="875"/>
      <c r="VHK8" s="875"/>
      <c r="VHL8" s="875"/>
      <c r="VHM8" s="875"/>
      <c r="VHN8" s="875"/>
      <c r="VHO8" s="875"/>
      <c r="VHP8" s="875"/>
      <c r="VHQ8" s="875"/>
      <c r="VHR8" s="875"/>
      <c r="VHS8" s="875"/>
      <c r="VHT8" s="875"/>
      <c r="VHU8" s="875"/>
      <c r="VHV8" s="875"/>
      <c r="VHW8" s="875"/>
      <c r="VHX8" s="875"/>
      <c r="VHY8" s="875"/>
      <c r="VHZ8" s="875"/>
      <c r="VIA8" s="875"/>
      <c r="VIB8" s="875"/>
      <c r="VIC8" s="875"/>
      <c r="VID8" s="875"/>
      <c r="VIE8" s="875"/>
      <c r="VIF8" s="875"/>
      <c r="VIG8" s="875"/>
      <c r="VIH8" s="875"/>
      <c r="VII8" s="875"/>
      <c r="VIJ8" s="875"/>
      <c r="VIK8" s="875"/>
      <c r="VIL8" s="875"/>
      <c r="VIM8" s="875"/>
      <c r="VIN8" s="875"/>
      <c r="VIO8" s="875"/>
      <c r="VIP8" s="875"/>
      <c r="VIQ8" s="875"/>
      <c r="VIR8" s="875"/>
      <c r="VIS8" s="875"/>
      <c r="VIT8" s="875"/>
      <c r="VIU8" s="875"/>
      <c r="VIV8" s="875"/>
      <c r="VIW8" s="875"/>
      <c r="VIX8" s="875"/>
      <c r="VIY8" s="875"/>
      <c r="VIZ8" s="875"/>
      <c r="VJA8" s="875"/>
      <c r="VJB8" s="875"/>
      <c r="VJC8" s="875"/>
      <c r="VJD8" s="875"/>
      <c r="VJE8" s="875"/>
      <c r="VJF8" s="875"/>
      <c r="VJG8" s="875"/>
      <c r="VJH8" s="875"/>
      <c r="VJI8" s="875"/>
      <c r="VJJ8" s="875"/>
      <c r="VJK8" s="875"/>
      <c r="VJL8" s="875"/>
      <c r="VJM8" s="875"/>
      <c r="VJN8" s="875"/>
      <c r="VJO8" s="875"/>
      <c r="VJP8" s="875"/>
      <c r="VJQ8" s="875"/>
      <c r="VJR8" s="875"/>
      <c r="VJS8" s="875"/>
      <c r="VJT8" s="875"/>
      <c r="VJU8" s="875"/>
      <c r="VJV8" s="875"/>
      <c r="VJW8" s="875"/>
      <c r="VJX8" s="875"/>
      <c r="VJY8" s="875"/>
      <c r="VJZ8" s="875"/>
      <c r="VKA8" s="875"/>
      <c r="VKB8" s="875"/>
      <c r="VKC8" s="875"/>
      <c r="VKD8" s="875"/>
      <c r="VKE8" s="875"/>
      <c r="VKF8" s="875"/>
      <c r="VKG8" s="875"/>
      <c r="VKH8" s="875"/>
      <c r="VKI8" s="875"/>
      <c r="VKJ8" s="875"/>
      <c r="VKK8" s="875"/>
      <c r="VKL8" s="875"/>
      <c r="VKM8" s="875"/>
      <c r="VKN8" s="875"/>
      <c r="VKO8" s="875"/>
      <c r="VKP8" s="875"/>
      <c r="VKQ8" s="875"/>
      <c r="VKR8" s="875"/>
      <c r="VKS8" s="875"/>
      <c r="VKT8" s="875"/>
      <c r="VKU8" s="875"/>
      <c r="VKV8" s="875"/>
      <c r="VKW8" s="875"/>
      <c r="VKX8" s="875"/>
      <c r="VKY8" s="875"/>
      <c r="VKZ8" s="875"/>
      <c r="VLA8" s="875"/>
      <c r="VLB8" s="875"/>
      <c r="VLC8" s="875"/>
      <c r="VLD8" s="875"/>
      <c r="VLE8" s="875"/>
      <c r="VLF8" s="875"/>
      <c r="VLG8" s="875"/>
      <c r="VLH8" s="875"/>
      <c r="VLI8" s="875"/>
      <c r="VLJ8" s="875"/>
      <c r="VLK8" s="875"/>
      <c r="VLL8" s="875"/>
      <c r="VLM8" s="875"/>
      <c r="VLN8" s="875"/>
      <c r="VLO8" s="875"/>
      <c r="VLP8" s="875"/>
      <c r="VLQ8" s="875"/>
      <c r="VLR8" s="875"/>
      <c r="VLS8" s="875"/>
      <c r="VLT8" s="875"/>
      <c r="VLU8" s="875"/>
      <c r="VLV8" s="875"/>
      <c r="VLW8" s="875"/>
      <c r="VLX8" s="875"/>
      <c r="VLY8" s="875"/>
      <c r="VLZ8" s="875"/>
      <c r="VMA8" s="875"/>
      <c r="VMB8" s="875"/>
      <c r="VMC8" s="875"/>
      <c r="VMD8" s="875"/>
      <c r="VME8" s="875"/>
      <c r="VMF8" s="875"/>
      <c r="VMG8" s="875"/>
      <c r="VMH8" s="875"/>
      <c r="VMI8" s="875"/>
      <c r="VMJ8" s="875"/>
      <c r="VMK8" s="875"/>
      <c r="VML8" s="875"/>
      <c r="VMM8" s="875"/>
      <c r="VMN8" s="875"/>
      <c r="VMO8" s="875"/>
      <c r="VMP8" s="875"/>
      <c r="VMQ8" s="875"/>
      <c r="VMR8" s="875"/>
      <c r="VMS8" s="875"/>
      <c r="VMT8" s="875"/>
      <c r="VMU8" s="875"/>
      <c r="VMV8" s="875"/>
      <c r="VMW8" s="875"/>
      <c r="VMX8" s="875"/>
      <c r="VMY8" s="875"/>
      <c r="VMZ8" s="875"/>
      <c r="VNA8" s="875"/>
      <c r="VNB8" s="875"/>
      <c r="VNC8" s="875"/>
      <c r="VND8" s="875"/>
      <c r="VNE8" s="875"/>
      <c r="VNF8" s="875"/>
      <c r="VNG8" s="875"/>
      <c r="VNH8" s="875"/>
      <c r="VNI8" s="875"/>
      <c r="VNJ8" s="875"/>
      <c r="VNK8" s="875"/>
      <c r="VNL8" s="875"/>
      <c r="VNM8" s="875"/>
      <c r="VNN8" s="875"/>
      <c r="VNO8" s="875"/>
      <c r="VNP8" s="875"/>
      <c r="VNQ8" s="875"/>
      <c r="VNR8" s="875"/>
      <c r="VNS8" s="875"/>
      <c r="VNT8" s="875"/>
      <c r="VNU8" s="875"/>
      <c r="VNV8" s="875"/>
      <c r="VNW8" s="875"/>
      <c r="VNX8" s="875"/>
      <c r="VNY8" s="875"/>
      <c r="VNZ8" s="875"/>
      <c r="VOA8" s="875"/>
      <c r="VOB8" s="875"/>
      <c r="VOC8" s="875"/>
      <c r="VOD8" s="875"/>
      <c r="VOE8" s="875"/>
      <c r="VOF8" s="875"/>
      <c r="VOG8" s="875"/>
      <c r="VOH8" s="875"/>
      <c r="VOI8" s="875"/>
      <c r="VOJ8" s="875"/>
      <c r="VOK8" s="875"/>
      <c r="VOL8" s="875"/>
      <c r="VOM8" s="875"/>
      <c r="VON8" s="875"/>
      <c r="VOO8" s="875"/>
      <c r="VOP8" s="875"/>
      <c r="VOQ8" s="875"/>
      <c r="VOR8" s="875"/>
      <c r="VOS8" s="875"/>
      <c r="VOT8" s="875"/>
      <c r="VOU8" s="875"/>
      <c r="VOV8" s="875"/>
      <c r="VOW8" s="875"/>
      <c r="VOX8" s="875"/>
      <c r="VOY8" s="875"/>
      <c r="VOZ8" s="875"/>
      <c r="VPA8" s="875"/>
      <c r="VPB8" s="875"/>
      <c r="VPC8" s="875"/>
      <c r="VPD8" s="875"/>
      <c r="VPE8" s="875"/>
      <c r="VPF8" s="875"/>
      <c r="VPG8" s="875"/>
      <c r="VPH8" s="875"/>
      <c r="VPI8" s="875"/>
      <c r="VPJ8" s="875"/>
      <c r="VPK8" s="875"/>
      <c r="VPL8" s="875"/>
      <c r="VPM8" s="875"/>
      <c r="VPN8" s="875"/>
      <c r="VPO8" s="875"/>
      <c r="VPP8" s="875"/>
      <c r="VPQ8" s="875"/>
      <c r="VPR8" s="875"/>
      <c r="VPS8" s="875"/>
      <c r="VPT8" s="875"/>
      <c r="VPU8" s="875"/>
      <c r="VPV8" s="875"/>
      <c r="VPW8" s="875"/>
      <c r="VPX8" s="875"/>
      <c r="VPY8" s="875"/>
      <c r="VPZ8" s="875"/>
      <c r="VQA8" s="875"/>
      <c r="VQB8" s="875"/>
      <c r="VQC8" s="875"/>
      <c r="VQD8" s="875"/>
      <c r="VQE8" s="875"/>
      <c r="VQF8" s="875"/>
      <c r="VQG8" s="875"/>
      <c r="VQH8" s="875"/>
      <c r="VQI8" s="875"/>
      <c r="VQJ8" s="875"/>
      <c r="VQK8" s="875"/>
      <c r="VQL8" s="875"/>
      <c r="VQM8" s="875"/>
      <c r="VQN8" s="875"/>
      <c r="VQO8" s="875"/>
      <c r="VQP8" s="875"/>
      <c r="VQQ8" s="875"/>
      <c r="VQR8" s="875"/>
      <c r="VQS8" s="875"/>
      <c r="VQT8" s="875"/>
      <c r="VQU8" s="875"/>
      <c r="VQV8" s="875"/>
      <c r="VQW8" s="875"/>
      <c r="VQX8" s="875"/>
      <c r="VQY8" s="875"/>
      <c r="VQZ8" s="875"/>
      <c r="VRA8" s="875"/>
      <c r="VRB8" s="875"/>
      <c r="VRC8" s="875"/>
      <c r="VRD8" s="875"/>
      <c r="VRE8" s="875"/>
      <c r="VRF8" s="875"/>
      <c r="VRG8" s="875"/>
      <c r="VRH8" s="875"/>
      <c r="VRI8" s="875"/>
      <c r="VRJ8" s="875"/>
      <c r="VRK8" s="875"/>
      <c r="VRL8" s="875"/>
      <c r="VRM8" s="875"/>
      <c r="VRN8" s="875"/>
      <c r="VRO8" s="875"/>
      <c r="VRP8" s="875"/>
      <c r="VRQ8" s="875"/>
      <c r="VRR8" s="875"/>
      <c r="VRS8" s="875"/>
      <c r="VRT8" s="875"/>
      <c r="VRU8" s="875"/>
      <c r="VRV8" s="875"/>
      <c r="VRW8" s="875"/>
      <c r="VRX8" s="875"/>
      <c r="VRY8" s="875"/>
      <c r="VRZ8" s="875"/>
      <c r="VSA8" s="875"/>
      <c r="VSB8" s="875"/>
      <c r="VSC8" s="875"/>
      <c r="VSD8" s="875"/>
      <c r="VSE8" s="875"/>
      <c r="VSF8" s="875"/>
      <c r="VSG8" s="875"/>
      <c r="VSH8" s="875"/>
      <c r="VSI8" s="875"/>
      <c r="VSJ8" s="875"/>
      <c r="VSK8" s="875"/>
      <c r="VSL8" s="875"/>
      <c r="VSM8" s="875"/>
      <c r="VSN8" s="875"/>
      <c r="VSO8" s="875"/>
      <c r="VSP8" s="875"/>
      <c r="VSQ8" s="875"/>
      <c r="VSR8" s="875"/>
      <c r="VSS8" s="875"/>
      <c r="VST8" s="875"/>
      <c r="VSU8" s="875"/>
      <c r="VSV8" s="875"/>
      <c r="VSW8" s="875"/>
      <c r="VSX8" s="875"/>
      <c r="VSY8" s="875"/>
      <c r="VSZ8" s="875"/>
      <c r="VTA8" s="875"/>
      <c r="VTB8" s="875"/>
      <c r="VTC8" s="875"/>
      <c r="VTD8" s="875"/>
      <c r="VTE8" s="875"/>
      <c r="VTF8" s="875"/>
      <c r="VTG8" s="875"/>
      <c r="VTH8" s="875"/>
      <c r="VTI8" s="875"/>
      <c r="VTJ8" s="875"/>
      <c r="VTK8" s="875"/>
      <c r="VTL8" s="875"/>
      <c r="VTM8" s="875"/>
      <c r="VTN8" s="875"/>
      <c r="VTO8" s="875"/>
      <c r="VTP8" s="875"/>
      <c r="VTQ8" s="875"/>
      <c r="VTR8" s="875"/>
      <c r="VTS8" s="875"/>
      <c r="VTT8" s="875"/>
      <c r="VTU8" s="875"/>
      <c r="VTV8" s="875"/>
      <c r="VTW8" s="875"/>
      <c r="VTX8" s="875"/>
      <c r="VTY8" s="875"/>
      <c r="VTZ8" s="875"/>
      <c r="VUA8" s="875"/>
      <c r="VUB8" s="875"/>
      <c r="VUC8" s="875"/>
      <c r="VUD8" s="875"/>
      <c r="VUE8" s="875"/>
      <c r="VUF8" s="875"/>
      <c r="VUG8" s="875"/>
      <c r="VUH8" s="875"/>
      <c r="VUI8" s="875"/>
      <c r="VUJ8" s="875"/>
      <c r="VUK8" s="875"/>
      <c r="VUL8" s="875"/>
      <c r="VUM8" s="875"/>
      <c r="VUN8" s="875"/>
      <c r="VUO8" s="875"/>
      <c r="VUP8" s="875"/>
      <c r="VUQ8" s="875"/>
      <c r="VUR8" s="875"/>
      <c r="VUS8" s="875"/>
      <c r="VUT8" s="875"/>
      <c r="VUU8" s="875"/>
      <c r="VUV8" s="875"/>
      <c r="VUW8" s="875"/>
      <c r="VUX8" s="875"/>
      <c r="VUY8" s="875"/>
      <c r="VUZ8" s="875"/>
      <c r="VVA8" s="875"/>
      <c r="VVB8" s="875"/>
      <c r="VVC8" s="875"/>
      <c r="VVD8" s="875"/>
      <c r="VVE8" s="875"/>
      <c r="VVF8" s="875"/>
      <c r="VVG8" s="875"/>
      <c r="VVH8" s="875"/>
      <c r="VVI8" s="875"/>
      <c r="VVJ8" s="875"/>
      <c r="VVK8" s="875"/>
      <c r="VVL8" s="875"/>
      <c r="VVM8" s="875"/>
      <c r="VVN8" s="875"/>
      <c r="VVO8" s="875"/>
      <c r="VVP8" s="875"/>
      <c r="VVQ8" s="875"/>
      <c r="VVR8" s="875"/>
      <c r="VVS8" s="875"/>
      <c r="VVT8" s="875"/>
      <c r="VVU8" s="875"/>
      <c r="VVV8" s="875"/>
      <c r="VVW8" s="875"/>
      <c r="VVX8" s="875"/>
      <c r="VVY8" s="875"/>
      <c r="VVZ8" s="875"/>
      <c r="VWA8" s="875"/>
      <c r="VWB8" s="875"/>
      <c r="VWC8" s="875"/>
      <c r="VWD8" s="875"/>
      <c r="VWE8" s="875"/>
      <c r="VWF8" s="875"/>
      <c r="VWG8" s="875"/>
      <c r="VWH8" s="875"/>
      <c r="VWI8" s="875"/>
      <c r="VWJ8" s="875"/>
      <c r="VWK8" s="875"/>
      <c r="VWL8" s="875"/>
      <c r="VWM8" s="875"/>
      <c r="VWN8" s="875"/>
      <c r="VWO8" s="875"/>
      <c r="VWP8" s="875"/>
      <c r="VWQ8" s="875"/>
      <c r="VWR8" s="875"/>
      <c r="VWS8" s="875"/>
      <c r="VWT8" s="875"/>
      <c r="VWU8" s="875"/>
      <c r="VWV8" s="875"/>
      <c r="VWW8" s="875"/>
      <c r="VWX8" s="875"/>
      <c r="VWY8" s="875"/>
      <c r="VWZ8" s="875"/>
      <c r="VXA8" s="875"/>
      <c r="VXB8" s="875"/>
      <c r="VXC8" s="875"/>
      <c r="VXD8" s="875"/>
      <c r="VXE8" s="875"/>
      <c r="VXF8" s="875"/>
      <c r="VXG8" s="875"/>
      <c r="VXH8" s="875"/>
      <c r="VXI8" s="875"/>
      <c r="VXJ8" s="875"/>
      <c r="VXK8" s="875"/>
      <c r="VXL8" s="875"/>
      <c r="VXM8" s="875"/>
      <c r="VXN8" s="875"/>
      <c r="VXO8" s="875"/>
      <c r="VXP8" s="875"/>
      <c r="VXQ8" s="875"/>
      <c r="VXR8" s="875"/>
      <c r="VXS8" s="875"/>
      <c r="VXT8" s="875"/>
      <c r="VXU8" s="875"/>
      <c r="VXV8" s="875"/>
      <c r="VXW8" s="875"/>
      <c r="VXX8" s="875"/>
      <c r="VXY8" s="875"/>
      <c r="VXZ8" s="875"/>
      <c r="VYA8" s="875"/>
      <c r="VYB8" s="875"/>
      <c r="VYC8" s="875"/>
      <c r="VYD8" s="875"/>
      <c r="VYE8" s="875"/>
      <c r="VYF8" s="875"/>
      <c r="VYG8" s="875"/>
      <c r="VYH8" s="875"/>
      <c r="VYI8" s="875"/>
      <c r="VYJ8" s="875"/>
      <c r="VYK8" s="875"/>
      <c r="VYL8" s="875"/>
      <c r="VYM8" s="875"/>
      <c r="VYN8" s="875"/>
      <c r="VYO8" s="875"/>
      <c r="VYP8" s="875"/>
      <c r="VYQ8" s="875"/>
      <c r="VYR8" s="875"/>
      <c r="VYS8" s="875"/>
      <c r="VYT8" s="875"/>
      <c r="VYU8" s="875"/>
      <c r="VYV8" s="875"/>
      <c r="VYW8" s="875"/>
      <c r="VYX8" s="875"/>
      <c r="VYY8" s="875"/>
      <c r="VYZ8" s="875"/>
      <c r="VZA8" s="875"/>
      <c r="VZB8" s="875"/>
      <c r="VZC8" s="875"/>
      <c r="VZD8" s="875"/>
      <c r="VZE8" s="875"/>
      <c r="VZF8" s="875"/>
      <c r="VZG8" s="875"/>
      <c r="VZH8" s="875"/>
      <c r="VZI8" s="875"/>
      <c r="VZJ8" s="875"/>
      <c r="VZK8" s="875"/>
      <c r="VZL8" s="875"/>
      <c r="VZM8" s="875"/>
      <c r="VZN8" s="875"/>
      <c r="VZO8" s="875"/>
      <c r="VZP8" s="875"/>
      <c r="VZQ8" s="875"/>
      <c r="VZR8" s="875"/>
      <c r="VZS8" s="875"/>
      <c r="VZT8" s="875"/>
      <c r="VZU8" s="875"/>
      <c r="VZV8" s="875"/>
      <c r="VZW8" s="875"/>
      <c r="VZX8" s="875"/>
      <c r="VZY8" s="875"/>
      <c r="VZZ8" s="875"/>
      <c r="WAA8" s="875"/>
      <c r="WAB8" s="875"/>
      <c r="WAC8" s="875"/>
      <c r="WAD8" s="875"/>
      <c r="WAE8" s="875"/>
      <c r="WAF8" s="875"/>
      <c r="WAG8" s="875"/>
      <c r="WAH8" s="875"/>
      <c r="WAI8" s="875"/>
      <c r="WAJ8" s="875"/>
      <c r="WAK8" s="875"/>
      <c r="WAL8" s="875"/>
      <c r="WAM8" s="875"/>
      <c r="WAN8" s="875"/>
      <c r="WAO8" s="875"/>
      <c r="WAP8" s="875"/>
      <c r="WAQ8" s="875"/>
      <c r="WAR8" s="875"/>
      <c r="WAS8" s="875"/>
      <c r="WAT8" s="875"/>
      <c r="WAU8" s="875"/>
      <c r="WAV8" s="875"/>
      <c r="WAW8" s="875"/>
      <c r="WAX8" s="875"/>
      <c r="WAY8" s="875"/>
      <c r="WAZ8" s="875"/>
      <c r="WBA8" s="875"/>
      <c r="WBB8" s="875"/>
      <c r="WBC8" s="875"/>
      <c r="WBD8" s="875"/>
      <c r="WBE8" s="875"/>
      <c r="WBF8" s="875"/>
      <c r="WBG8" s="875"/>
      <c r="WBH8" s="875"/>
      <c r="WBI8" s="875"/>
      <c r="WBJ8" s="875"/>
      <c r="WBK8" s="875"/>
      <c r="WBL8" s="875"/>
      <c r="WBM8" s="875"/>
      <c r="WBN8" s="875"/>
      <c r="WBO8" s="875"/>
      <c r="WBP8" s="875"/>
      <c r="WBQ8" s="875"/>
      <c r="WBR8" s="875"/>
      <c r="WBS8" s="875"/>
      <c r="WBT8" s="875"/>
      <c r="WBU8" s="875"/>
      <c r="WBV8" s="875"/>
      <c r="WBW8" s="875"/>
      <c r="WBX8" s="875"/>
      <c r="WBY8" s="875"/>
      <c r="WBZ8" s="875"/>
      <c r="WCA8" s="875"/>
      <c r="WCB8" s="875"/>
      <c r="WCC8" s="875"/>
      <c r="WCD8" s="875"/>
      <c r="WCE8" s="875"/>
      <c r="WCF8" s="875"/>
      <c r="WCG8" s="875"/>
      <c r="WCH8" s="875"/>
      <c r="WCI8" s="875"/>
      <c r="WCJ8" s="875"/>
      <c r="WCK8" s="875"/>
      <c r="WCL8" s="875"/>
      <c r="WCM8" s="875"/>
      <c r="WCN8" s="875"/>
      <c r="WCO8" s="875"/>
      <c r="WCP8" s="875"/>
      <c r="WCQ8" s="875"/>
      <c r="WCR8" s="875"/>
      <c r="WCS8" s="875"/>
      <c r="WCT8" s="875"/>
      <c r="WCU8" s="875"/>
      <c r="WCV8" s="875"/>
      <c r="WCW8" s="875"/>
      <c r="WCX8" s="875"/>
      <c r="WCY8" s="875"/>
      <c r="WCZ8" s="875"/>
      <c r="WDA8" s="875"/>
      <c r="WDB8" s="875"/>
      <c r="WDC8" s="875"/>
      <c r="WDD8" s="875"/>
      <c r="WDE8" s="875"/>
      <c r="WDF8" s="875"/>
      <c r="WDG8" s="875"/>
      <c r="WDH8" s="875"/>
      <c r="WDI8" s="875"/>
      <c r="WDJ8" s="875"/>
      <c r="WDK8" s="875"/>
      <c r="WDL8" s="875"/>
      <c r="WDM8" s="875"/>
      <c r="WDN8" s="875"/>
      <c r="WDO8" s="875"/>
      <c r="WDP8" s="875"/>
      <c r="WDQ8" s="875"/>
      <c r="WDR8" s="875"/>
      <c r="WDS8" s="875"/>
      <c r="WDT8" s="875"/>
      <c r="WDU8" s="875"/>
      <c r="WDV8" s="875"/>
      <c r="WDW8" s="875"/>
      <c r="WDX8" s="875"/>
      <c r="WDY8" s="875"/>
      <c r="WDZ8" s="875"/>
      <c r="WEA8" s="875"/>
      <c r="WEB8" s="875"/>
      <c r="WEC8" s="875"/>
      <c r="WED8" s="875"/>
      <c r="WEE8" s="875"/>
      <c r="WEF8" s="875"/>
      <c r="WEG8" s="875"/>
      <c r="WEH8" s="875"/>
      <c r="WEI8" s="875"/>
      <c r="WEJ8" s="875"/>
      <c r="WEK8" s="875"/>
      <c r="WEL8" s="875"/>
      <c r="WEM8" s="875"/>
      <c r="WEN8" s="875"/>
      <c r="WEO8" s="875"/>
      <c r="WEP8" s="875"/>
      <c r="WEQ8" s="875"/>
      <c r="WER8" s="875"/>
      <c r="WES8" s="875"/>
      <c r="WET8" s="875"/>
      <c r="WEU8" s="875"/>
      <c r="WEV8" s="875"/>
      <c r="WEW8" s="875"/>
      <c r="WEX8" s="875"/>
      <c r="WEY8" s="875"/>
      <c r="WEZ8" s="875"/>
      <c r="WFA8" s="875"/>
      <c r="WFB8" s="875"/>
      <c r="WFC8" s="875"/>
      <c r="WFD8" s="875"/>
      <c r="WFE8" s="875"/>
      <c r="WFF8" s="875"/>
      <c r="WFG8" s="875"/>
      <c r="WFH8" s="875"/>
      <c r="WFI8" s="875"/>
      <c r="WFJ8" s="875"/>
      <c r="WFK8" s="875"/>
      <c r="WFL8" s="875"/>
      <c r="WFM8" s="875"/>
      <c r="WFN8" s="875"/>
      <c r="WFO8" s="875"/>
      <c r="WFP8" s="875"/>
      <c r="WFQ8" s="875"/>
      <c r="WFR8" s="875"/>
      <c r="WFS8" s="875"/>
      <c r="WFT8" s="875"/>
      <c r="WFU8" s="875"/>
      <c r="WFV8" s="875"/>
      <c r="WFW8" s="875"/>
      <c r="WFX8" s="875"/>
      <c r="WFY8" s="875"/>
      <c r="WFZ8" s="875"/>
      <c r="WGA8" s="875"/>
      <c r="WGB8" s="875"/>
      <c r="WGC8" s="875"/>
      <c r="WGD8" s="875"/>
      <c r="WGE8" s="875"/>
      <c r="WGF8" s="875"/>
      <c r="WGG8" s="875"/>
      <c r="WGH8" s="875"/>
      <c r="WGI8" s="875"/>
      <c r="WGJ8" s="875"/>
      <c r="WGK8" s="875"/>
      <c r="WGL8" s="875"/>
      <c r="WGM8" s="875"/>
      <c r="WGN8" s="875"/>
      <c r="WGO8" s="875"/>
      <c r="WGP8" s="875"/>
      <c r="WGQ8" s="875"/>
      <c r="WGR8" s="875"/>
      <c r="WGS8" s="875"/>
      <c r="WGT8" s="875"/>
      <c r="WGU8" s="875"/>
      <c r="WGV8" s="875"/>
      <c r="WGW8" s="875"/>
      <c r="WGX8" s="875"/>
      <c r="WGY8" s="875"/>
      <c r="WGZ8" s="875"/>
      <c r="WHA8" s="875"/>
      <c r="WHB8" s="875"/>
      <c r="WHC8" s="875"/>
      <c r="WHD8" s="875"/>
      <c r="WHE8" s="875"/>
      <c r="WHF8" s="875"/>
      <c r="WHG8" s="875"/>
      <c r="WHH8" s="875"/>
      <c r="WHI8" s="875"/>
      <c r="WHJ8" s="875"/>
      <c r="WHK8" s="875"/>
      <c r="WHL8" s="875"/>
      <c r="WHM8" s="875"/>
      <c r="WHN8" s="875"/>
      <c r="WHO8" s="875"/>
      <c r="WHP8" s="875"/>
      <c r="WHQ8" s="875"/>
      <c r="WHR8" s="875"/>
      <c r="WHS8" s="875"/>
      <c r="WHT8" s="875"/>
      <c r="WHU8" s="875"/>
      <c r="WHV8" s="875"/>
      <c r="WHW8" s="875"/>
      <c r="WHX8" s="875"/>
      <c r="WHY8" s="875"/>
      <c r="WHZ8" s="875"/>
      <c r="WIA8" s="875"/>
      <c r="WIB8" s="875"/>
      <c r="WIC8" s="875"/>
      <c r="WID8" s="875"/>
      <c r="WIE8" s="875"/>
      <c r="WIF8" s="875"/>
      <c r="WIG8" s="875"/>
      <c r="WIH8" s="875"/>
      <c r="WII8" s="875"/>
      <c r="WIJ8" s="875"/>
      <c r="WIK8" s="875"/>
      <c r="WIL8" s="875"/>
      <c r="WIM8" s="875"/>
      <c r="WIN8" s="875"/>
      <c r="WIO8" s="875"/>
      <c r="WIP8" s="875"/>
      <c r="WIQ8" s="875"/>
      <c r="WIR8" s="875"/>
      <c r="WIS8" s="875"/>
      <c r="WIT8" s="875"/>
      <c r="WIU8" s="875"/>
      <c r="WIV8" s="875"/>
      <c r="WIW8" s="875"/>
      <c r="WIX8" s="875"/>
      <c r="WIY8" s="875"/>
      <c r="WIZ8" s="875"/>
      <c r="WJA8" s="875"/>
      <c r="WJB8" s="875"/>
      <c r="WJC8" s="875"/>
      <c r="WJD8" s="875"/>
      <c r="WJE8" s="875"/>
      <c r="WJF8" s="875"/>
      <c r="WJG8" s="875"/>
      <c r="WJH8" s="875"/>
      <c r="WJI8" s="875"/>
      <c r="WJJ8" s="875"/>
      <c r="WJK8" s="875"/>
      <c r="WJL8" s="875"/>
      <c r="WJM8" s="875"/>
      <c r="WJN8" s="875"/>
      <c r="WJO8" s="875"/>
      <c r="WJP8" s="875"/>
      <c r="WJQ8" s="875"/>
      <c r="WJR8" s="875"/>
      <c r="WJS8" s="875"/>
      <c r="WJT8" s="875"/>
      <c r="WJU8" s="875"/>
      <c r="WJV8" s="875"/>
      <c r="WJW8" s="875"/>
      <c r="WJX8" s="875"/>
      <c r="WJY8" s="875"/>
      <c r="WJZ8" s="875"/>
      <c r="WKA8" s="875"/>
      <c r="WKB8" s="875"/>
      <c r="WKC8" s="875"/>
      <c r="WKD8" s="875"/>
      <c r="WKE8" s="875"/>
      <c r="WKF8" s="875"/>
      <c r="WKG8" s="875"/>
      <c r="WKH8" s="875"/>
      <c r="WKI8" s="875"/>
      <c r="WKJ8" s="875"/>
      <c r="WKK8" s="875"/>
      <c r="WKL8" s="875"/>
      <c r="WKM8" s="875"/>
      <c r="WKN8" s="875"/>
      <c r="WKO8" s="875"/>
      <c r="WKP8" s="875"/>
      <c r="WKQ8" s="875"/>
      <c r="WKR8" s="875"/>
      <c r="WKS8" s="875"/>
      <c r="WKT8" s="875"/>
      <c r="WKU8" s="875"/>
      <c r="WKV8" s="875"/>
      <c r="WKW8" s="875"/>
      <c r="WKX8" s="875"/>
      <c r="WKY8" s="875"/>
      <c r="WKZ8" s="875"/>
      <c r="WLA8" s="875"/>
      <c r="WLB8" s="875"/>
      <c r="WLC8" s="875"/>
      <c r="WLD8" s="875"/>
      <c r="WLE8" s="875"/>
      <c r="WLF8" s="875"/>
      <c r="WLG8" s="875"/>
      <c r="WLH8" s="875"/>
      <c r="WLI8" s="875"/>
      <c r="WLJ8" s="875"/>
      <c r="WLK8" s="875"/>
      <c r="WLL8" s="875"/>
      <c r="WLM8" s="875"/>
      <c r="WLN8" s="875"/>
      <c r="WLO8" s="875"/>
      <c r="WLP8" s="875"/>
      <c r="WLQ8" s="875"/>
      <c r="WLR8" s="875"/>
      <c r="WLS8" s="875"/>
      <c r="WLT8" s="875"/>
      <c r="WLU8" s="875"/>
      <c r="WLV8" s="875"/>
      <c r="WLW8" s="875"/>
      <c r="WLX8" s="875"/>
      <c r="WLY8" s="875"/>
      <c r="WLZ8" s="875"/>
      <c r="WMA8" s="875"/>
      <c r="WMB8" s="875"/>
      <c r="WMC8" s="875"/>
      <c r="WMD8" s="875"/>
      <c r="WME8" s="875"/>
      <c r="WMF8" s="875"/>
      <c r="WMG8" s="875"/>
      <c r="WMH8" s="875"/>
      <c r="WMI8" s="875"/>
      <c r="WMJ8" s="875"/>
      <c r="WMK8" s="875"/>
      <c r="WML8" s="875"/>
      <c r="WMM8" s="875"/>
      <c r="WMN8" s="875"/>
      <c r="WMO8" s="875"/>
      <c r="WMP8" s="875"/>
      <c r="WMQ8" s="875"/>
      <c r="WMR8" s="875"/>
      <c r="WMS8" s="875"/>
      <c r="WMT8" s="875"/>
      <c r="WMU8" s="875"/>
      <c r="WMV8" s="875"/>
      <c r="WMW8" s="875"/>
      <c r="WMX8" s="875"/>
      <c r="WMY8" s="875"/>
      <c r="WMZ8" s="875"/>
      <c r="WNA8" s="875"/>
      <c r="WNB8" s="875"/>
      <c r="WNC8" s="875"/>
      <c r="WND8" s="875"/>
      <c r="WNE8" s="875"/>
      <c r="WNF8" s="875"/>
      <c r="WNG8" s="875"/>
      <c r="WNH8" s="875"/>
      <c r="WNI8" s="875"/>
      <c r="WNJ8" s="875"/>
      <c r="WNK8" s="875"/>
      <c r="WNL8" s="875"/>
      <c r="WNM8" s="875"/>
      <c r="WNN8" s="875"/>
      <c r="WNO8" s="875"/>
      <c r="WNP8" s="875"/>
      <c r="WNQ8" s="875"/>
      <c r="WNR8" s="875"/>
      <c r="WNS8" s="875"/>
      <c r="WNT8" s="875"/>
      <c r="WNU8" s="875"/>
      <c r="WNV8" s="875"/>
      <c r="WNW8" s="875"/>
      <c r="WNX8" s="875"/>
      <c r="WNY8" s="875"/>
      <c r="WNZ8" s="875"/>
      <c r="WOA8" s="875"/>
      <c r="WOB8" s="875"/>
      <c r="WOC8" s="875"/>
      <c r="WOD8" s="875"/>
      <c r="WOE8" s="875"/>
      <c r="WOF8" s="875"/>
      <c r="WOG8" s="875"/>
      <c r="WOH8" s="875"/>
      <c r="WOI8" s="875"/>
      <c r="WOJ8" s="875"/>
      <c r="WOK8" s="875"/>
      <c r="WOL8" s="875"/>
      <c r="WOM8" s="875"/>
      <c r="WON8" s="875"/>
      <c r="WOO8" s="875"/>
      <c r="WOP8" s="875"/>
      <c r="WOQ8" s="875"/>
      <c r="WOR8" s="875"/>
      <c r="WOS8" s="875"/>
      <c r="WOT8" s="875"/>
      <c r="WOU8" s="875"/>
      <c r="WOV8" s="875"/>
      <c r="WOW8" s="875"/>
      <c r="WOX8" s="875"/>
      <c r="WOY8" s="875"/>
      <c r="WOZ8" s="875"/>
      <c r="WPA8" s="875"/>
      <c r="WPB8" s="875"/>
      <c r="WPC8" s="875"/>
      <c r="WPD8" s="875"/>
      <c r="WPE8" s="875"/>
      <c r="WPF8" s="875"/>
      <c r="WPG8" s="875"/>
      <c r="WPH8" s="875"/>
      <c r="WPI8" s="875"/>
      <c r="WPJ8" s="875"/>
      <c r="WPK8" s="875"/>
      <c r="WPL8" s="875"/>
      <c r="WPM8" s="875"/>
      <c r="WPN8" s="875"/>
      <c r="WPO8" s="875"/>
      <c r="WPP8" s="875"/>
      <c r="WPQ8" s="875"/>
      <c r="WPR8" s="875"/>
      <c r="WPS8" s="875"/>
      <c r="WPT8" s="875"/>
      <c r="WPU8" s="875"/>
      <c r="WPV8" s="875"/>
      <c r="WPW8" s="875"/>
      <c r="WPX8" s="875"/>
      <c r="WPY8" s="875"/>
      <c r="WPZ8" s="875"/>
      <c r="WQA8" s="875"/>
      <c r="WQB8" s="875"/>
      <c r="WQC8" s="875"/>
      <c r="WQD8" s="875"/>
      <c r="WQE8" s="875"/>
      <c r="WQF8" s="875"/>
      <c r="WQG8" s="875"/>
      <c r="WQH8" s="875"/>
      <c r="WQI8" s="875"/>
      <c r="WQJ8" s="875"/>
      <c r="WQK8" s="875"/>
      <c r="WQL8" s="875"/>
      <c r="WQM8" s="875"/>
      <c r="WQN8" s="875"/>
      <c r="WQO8" s="875"/>
      <c r="WQP8" s="875"/>
      <c r="WQQ8" s="875"/>
      <c r="WQR8" s="875"/>
      <c r="WQS8" s="875"/>
      <c r="WQT8" s="875"/>
      <c r="WQU8" s="875"/>
      <c r="WQV8" s="875"/>
      <c r="WQW8" s="875"/>
      <c r="WQX8" s="875"/>
      <c r="WQY8" s="875"/>
      <c r="WQZ8" s="875"/>
      <c r="WRA8" s="875"/>
      <c r="WRB8" s="875"/>
      <c r="WRC8" s="875"/>
      <c r="WRD8" s="875"/>
      <c r="WRE8" s="875"/>
      <c r="WRF8" s="875"/>
      <c r="WRG8" s="875"/>
      <c r="WRH8" s="875"/>
      <c r="WRI8" s="875"/>
      <c r="WRJ8" s="875"/>
      <c r="WRK8" s="875"/>
      <c r="WRL8" s="875"/>
      <c r="WRM8" s="875"/>
      <c r="WRN8" s="875"/>
      <c r="WRO8" s="875"/>
      <c r="WRP8" s="875"/>
      <c r="WRQ8" s="875"/>
      <c r="WRR8" s="875"/>
      <c r="WRS8" s="875"/>
      <c r="WRT8" s="875"/>
      <c r="WRU8" s="875"/>
      <c r="WRV8" s="875"/>
      <c r="WRW8" s="875"/>
      <c r="WRX8" s="875"/>
      <c r="WRY8" s="875"/>
      <c r="WRZ8" s="875"/>
      <c r="WSA8" s="875"/>
      <c r="WSB8" s="875"/>
      <c r="WSC8" s="875"/>
      <c r="WSD8" s="875"/>
      <c r="WSE8" s="875"/>
      <c r="WSF8" s="875"/>
      <c r="WSG8" s="875"/>
      <c r="WSH8" s="875"/>
      <c r="WSI8" s="875"/>
      <c r="WSJ8" s="875"/>
      <c r="WSK8" s="875"/>
      <c r="WSL8" s="875"/>
      <c r="WSM8" s="875"/>
      <c r="WSN8" s="875"/>
      <c r="WSO8" s="875"/>
      <c r="WSP8" s="875"/>
      <c r="WSQ8" s="875"/>
      <c r="WSR8" s="875"/>
      <c r="WSS8" s="875"/>
      <c r="WST8" s="875"/>
      <c r="WSU8" s="875"/>
      <c r="WSV8" s="875"/>
      <c r="WSW8" s="875"/>
      <c r="WSX8" s="875"/>
      <c r="WSY8" s="875"/>
      <c r="WSZ8" s="875"/>
      <c r="WTA8" s="875"/>
      <c r="WTB8" s="875"/>
      <c r="WTC8" s="875"/>
      <c r="WTD8" s="875"/>
      <c r="WTE8" s="875"/>
      <c r="WTF8" s="875"/>
      <c r="WTG8" s="875"/>
      <c r="WTH8" s="875"/>
      <c r="WTI8" s="875"/>
      <c r="WTJ8" s="875"/>
      <c r="WTK8" s="875"/>
      <c r="WTL8" s="875"/>
      <c r="WTM8" s="875"/>
      <c r="WTN8" s="875"/>
      <c r="WTO8" s="875"/>
      <c r="WTP8" s="875"/>
      <c r="WTQ8" s="875"/>
      <c r="WTR8" s="875"/>
      <c r="WTS8" s="875"/>
      <c r="WTT8" s="875"/>
      <c r="WTU8" s="875"/>
      <c r="WTV8" s="875"/>
      <c r="WTW8" s="875"/>
      <c r="WTX8" s="875"/>
      <c r="WTY8" s="875"/>
      <c r="WTZ8" s="875"/>
      <c r="WUA8" s="875"/>
      <c r="WUB8" s="875"/>
      <c r="WUC8" s="875"/>
      <c r="WUD8" s="875"/>
      <c r="WUE8" s="875"/>
      <c r="WUF8" s="875"/>
      <c r="WUG8" s="875"/>
      <c r="WUH8" s="875"/>
      <c r="WUI8" s="875"/>
      <c r="WUJ8" s="875"/>
      <c r="WUK8" s="875"/>
      <c r="WUL8" s="875"/>
      <c r="WUM8" s="875"/>
      <c r="WUN8" s="875"/>
      <c r="WUO8" s="875"/>
      <c r="WUP8" s="875"/>
      <c r="WUQ8" s="875"/>
      <c r="WUR8" s="875"/>
      <c r="WUS8" s="875"/>
      <c r="WUT8" s="875"/>
      <c r="WUU8" s="875"/>
      <c r="WUV8" s="875"/>
      <c r="WUW8" s="875"/>
      <c r="WUX8" s="875"/>
      <c r="WUY8" s="875"/>
      <c r="WUZ8" s="875"/>
      <c r="WVA8" s="875"/>
      <c r="WVB8" s="875"/>
      <c r="WVC8" s="875"/>
      <c r="WVD8" s="875"/>
      <c r="WVE8" s="875"/>
      <c r="WVF8" s="875"/>
      <c r="WVG8" s="875"/>
      <c r="WVH8" s="875"/>
      <c r="WVI8" s="875"/>
      <c r="WVJ8" s="875"/>
      <c r="WVK8" s="875"/>
      <c r="WVL8" s="875"/>
      <c r="WVM8" s="875"/>
      <c r="WVN8" s="875"/>
      <c r="WVO8" s="875"/>
      <c r="WVP8" s="875"/>
      <c r="WVQ8" s="875"/>
      <c r="WVR8" s="875"/>
      <c r="WVS8" s="875"/>
      <c r="WVT8" s="875"/>
      <c r="WVU8" s="875"/>
      <c r="WVV8" s="875"/>
      <c r="WVW8" s="875"/>
      <c r="WVX8" s="875"/>
      <c r="WVY8" s="875"/>
      <c r="WVZ8" s="875"/>
      <c r="WWA8" s="875"/>
      <c r="WWB8" s="875"/>
      <c r="WWC8" s="875"/>
      <c r="WWD8" s="875"/>
      <c r="WWE8" s="875"/>
      <c r="WWF8" s="875"/>
      <c r="WWG8" s="875"/>
      <c r="WWH8" s="875"/>
      <c r="WWI8" s="875"/>
      <c r="WWJ8" s="875"/>
      <c r="WWK8" s="875"/>
      <c r="WWL8" s="875"/>
      <c r="WWM8" s="875"/>
      <c r="WWN8" s="875"/>
      <c r="WWO8" s="875"/>
      <c r="WWP8" s="875"/>
      <c r="WWQ8" s="875"/>
      <c r="WWR8" s="875"/>
      <c r="WWS8" s="875"/>
      <c r="WWT8" s="875"/>
      <c r="WWU8" s="875"/>
      <c r="WWV8" s="875"/>
      <c r="WWW8" s="875"/>
      <c r="WWX8" s="875"/>
      <c r="WWY8" s="875"/>
      <c r="WWZ8" s="875"/>
      <c r="WXA8" s="875"/>
      <c r="WXB8" s="875"/>
      <c r="WXC8" s="875"/>
      <c r="WXD8" s="875"/>
      <c r="WXE8" s="875"/>
      <c r="WXF8" s="875"/>
      <c r="WXG8" s="875"/>
      <c r="WXH8" s="875"/>
      <c r="WXI8" s="875"/>
      <c r="WXJ8" s="875"/>
      <c r="WXK8" s="875"/>
      <c r="WXL8" s="875"/>
      <c r="WXM8" s="875"/>
      <c r="WXN8" s="875"/>
      <c r="WXO8" s="875"/>
      <c r="WXP8" s="875"/>
      <c r="WXQ8" s="875"/>
      <c r="WXR8" s="875"/>
      <c r="WXS8" s="875"/>
      <c r="WXT8" s="875"/>
      <c r="WXU8" s="875"/>
      <c r="WXV8" s="875"/>
      <c r="WXW8" s="875"/>
      <c r="WXX8" s="875"/>
      <c r="WXY8" s="875"/>
      <c r="WXZ8" s="875"/>
      <c r="WYA8" s="875"/>
      <c r="WYB8" s="875"/>
      <c r="WYC8" s="875"/>
      <c r="WYD8" s="875"/>
      <c r="WYE8" s="875"/>
      <c r="WYF8" s="875"/>
      <c r="WYG8" s="875"/>
      <c r="WYH8" s="875"/>
      <c r="WYI8" s="875"/>
      <c r="WYJ8" s="875"/>
      <c r="WYK8" s="875"/>
      <c r="WYL8" s="875"/>
      <c r="WYM8" s="875"/>
      <c r="WYN8" s="875"/>
      <c r="WYO8" s="875"/>
      <c r="WYP8" s="875"/>
      <c r="WYQ8" s="875"/>
      <c r="WYR8" s="875"/>
      <c r="WYS8" s="875"/>
      <c r="WYT8" s="875"/>
      <c r="WYU8" s="875"/>
      <c r="WYV8" s="875"/>
      <c r="WYW8" s="875"/>
      <c r="WYX8" s="875"/>
      <c r="WYY8" s="875"/>
      <c r="WYZ8" s="875"/>
      <c r="WZA8" s="875"/>
      <c r="WZB8" s="875"/>
      <c r="WZC8" s="875"/>
      <c r="WZD8" s="875"/>
      <c r="WZE8" s="875"/>
      <c r="WZF8" s="875"/>
      <c r="WZG8" s="875"/>
      <c r="WZH8" s="875"/>
      <c r="WZI8" s="875"/>
      <c r="WZJ8" s="875"/>
      <c r="WZK8" s="875"/>
      <c r="WZL8" s="875"/>
      <c r="WZM8" s="875"/>
      <c r="WZN8" s="875"/>
      <c r="WZO8" s="875"/>
      <c r="WZP8" s="875"/>
      <c r="WZQ8" s="875"/>
      <c r="WZR8" s="875"/>
      <c r="WZS8" s="875"/>
      <c r="WZT8" s="875"/>
      <c r="WZU8" s="875"/>
      <c r="WZV8" s="875"/>
      <c r="WZW8" s="875"/>
      <c r="WZX8" s="875"/>
      <c r="WZY8" s="875"/>
      <c r="WZZ8" s="875"/>
      <c r="XAA8" s="875"/>
      <c r="XAB8" s="875"/>
      <c r="XAC8" s="875"/>
      <c r="XAD8" s="875"/>
      <c r="XAE8" s="875"/>
      <c r="XAF8" s="875"/>
      <c r="XAG8" s="875"/>
      <c r="XAH8" s="875"/>
      <c r="XAI8" s="875"/>
      <c r="XAJ8" s="875"/>
      <c r="XAK8" s="875"/>
      <c r="XAL8" s="875"/>
      <c r="XAM8" s="875"/>
      <c r="XAN8" s="875"/>
      <c r="XAO8" s="875"/>
      <c r="XAP8" s="875"/>
      <c r="XAQ8" s="875"/>
      <c r="XAR8" s="875"/>
      <c r="XAS8" s="875"/>
      <c r="XAT8" s="875"/>
      <c r="XAU8" s="875"/>
      <c r="XAV8" s="875"/>
      <c r="XAW8" s="875"/>
      <c r="XAX8" s="875"/>
      <c r="XAY8" s="875"/>
      <c r="XAZ8" s="875"/>
      <c r="XBA8" s="875"/>
      <c r="XBB8" s="875"/>
      <c r="XBC8" s="875"/>
      <c r="XBD8" s="875"/>
      <c r="XBE8" s="875"/>
      <c r="XBF8" s="875"/>
      <c r="XBG8" s="875"/>
      <c r="XBH8" s="875"/>
      <c r="XBI8" s="875"/>
      <c r="XBJ8" s="875"/>
      <c r="XBK8" s="875"/>
      <c r="XBL8" s="875"/>
      <c r="XBM8" s="875"/>
      <c r="XBN8" s="875"/>
      <c r="XBO8" s="875"/>
      <c r="XBP8" s="875"/>
      <c r="XBQ8" s="875"/>
      <c r="XBR8" s="875"/>
      <c r="XBS8" s="875"/>
      <c r="XBT8" s="875"/>
      <c r="XBU8" s="875"/>
      <c r="XBV8" s="875"/>
      <c r="XBW8" s="875"/>
      <c r="XBX8" s="875"/>
      <c r="XBY8" s="875"/>
      <c r="XBZ8" s="875"/>
      <c r="XCA8" s="875"/>
      <c r="XCB8" s="875"/>
      <c r="XCC8" s="875"/>
      <c r="XCD8" s="875"/>
      <c r="XCE8" s="875"/>
      <c r="XCF8" s="875"/>
      <c r="XCG8" s="875"/>
      <c r="XCH8" s="875"/>
      <c r="XCI8" s="875"/>
      <c r="XCJ8" s="875"/>
      <c r="XCK8" s="875"/>
      <c r="XCL8" s="875"/>
      <c r="XCM8" s="875"/>
      <c r="XCN8" s="875"/>
      <c r="XCO8" s="875"/>
      <c r="XCP8" s="875"/>
      <c r="XCQ8" s="875"/>
      <c r="XCR8" s="875"/>
      <c r="XCS8" s="875"/>
      <c r="XCT8" s="875"/>
      <c r="XCU8" s="875"/>
      <c r="XCV8" s="875"/>
      <c r="XCW8" s="875"/>
      <c r="XCX8" s="875"/>
      <c r="XCY8" s="875"/>
      <c r="XCZ8" s="875"/>
      <c r="XDA8" s="875"/>
      <c r="XDB8" s="875"/>
      <c r="XDC8" s="875"/>
      <c r="XDD8" s="875"/>
      <c r="XDE8" s="875"/>
      <c r="XDF8" s="875"/>
      <c r="XDG8" s="875"/>
      <c r="XDH8" s="875"/>
      <c r="XDI8" s="875"/>
      <c r="XDJ8" s="875"/>
      <c r="XDK8" s="875"/>
      <c r="XDL8" s="875"/>
      <c r="XDM8" s="875"/>
      <c r="XDN8" s="875"/>
      <c r="XDO8" s="875"/>
      <c r="XDP8" s="875"/>
      <c r="XDQ8" s="875"/>
      <c r="XDR8" s="875"/>
      <c r="XDS8" s="875"/>
      <c r="XDT8" s="875"/>
      <c r="XDU8" s="875"/>
      <c r="XDV8" s="875"/>
      <c r="XDW8" s="875"/>
      <c r="XDX8" s="875"/>
      <c r="XDY8" s="875"/>
      <c r="XDZ8" s="875"/>
      <c r="XEA8" s="875"/>
      <c r="XEB8" s="875"/>
      <c r="XEC8" s="875"/>
      <c r="XED8" s="875"/>
      <c r="XEE8" s="875"/>
      <c r="XEF8" s="875"/>
      <c r="XEG8" s="875"/>
      <c r="XEH8" s="875"/>
      <c r="XEI8" s="875"/>
      <c r="XEJ8" s="875"/>
      <c r="XEK8" s="875"/>
      <c r="XEL8" s="875"/>
      <c r="XEM8" s="875"/>
      <c r="XEN8" s="875"/>
      <c r="XEO8" s="875"/>
      <c r="XEP8" s="875"/>
      <c r="XEQ8" s="875"/>
      <c r="XER8" s="875"/>
      <c r="XES8" s="875"/>
      <c r="XET8" s="875"/>
      <c r="XEU8" s="875"/>
      <c r="XEV8" s="875"/>
      <c r="XEW8" s="875"/>
      <c r="XEX8" s="875"/>
      <c r="XEY8" s="875"/>
      <c r="XEZ8" s="875"/>
      <c r="XFA8" s="875"/>
      <c r="XFB8" s="875"/>
      <c r="XFC8" s="875"/>
      <c r="XFD8" s="875"/>
    </row>
    <row r="9" spans="1:16384" s="875" customFormat="1" ht="13.8">
      <c r="B9" s="885"/>
      <c r="C9" s="882" t="s">
        <v>386</v>
      </c>
    </row>
    <row r="10" spans="1:16384" s="875" customFormat="1" ht="13.8">
      <c r="B10" s="886"/>
      <c r="C10" s="882" t="s">
        <v>3751</v>
      </c>
    </row>
    <row r="11" spans="1:16384" s="875" customFormat="1" ht="13.8">
      <c r="C11" s="887"/>
    </row>
    <row r="12" spans="1:16384" s="877" customFormat="1" ht="20.100000000000001" customHeight="1">
      <c r="B12" s="888" t="s">
        <v>3819</v>
      </c>
      <c r="C12" s="889"/>
      <c r="D12" s="889"/>
      <c r="E12" s="888"/>
      <c r="F12" s="888"/>
      <c r="G12" s="889"/>
      <c r="H12" s="888"/>
      <c r="I12" s="888"/>
      <c r="J12" s="889"/>
      <c r="K12" s="888"/>
      <c r="L12" s="888"/>
      <c r="M12" s="889"/>
      <c r="N12" s="888"/>
      <c r="P12" s="889"/>
      <c r="Q12" s="888"/>
    </row>
    <row r="13" spans="1:16384" ht="20.100000000000001" customHeight="1">
      <c r="B13" s="956" t="s">
        <v>3820</v>
      </c>
      <c r="C13" s="956"/>
      <c r="D13" s="956"/>
      <c r="E13" s="956"/>
      <c r="F13" s="956"/>
      <c r="G13" s="956"/>
      <c r="H13" s="956"/>
      <c r="I13" s="956"/>
      <c r="J13" s="956"/>
      <c r="K13" s="956"/>
      <c r="L13" s="956"/>
      <c r="M13" s="956"/>
    </row>
    <row r="14" spans="1:16384" ht="20.100000000000001" customHeight="1">
      <c r="B14" s="956"/>
      <c r="C14" s="956"/>
      <c r="D14" s="956"/>
      <c r="E14" s="956"/>
      <c r="F14" s="956"/>
      <c r="G14" s="956"/>
      <c r="H14" s="956"/>
      <c r="I14" s="956"/>
      <c r="J14" s="956"/>
      <c r="K14" s="956"/>
      <c r="L14" s="956"/>
      <c r="M14" s="956"/>
    </row>
    <row r="15" spans="1:16384" ht="20.100000000000001" customHeight="1">
      <c r="B15" s="956"/>
      <c r="C15" s="956"/>
      <c r="D15" s="956"/>
      <c r="E15" s="956"/>
      <c r="F15" s="956"/>
      <c r="G15" s="956"/>
      <c r="H15" s="956"/>
      <c r="I15" s="956"/>
      <c r="J15" s="956"/>
      <c r="K15" s="956"/>
      <c r="L15" s="956"/>
      <c r="M15" s="956"/>
    </row>
    <row r="16" spans="1:16384" ht="20.100000000000001" customHeight="1">
      <c r="B16" s="956"/>
      <c r="C16" s="956"/>
      <c r="D16" s="956"/>
      <c r="E16" s="956"/>
      <c r="F16" s="956"/>
      <c r="G16" s="956"/>
      <c r="H16" s="956"/>
      <c r="I16" s="956"/>
      <c r="J16" s="956"/>
      <c r="K16" s="956"/>
      <c r="L16" s="956"/>
      <c r="M16" s="956"/>
    </row>
    <row r="17" spans="2:24" ht="20.100000000000001" customHeight="1">
      <c r="B17" s="956"/>
      <c r="C17" s="956"/>
      <c r="D17" s="956"/>
      <c r="E17" s="956"/>
      <c r="F17" s="956"/>
      <c r="G17" s="956"/>
      <c r="H17" s="956"/>
      <c r="I17" s="956"/>
      <c r="J17" s="956"/>
      <c r="K17" s="956"/>
      <c r="L17" s="956"/>
      <c r="M17" s="956"/>
    </row>
    <row r="18" spans="2:24" ht="20.100000000000001" customHeight="1">
      <c r="B18" s="956"/>
      <c r="C18" s="956"/>
      <c r="D18" s="956"/>
      <c r="E18" s="956"/>
      <c r="F18" s="956"/>
      <c r="G18" s="956"/>
      <c r="H18" s="956"/>
      <c r="I18" s="956"/>
      <c r="J18" s="956"/>
      <c r="K18" s="956"/>
      <c r="L18" s="956"/>
      <c r="M18" s="956"/>
    </row>
    <row r="19" spans="2:24" ht="20.100000000000001" customHeight="1">
      <c r="B19" s="956"/>
      <c r="C19" s="956"/>
      <c r="D19" s="956"/>
      <c r="E19" s="956"/>
      <c r="F19" s="956"/>
      <c r="G19" s="956"/>
      <c r="H19" s="956"/>
      <c r="I19" s="956"/>
      <c r="J19" s="956"/>
      <c r="K19" s="956"/>
      <c r="L19" s="956"/>
      <c r="M19" s="956"/>
    </row>
    <row r="20" spans="2:24" ht="20.100000000000001" customHeight="1">
      <c r="B20" s="956"/>
      <c r="C20" s="956"/>
      <c r="D20" s="956"/>
      <c r="E20" s="956"/>
      <c r="F20" s="956"/>
      <c r="G20" s="956"/>
      <c r="H20" s="956"/>
      <c r="I20" s="956"/>
      <c r="J20" s="956"/>
      <c r="K20" s="956"/>
      <c r="L20" s="956"/>
      <c r="M20" s="956"/>
    </row>
    <row r="21" spans="2:24" ht="20.100000000000001" customHeight="1">
      <c r="B21" s="956"/>
      <c r="C21" s="956"/>
      <c r="D21" s="956"/>
      <c r="E21" s="956"/>
      <c r="F21" s="956"/>
      <c r="G21" s="956"/>
      <c r="H21" s="956"/>
      <c r="I21" s="956"/>
      <c r="J21" s="956"/>
      <c r="K21" s="956"/>
      <c r="L21" s="956"/>
      <c r="M21" s="956"/>
    </row>
    <row r="22" spans="2:24" ht="20.100000000000001" customHeight="1">
      <c r="B22" s="956"/>
      <c r="C22" s="956"/>
      <c r="D22" s="956"/>
      <c r="E22" s="956"/>
      <c r="F22" s="956"/>
      <c r="G22" s="956"/>
      <c r="H22" s="956"/>
      <c r="I22" s="956"/>
      <c r="J22" s="956"/>
      <c r="K22" s="956"/>
      <c r="L22" s="956"/>
      <c r="M22" s="956"/>
    </row>
    <row r="23" spans="2:24" ht="20.100000000000001" customHeight="1">
      <c r="B23" s="956"/>
      <c r="C23" s="956"/>
      <c r="D23" s="956"/>
      <c r="E23" s="956"/>
      <c r="F23" s="956"/>
      <c r="G23" s="956"/>
      <c r="H23" s="956"/>
      <c r="I23" s="956"/>
      <c r="J23" s="956"/>
      <c r="K23" s="956"/>
      <c r="L23" s="956"/>
      <c r="M23" s="956"/>
    </row>
    <row r="24" spans="2:24" ht="20.100000000000001" customHeight="1">
      <c r="B24" s="956"/>
      <c r="C24" s="956"/>
      <c r="D24" s="956"/>
      <c r="E24" s="956"/>
      <c r="F24" s="956"/>
      <c r="G24" s="956"/>
      <c r="H24" s="956"/>
      <c r="I24" s="956"/>
      <c r="J24" s="956"/>
      <c r="K24" s="956"/>
      <c r="L24" s="956"/>
      <c r="M24" s="956"/>
    </row>
    <row r="25" spans="2:24" ht="20.100000000000001" customHeight="1">
      <c r="B25" s="956"/>
      <c r="C25" s="956"/>
      <c r="D25" s="956"/>
      <c r="E25" s="956"/>
      <c r="F25" s="956"/>
      <c r="G25" s="956"/>
      <c r="H25" s="956"/>
      <c r="I25" s="956"/>
      <c r="J25" s="956"/>
      <c r="K25" s="956"/>
      <c r="L25" s="956"/>
      <c r="M25" s="956"/>
    </row>
    <row r="26" spans="2:24" ht="19.5" customHeight="1">
      <c r="B26" s="956"/>
      <c r="C26" s="956"/>
      <c r="D26" s="956"/>
      <c r="E26" s="956"/>
      <c r="F26" s="956"/>
      <c r="G26" s="956"/>
      <c r="H26" s="956"/>
      <c r="I26" s="956"/>
      <c r="J26" s="956"/>
      <c r="K26" s="956"/>
      <c r="L26" s="956"/>
      <c r="M26" s="956"/>
    </row>
    <row r="27" spans="2:24" s="877" customFormat="1" ht="20.100000000000001" customHeight="1">
      <c r="B27" s="888" t="s">
        <v>3821</v>
      </c>
      <c r="C27" s="889"/>
      <c r="D27" s="889"/>
      <c r="E27" s="888"/>
      <c r="F27" s="888"/>
      <c r="G27" s="889"/>
      <c r="H27" s="888"/>
      <c r="I27" s="888"/>
      <c r="J27" s="889"/>
      <c r="K27" s="888"/>
      <c r="L27" s="888"/>
      <c r="M27" s="889"/>
      <c r="N27" s="888"/>
      <c r="P27" s="889"/>
      <c r="Q27" s="888"/>
    </row>
    <row r="28" spans="2:24" s="892" customFormat="1" ht="20.100000000000001" customHeight="1">
      <c r="C28" s="893"/>
      <c r="E28" s="893"/>
      <c r="F28" s="893"/>
      <c r="G28" s="893"/>
      <c r="H28" s="893"/>
      <c r="I28" s="893"/>
      <c r="J28" s="893"/>
      <c r="K28" s="893"/>
      <c r="L28" s="893"/>
      <c r="M28" s="893"/>
      <c r="N28" s="893"/>
      <c r="O28" s="893"/>
      <c r="P28" s="893"/>
      <c r="Q28" s="893"/>
      <c r="R28" s="893"/>
      <c r="S28" s="893"/>
      <c r="T28" s="893"/>
      <c r="U28" s="893"/>
      <c r="V28" s="893"/>
      <c r="W28" s="893"/>
      <c r="X28" s="893"/>
    </row>
    <row r="29" spans="2:24" s="892" customFormat="1" ht="20.100000000000001" customHeight="1">
      <c r="C29" s="893"/>
      <c r="E29" s="893"/>
      <c r="F29" s="893"/>
      <c r="G29" s="893"/>
      <c r="H29" s="893"/>
      <c r="I29" s="893"/>
      <c r="J29" s="893"/>
      <c r="K29" s="893"/>
      <c r="L29" s="893"/>
      <c r="M29" s="893"/>
      <c r="N29" s="893"/>
      <c r="O29" s="893"/>
      <c r="P29" s="893"/>
      <c r="Q29" s="893"/>
      <c r="R29" s="893"/>
      <c r="S29" s="893"/>
      <c r="T29" s="893"/>
      <c r="U29" s="893"/>
      <c r="V29" s="893"/>
      <c r="W29" s="893"/>
      <c r="X29" s="893"/>
    </row>
    <row r="30" spans="2:24" s="892" customFormat="1" ht="20.100000000000001" customHeight="1">
      <c r="C30" s="893"/>
      <c r="E30" s="893"/>
      <c r="F30" s="893"/>
      <c r="G30" s="893"/>
      <c r="H30" s="893"/>
      <c r="I30" s="893"/>
      <c r="J30" s="893"/>
      <c r="K30" s="893"/>
      <c r="L30" s="893"/>
      <c r="M30" s="893"/>
      <c r="N30" s="893"/>
      <c r="O30" s="893"/>
      <c r="P30" s="893"/>
      <c r="Q30" s="893"/>
      <c r="R30" s="893"/>
      <c r="S30" s="893"/>
      <c r="T30" s="893"/>
      <c r="U30" s="893"/>
      <c r="V30" s="893"/>
      <c r="W30" s="893"/>
      <c r="X30" s="893"/>
    </row>
    <row r="31" spans="2:24" s="892" customFormat="1" ht="20.100000000000001" customHeight="1">
      <c r="B31" s="892" t="s">
        <v>613</v>
      </c>
      <c r="C31" s="894">
        <f>xxNumOfTeams</f>
        <v>6</v>
      </c>
      <c r="E31" s="893"/>
      <c r="F31" s="893"/>
      <c r="G31" s="893"/>
      <c r="H31" s="893"/>
      <c r="I31" s="893"/>
      <c r="J31" s="893"/>
      <c r="K31" s="893"/>
      <c r="L31" s="893"/>
      <c r="M31" s="893"/>
      <c r="N31" s="893"/>
      <c r="O31" s="893"/>
      <c r="P31" s="893"/>
      <c r="Q31" s="893"/>
      <c r="R31" s="893"/>
      <c r="S31" s="893"/>
      <c r="T31" s="893"/>
      <c r="U31" s="893"/>
      <c r="V31" s="893"/>
      <c r="W31" s="893"/>
      <c r="X31" s="893"/>
    </row>
    <row r="32" spans="2:24" s="892" customFormat="1" ht="20.100000000000001" customHeight="1">
      <c r="B32" s="895" t="s">
        <v>3822</v>
      </c>
      <c r="E32" s="893"/>
      <c r="F32" s="893"/>
      <c r="G32" s="893"/>
      <c r="H32" s="893"/>
      <c r="I32" s="893"/>
      <c r="J32" s="893"/>
      <c r="K32" s="893"/>
      <c r="L32" s="893"/>
      <c r="M32" s="893"/>
      <c r="N32" s="893"/>
      <c r="O32" s="893"/>
      <c r="P32" s="893"/>
      <c r="Q32" s="893"/>
      <c r="R32" s="893"/>
      <c r="S32" s="893"/>
      <c r="T32" s="893"/>
      <c r="U32" s="893"/>
      <c r="V32" s="893"/>
      <c r="W32" s="893"/>
      <c r="X32" s="893"/>
    </row>
    <row r="33" spans="2:13" ht="20.100000000000001" customHeight="1">
      <c r="B33" s="896"/>
      <c r="C33" s="896"/>
      <c r="D33" s="896"/>
      <c r="E33" s="896"/>
      <c r="F33" s="896"/>
      <c r="G33" s="896"/>
      <c r="H33" s="896"/>
      <c r="I33" s="896"/>
      <c r="J33" s="896"/>
      <c r="K33" s="896"/>
      <c r="L33" s="896"/>
      <c r="M33" s="896"/>
    </row>
    <row r="34" spans="2:13" ht="20.100000000000001" customHeight="1">
      <c r="B34" s="896" t="s">
        <v>3823</v>
      </c>
      <c r="C34" s="897">
        <v>10</v>
      </c>
      <c r="D34" s="896"/>
      <c r="E34" s="896"/>
      <c r="F34" s="896"/>
      <c r="G34" s="896"/>
      <c r="H34" s="896"/>
      <c r="I34" s="896"/>
      <c r="J34" s="896"/>
      <c r="K34" s="896"/>
      <c r="L34" s="896"/>
      <c r="M34" s="896"/>
    </row>
    <row r="35" spans="2:13" ht="20.100000000000001" customHeight="1">
      <c r="B35" s="896"/>
      <c r="C35" s="896"/>
      <c r="D35" s="896"/>
      <c r="E35" s="896"/>
      <c r="F35" s="896"/>
      <c r="G35" s="896"/>
      <c r="H35" s="896"/>
      <c r="I35" s="896"/>
      <c r="J35" s="896"/>
      <c r="K35" s="896"/>
      <c r="L35" s="896"/>
      <c r="M35" s="896"/>
    </row>
    <row r="36" spans="2:13" ht="20.100000000000001" customHeight="1">
      <c r="B36" s="896"/>
      <c r="C36" s="896"/>
      <c r="D36" s="896"/>
      <c r="E36" s="896"/>
      <c r="F36" s="896"/>
      <c r="G36" s="896"/>
      <c r="H36" s="896"/>
      <c r="I36" s="896"/>
      <c r="J36" s="896"/>
      <c r="K36" s="896"/>
      <c r="L36" s="896"/>
      <c r="M36" s="896"/>
    </row>
    <row r="37" spans="2:13" ht="20.100000000000001" customHeight="1">
      <c r="B37" s="896"/>
      <c r="C37" s="896"/>
      <c r="D37" s="896"/>
      <c r="E37" s="896"/>
      <c r="F37" s="896"/>
      <c r="G37" s="896"/>
      <c r="H37" s="896"/>
      <c r="I37" s="896"/>
      <c r="J37" s="896"/>
      <c r="K37" s="896"/>
      <c r="L37" s="896"/>
      <c r="M37" s="896"/>
    </row>
    <row r="38" spans="2:13" ht="20.100000000000001" customHeight="1">
      <c r="B38" s="896"/>
      <c r="C38" s="896"/>
      <c r="D38" s="896"/>
      <c r="E38" s="896"/>
      <c r="F38" s="896"/>
      <c r="G38" s="896"/>
      <c r="H38" s="896"/>
      <c r="I38" s="896"/>
      <c r="J38" s="896"/>
      <c r="K38" s="896"/>
      <c r="L38" s="896"/>
      <c r="M38" s="896"/>
    </row>
  </sheetData>
  <mergeCells count="1">
    <mergeCell ref="B13:M26"/>
  </mergeCells>
  <dataValidations count="1">
    <dataValidation type="list" allowBlank="1" showInputMessage="1" showErrorMessage="1" sqref="C34 C31">
      <formula1>"0,1,2,3,4,5,6,7,8,9,10,11,12,13,14,15,16,17,18,19,20"</formula1>
    </dataValidation>
  </dataValidations>
  <hyperlinks>
    <hyperlink ref="C3" r:id="rId1"/>
  </hyperlinks>
  <pageMargins left="0.7" right="0.7" top="0.75" bottom="0.75" header="0.3" footer="0.3"/>
  <pageSetup orientation="portrait" r:id="rId2"/>
  <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tint="0.499984740745262"/>
  </sheetPr>
  <dimension ref="A1:AL653"/>
  <sheetViews>
    <sheetView workbookViewId="0">
      <selection activeCell="A6" sqref="A6"/>
    </sheetView>
  </sheetViews>
  <sheetFormatPr defaultColWidth="8.7265625" defaultRowHeight="14.4"/>
  <cols>
    <col min="1" max="1" width="8.7265625" style="900" customWidth="1"/>
    <col min="2" max="16384" width="8.7265625" style="900"/>
  </cols>
  <sheetData>
    <row r="1" spans="1:38" s="935" customFormat="1">
      <c r="A1" s="934" t="s">
        <v>3835</v>
      </c>
      <c r="B1" s="935" t="s">
        <v>3824</v>
      </c>
      <c r="C1" s="935" t="s">
        <v>3868</v>
      </c>
      <c r="D1" s="935" t="s">
        <v>3869</v>
      </c>
      <c r="E1" s="935" t="s">
        <v>3870</v>
      </c>
      <c r="F1" s="935" t="s">
        <v>3871</v>
      </c>
      <c r="G1" s="935" t="s">
        <v>3872</v>
      </c>
      <c r="H1" s="935" t="s">
        <v>3873</v>
      </c>
      <c r="I1" s="935" t="s">
        <v>3874</v>
      </c>
      <c r="J1" s="935" t="s">
        <v>3875</v>
      </c>
      <c r="K1" s="935" t="s">
        <v>3664</v>
      </c>
      <c r="L1" s="935" t="s">
        <v>3678</v>
      </c>
      <c r="M1" s="935" t="s">
        <v>3680</v>
      </c>
      <c r="N1" s="935" t="s">
        <v>3677</v>
      </c>
      <c r="O1" s="935" t="s">
        <v>3679</v>
      </c>
      <c r="P1" s="935" t="s">
        <v>3669</v>
      </c>
      <c r="Q1" s="935" t="s">
        <v>3670</v>
      </c>
      <c r="R1" s="935" t="s">
        <v>3668</v>
      </c>
      <c r="S1" s="935" t="s">
        <v>3666</v>
      </c>
      <c r="T1" s="935" t="s">
        <v>3667</v>
      </c>
      <c r="U1" s="935" t="s">
        <v>3665</v>
      </c>
      <c r="V1" s="935" t="s">
        <v>3813</v>
      </c>
      <c r="W1" s="935" t="s">
        <v>3681</v>
      </c>
      <c r="X1" s="935" t="s">
        <v>3675</v>
      </c>
      <c r="Y1" s="935" t="s">
        <v>3672</v>
      </c>
      <c r="Z1" s="935" t="s">
        <v>3673</v>
      </c>
      <c r="AA1" s="935" t="s">
        <v>3674</v>
      </c>
      <c r="AB1" s="935" t="s">
        <v>3676</v>
      </c>
      <c r="AC1" s="935" t="s">
        <v>3671</v>
      </c>
      <c r="AD1" s="935" t="s">
        <v>3810</v>
      </c>
      <c r="AE1" s="935" t="s">
        <v>3811</v>
      </c>
      <c r="AF1" s="935" t="s">
        <v>3812</v>
      </c>
      <c r="AG1" s="935" t="s">
        <v>3800</v>
      </c>
      <c r="AH1" s="935" t="s">
        <v>3802</v>
      </c>
      <c r="AI1" s="935" t="s">
        <v>3804</v>
      </c>
      <c r="AJ1" s="935" t="s">
        <v>3806</v>
      </c>
      <c r="AK1" s="935" t="s">
        <v>3808</v>
      </c>
      <c r="AL1" s="935" t="s">
        <v>3814</v>
      </c>
    </row>
    <row r="2" spans="1:38">
      <c r="A2" s="933" t="s">
        <v>3899</v>
      </c>
      <c r="B2" s="900" t="s">
        <v>3900</v>
      </c>
    </row>
    <row r="3" spans="1:38">
      <c r="A3" s="900" t="s">
        <v>3901</v>
      </c>
      <c r="B3" s="900" t="s">
        <v>3902</v>
      </c>
    </row>
    <row r="4" spans="1:38">
      <c r="A4" s="900" t="s">
        <v>3903</v>
      </c>
      <c r="B4" s="900" t="s">
        <v>3904</v>
      </c>
    </row>
    <row r="5" spans="1:38">
      <c r="A5" s="900" t="s">
        <v>3905</v>
      </c>
      <c r="B5" s="900" t="s">
        <v>3906</v>
      </c>
    </row>
    <row r="6" spans="1:38">
      <c r="A6" s="900" t="s">
        <v>3907</v>
      </c>
      <c r="B6" s="900" t="s">
        <v>3908</v>
      </c>
    </row>
    <row r="7" spans="1:38">
      <c r="A7" s="900" t="s">
        <v>3909</v>
      </c>
      <c r="B7" s="900" t="s">
        <v>3910</v>
      </c>
    </row>
    <row r="8" spans="1:38">
      <c r="A8" s="900" t="s">
        <v>3911</v>
      </c>
      <c r="B8" s="900" t="s">
        <v>3912</v>
      </c>
    </row>
    <row r="9" spans="1:38">
      <c r="A9" s="900" t="s">
        <v>3913</v>
      </c>
      <c r="B9" s="900" t="s">
        <v>3914</v>
      </c>
    </row>
    <row r="10" spans="1:38">
      <c r="A10" s="900" t="s">
        <v>3915</v>
      </c>
      <c r="B10" s="900" t="s">
        <v>3916</v>
      </c>
    </row>
    <row r="11" spans="1:38">
      <c r="A11" s="900" t="s">
        <v>3917</v>
      </c>
      <c r="B11" s="900" t="s">
        <v>3918</v>
      </c>
    </row>
    <row r="12" spans="1:38">
      <c r="A12" s="900" t="s">
        <v>3919</v>
      </c>
      <c r="B12" s="900" t="s">
        <v>3920</v>
      </c>
    </row>
    <row r="13" spans="1:38">
      <c r="A13" s="900" t="s">
        <v>3921</v>
      </c>
      <c r="B13" s="900" t="s">
        <v>3922</v>
      </c>
    </row>
    <row r="14" spans="1:38">
      <c r="A14" s="900" t="s">
        <v>3923</v>
      </c>
      <c r="B14" s="900" t="s">
        <v>3924</v>
      </c>
    </row>
    <row r="15" spans="1:38">
      <c r="A15" s="900" t="s">
        <v>3925</v>
      </c>
      <c r="B15" s="900" t="s">
        <v>3926</v>
      </c>
    </row>
    <row r="16" spans="1:38">
      <c r="A16" s="900" t="s">
        <v>3927</v>
      </c>
      <c r="B16" s="900" t="s">
        <v>3928</v>
      </c>
    </row>
    <row r="17" spans="1:38">
      <c r="A17" s="900" t="s">
        <v>3929</v>
      </c>
      <c r="B17" s="900" t="s">
        <v>3930</v>
      </c>
    </row>
    <row r="18" spans="1:38">
      <c r="A18" s="900" t="s">
        <v>3931</v>
      </c>
      <c r="B18" s="900" t="s">
        <v>3932</v>
      </c>
    </row>
    <row r="19" spans="1:38">
      <c r="A19" s="900" t="s">
        <v>3933</v>
      </c>
      <c r="B19" s="900" t="s">
        <v>3934</v>
      </c>
    </row>
    <row r="20" spans="1:38">
      <c r="A20" s="900" t="s">
        <v>3935</v>
      </c>
      <c r="B20" s="900" t="s">
        <v>3936</v>
      </c>
    </row>
    <row r="21" spans="1:38">
      <c r="A21" s="900" t="s">
        <v>3937</v>
      </c>
      <c r="B21" s="900" t="s">
        <v>3938</v>
      </c>
    </row>
    <row r="22" spans="1:38">
      <c r="A22" s="900" t="s">
        <v>3939</v>
      </c>
      <c r="B22" s="900" t="s">
        <v>3940</v>
      </c>
    </row>
    <row r="23" spans="1:38">
      <c r="A23" s="900" t="s">
        <v>3941</v>
      </c>
      <c r="B23" s="900" t="s">
        <v>3942</v>
      </c>
    </row>
    <row r="24" spans="1:38">
      <c r="A24" s="900" t="s">
        <v>3943</v>
      </c>
      <c r="B24" s="900" t="s">
        <v>3944</v>
      </c>
    </row>
    <row r="25" spans="1:38">
      <c r="A25" s="900" t="s">
        <v>3945</v>
      </c>
      <c r="B25" s="900" t="s">
        <v>3946</v>
      </c>
    </row>
    <row r="26" spans="1:38">
      <c r="A26" s="900" t="s">
        <v>3947</v>
      </c>
      <c r="B26" s="900" t="s">
        <v>3948</v>
      </c>
    </row>
    <row r="27" spans="1:38">
      <c r="A27" s="900" t="s">
        <v>3949</v>
      </c>
      <c r="B27" s="900" t="s">
        <v>3950</v>
      </c>
    </row>
    <row r="28" spans="1:38">
      <c r="A28" s="900" t="s">
        <v>3951</v>
      </c>
      <c r="B28" s="900" t="s">
        <v>3952</v>
      </c>
    </row>
    <row r="29" spans="1:38">
      <c r="A29" s="900" t="s">
        <v>3867</v>
      </c>
      <c r="B29" s="900" t="s">
        <v>3867</v>
      </c>
      <c r="C29" s="900">
        <v>1</v>
      </c>
      <c r="D29" s="900" t="s">
        <v>593</v>
      </c>
      <c r="E29" s="900" t="s">
        <v>2256</v>
      </c>
      <c r="F29" s="900" t="s">
        <v>2256</v>
      </c>
      <c r="G29" s="900" t="s">
        <v>2256</v>
      </c>
      <c r="H29" s="900" t="s">
        <v>2256</v>
      </c>
      <c r="I29" s="900" t="s">
        <v>2256</v>
      </c>
      <c r="J29" s="900" t="s">
        <v>3055</v>
      </c>
      <c r="K29" s="900" t="s">
        <v>1665</v>
      </c>
      <c r="L29" s="900" t="s">
        <v>1665</v>
      </c>
      <c r="M29" s="900" t="s">
        <v>1665</v>
      </c>
      <c r="N29" s="900" t="s">
        <v>1665</v>
      </c>
      <c r="O29" s="900" t="s">
        <v>1665</v>
      </c>
      <c r="P29" s="900">
        <v>0</v>
      </c>
      <c r="Q29" s="900" t="s">
        <v>1665</v>
      </c>
      <c r="R29" s="900" t="s">
        <v>1665</v>
      </c>
      <c r="S29" s="900">
        <v>0</v>
      </c>
      <c r="T29" s="900">
        <v>0</v>
      </c>
      <c r="U29" s="900" t="s">
        <v>1665</v>
      </c>
      <c r="V29" s="900" t="s">
        <v>1665</v>
      </c>
      <c r="W29" s="900" t="s">
        <v>1665</v>
      </c>
      <c r="X29" s="900" t="s">
        <v>1665</v>
      </c>
      <c r="Y29" s="900" t="s">
        <v>1665</v>
      </c>
      <c r="Z29" s="900" t="s">
        <v>1665</v>
      </c>
      <c r="AA29" s="900" t="s">
        <v>1665</v>
      </c>
      <c r="AB29" s="900" t="s">
        <v>1665</v>
      </c>
      <c r="AC29" s="900" t="s">
        <v>1665</v>
      </c>
      <c r="AD29" s="900" t="s">
        <v>2260</v>
      </c>
      <c r="AE29" s="900" t="s">
        <v>2260</v>
      </c>
      <c r="AF29" s="900" t="s">
        <v>2260</v>
      </c>
      <c r="AG29" s="900">
        <v>0.2</v>
      </c>
      <c r="AH29" s="900">
        <v>0.2</v>
      </c>
      <c r="AI29" s="900">
        <v>0.2</v>
      </c>
      <c r="AJ29" s="900">
        <v>0.2</v>
      </c>
      <c r="AK29" s="900">
        <v>0.2</v>
      </c>
      <c r="AL29" s="900">
        <v>2</v>
      </c>
    </row>
    <row r="30" spans="1:38">
      <c r="A30" s="900" t="s">
        <v>3876</v>
      </c>
      <c r="B30" s="900" t="s">
        <v>3876</v>
      </c>
      <c r="C30" s="900">
        <v>2</v>
      </c>
      <c r="D30" s="900" t="s">
        <v>3953</v>
      </c>
      <c r="E30" s="900" t="s">
        <v>2256</v>
      </c>
      <c r="F30" s="900" t="s">
        <v>2256</v>
      </c>
      <c r="G30" s="900" t="s">
        <v>2256</v>
      </c>
      <c r="H30" s="900" t="s">
        <v>2256</v>
      </c>
      <c r="I30" s="900" t="s">
        <v>2256</v>
      </c>
      <c r="J30" s="900" t="s">
        <v>3055</v>
      </c>
      <c r="K30" s="900" t="s">
        <v>901</v>
      </c>
      <c r="L30" s="900" t="s">
        <v>900</v>
      </c>
      <c r="M30" s="900" t="s">
        <v>2057</v>
      </c>
      <c r="O30" s="900" t="s">
        <v>899</v>
      </c>
      <c r="P30" s="900">
        <v>1</v>
      </c>
      <c r="Q30" s="900" t="s">
        <v>591</v>
      </c>
      <c r="R30" s="900" t="s">
        <v>1284</v>
      </c>
      <c r="S30" s="900">
        <v>0.05</v>
      </c>
      <c r="T30" s="900">
        <v>-0.05</v>
      </c>
      <c r="U30" s="900" t="s">
        <v>901</v>
      </c>
      <c r="V30" s="900">
        <v>0.5</v>
      </c>
      <c r="W30" s="900" t="s">
        <v>900</v>
      </c>
      <c r="X30" s="900" t="s">
        <v>493</v>
      </c>
      <c r="Y30" s="900">
        <v>0.25</v>
      </c>
      <c r="Z30" s="900">
        <v>0</v>
      </c>
      <c r="AA30" s="900">
        <v>0.5</v>
      </c>
      <c r="AB30" s="900" t="s">
        <v>2343</v>
      </c>
      <c r="AC30" s="900" t="s">
        <v>1284</v>
      </c>
      <c r="AD30" s="900" t="s">
        <v>2260</v>
      </c>
      <c r="AE30" s="900" t="s">
        <v>2260</v>
      </c>
      <c r="AF30" s="900" t="s">
        <v>2260</v>
      </c>
      <c r="AG30" s="900">
        <v>0.24</v>
      </c>
      <c r="AH30" s="900">
        <v>0.17</v>
      </c>
      <c r="AI30" s="900">
        <v>0.18</v>
      </c>
      <c r="AJ30" s="900">
        <v>0.25</v>
      </c>
      <c r="AK30" s="900">
        <v>0.16</v>
      </c>
      <c r="AL30" s="900">
        <v>4</v>
      </c>
    </row>
    <row r="31" spans="1:38">
      <c r="A31" s="900" t="s">
        <v>3877</v>
      </c>
      <c r="B31" s="900" t="s">
        <v>3877</v>
      </c>
      <c r="C31" s="900">
        <v>1</v>
      </c>
      <c r="D31" s="900" t="s">
        <v>3954</v>
      </c>
      <c r="E31" s="900" t="s">
        <v>3955</v>
      </c>
      <c r="F31" s="900" t="s">
        <v>3956</v>
      </c>
      <c r="G31" s="900" t="s">
        <v>3957</v>
      </c>
      <c r="H31" s="900" t="s">
        <v>3958</v>
      </c>
      <c r="I31" s="900" t="s">
        <v>3959</v>
      </c>
      <c r="J31" s="900" t="s">
        <v>3960</v>
      </c>
      <c r="K31" s="900" t="s">
        <v>3139</v>
      </c>
      <c r="L31" s="900" t="s">
        <v>1284</v>
      </c>
      <c r="M31" s="900" t="s">
        <v>2056</v>
      </c>
      <c r="N31" s="900" t="s">
        <v>493</v>
      </c>
      <c r="O31" s="900" t="s">
        <v>1284</v>
      </c>
      <c r="P31" s="900">
        <v>2</v>
      </c>
      <c r="Q31" s="900" t="s">
        <v>590</v>
      </c>
      <c r="R31" s="900" t="s">
        <v>1284</v>
      </c>
      <c r="S31" s="900">
        <v>0.2</v>
      </c>
      <c r="T31" s="900">
        <v>0</v>
      </c>
      <c r="U31" s="900" t="s">
        <v>900</v>
      </c>
      <c r="V31" s="900">
        <v>0.75</v>
      </c>
      <c r="W31" s="900" t="s">
        <v>899</v>
      </c>
      <c r="Y31" s="900">
        <v>0.5</v>
      </c>
      <c r="Z31" s="900">
        <v>0.25</v>
      </c>
      <c r="AA31" s="900">
        <v>0.25</v>
      </c>
      <c r="AB31" s="900" t="s">
        <v>1665</v>
      </c>
      <c r="AC31" s="900" t="s">
        <v>1284</v>
      </c>
      <c r="AD31" s="900" t="s">
        <v>3961</v>
      </c>
      <c r="AE31" s="900" t="s">
        <v>3962</v>
      </c>
      <c r="AF31" s="900" t="s">
        <v>3963</v>
      </c>
      <c r="AG31" s="900">
        <v>0.3</v>
      </c>
      <c r="AH31" s="900">
        <v>0.25</v>
      </c>
      <c r="AI31" s="900">
        <v>0.15</v>
      </c>
      <c r="AJ31" s="900">
        <v>0.2</v>
      </c>
      <c r="AK31" s="900">
        <v>0.1</v>
      </c>
      <c r="AL31" s="900">
        <v>4</v>
      </c>
    </row>
    <row r="32" spans="1:38">
      <c r="A32" s="900" t="s">
        <v>3878</v>
      </c>
      <c r="B32" s="900" t="s">
        <v>3878</v>
      </c>
      <c r="C32" s="900">
        <v>1</v>
      </c>
      <c r="D32" s="900" t="s">
        <v>593</v>
      </c>
      <c r="E32" s="900" t="s">
        <v>2256</v>
      </c>
      <c r="F32" s="900" t="s">
        <v>2256</v>
      </c>
      <c r="G32" s="900" t="s">
        <v>2256</v>
      </c>
      <c r="H32" s="900" t="s">
        <v>2256</v>
      </c>
      <c r="I32" s="900" t="s">
        <v>2256</v>
      </c>
      <c r="J32" s="900" t="s">
        <v>3055</v>
      </c>
      <c r="K32" s="900" t="s">
        <v>1665</v>
      </c>
      <c r="L32" s="900" t="s">
        <v>1665</v>
      </c>
      <c r="M32" s="900" t="s">
        <v>1665</v>
      </c>
      <c r="N32" s="900" t="s">
        <v>1665</v>
      </c>
      <c r="O32" s="900" t="s">
        <v>1665</v>
      </c>
      <c r="P32" s="900">
        <v>0</v>
      </c>
      <c r="Q32" s="900" t="s">
        <v>1665</v>
      </c>
      <c r="R32" s="900" t="s">
        <v>1665</v>
      </c>
      <c r="S32" s="900">
        <v>0</v>
      </c>
      <c r="T32" s="900">
        <v>0</v>
      </c>
      <c r="U32" s="900" t="s">
        <v>1665</v>
      </c>
      <c r="V32" s="900" t="s">
        <v>1665</v>
      </c>
      <c r="W32" s="900" t="s">
        <v>1665</v>
      </c>
      <c r="X32" s="900" t="s">
        <v>1665</v>
      </c>
      <c r="Y32" s="900" t="s">
        <v>1665</v>
      </c>
      <c r="Z32" s="900" t="s">
        <v>1665</v>
      </c>
      <c r="AA32" s="900" t="s">
        <v>1665</v>
      </c>
      <c r="AB32" s="900" t="s">
        <v>1665</v>
      </c>
      <c r="AC32" s="900" t="s">
        <v>1665</v>
      </c>
      <c r="AD32" s="900" t="s">
        <v>2260</v>
      </c>
      <c r="AE32" s="900" t="s">
        <v>2260</v>
      </c>
      <c r="AF32" s="900" t="s">
        <v>2260</v>
      </c>
      <c r="AG32" s="900">
        <v>0.2</v>
      </c>
      <c r="AH32" s="900">
        <v>0.2</v>
      </c>
      <c r="AI32" s="900">
        <v>0.2</v>
      </c>
      <c r="AJ32" s="900">
        <v>0.2</v>
      </c>
      <c r="AK32" s="900">
        <v>0.2</v>
      </c>
      <c r="AL32" s="900">
        <v>2</v>
      </c>
    </row>
    <row r="33" spans="1:38">
      <c r="A33" s="900" t="s">
        <v>3879</v>
      </c>
      <c r="B33" s="900" t="s">
        <v>3879</v>
      </c>
      <c r="C33" s="900">
        <v>1</v>
      </c>
      <c r="D33" s="900" t="s">
        <v>3964</v>
      </c>
      <c r="E33" s="900" t="s">
        <v>2256</v>
      </c>
      <c r="F33" s="900" t="s">
        <v>2256</v>
      </c>
      <c r="G33" s="900" t="s">
        <v>2256</v>
      </c>
      <c r="H33" s="900" t="s">
        <v>2256</v>
      </c>
      <c r="I33" s="900" t="s">
        <v>2256</v>
      </c>
      <c r="J33" s="900" t="s">
        <v>3055</v>
      </c>
      <c r="K33" s="900" t="s">
        <v>901</v>
      </c>
      <c r="L33" s="900" t="s">
        <v>899</v>
      </c>
      <c r="M33" s="900" t="s">
        <v>2055</v>
      </c>
      <c r="N33" s="900" t="s">
        <v>493</v>
      </c>
      <c r="O33" s="900" t="s">
        <v>900</v>
      </c>
      <c r="P33" s="900">
        <v>0</v>
      </c>
      <c r="Q33" s="900" t="s">
        <v>1665</v>
      </c>
      <c r="R33" s="900" t="s">
        <v>1665</v>
      </c>
      <c r="S33" s="900">
        <v>0</v>
      </c>
      <c r="T33" s="900">
        <v>0</v>
      </c>
      <c r="U33" s="900" t="s">
        <v>899</v>
      </c>
      <c r="V33" s="900" t="s">
        <v>1665</v>
      </c>
      <c r="W33" s="900" t="s">
        <v>1665</v>
      </c>
      <c r="X33" s="900" t="s">
        <v>1665</v>
      </c>
      <c r="Y33" s="900" t="s">
        <v>1665</v>
      </c>
      <c r="Z33" s="900" t="s">
        <v>1665</v>
      </c>
      <c r="AA33" s="900" t="s">
        <v>1665</v>
      </c>
      <c r="AB33" s="900" t="s">
        <v>1665</v>
      </c>
      <c r="AC33" s="900" t="s">
        <v>1665</v>
      </c>
      <c r="AD33" s="900" t="s">
        <v>2260</v>
      </c>
      <c r="AE33" s="900" t="s">
        <v>2260</v>
      </c>
      <c r="AF33" s="900" t="s">
        <v>2260</v>
      </c>
      <c r="AG33" s="900">
        <v>0.2</v>
      </c>
      <c r="AH33" s="900">
        <v>0.2</v>
      </c>
      <c r="AI33" s="900">
        <v>0.2</v>
      </c>
      <c r="AJ33" s="900">
        <v>0.2</v>
      </c>
      <c r="AK33" s="900">
        <v>0.2</v>
      </c>
    </row>
    <row r="34" spans="1:38">
      <c r="A34" s="900" t="s">
        <v>3880</v>
      </c>
      <c r="B34" s="900" t="s">
        <v>3880</v>
      </c>
      <c r="C34" s="900">
        <v>1</v>
      </c>
      <c r="D34" s="900" t="s">
        <v>593</v>
      </c>
      <c r="E34" s="900" t="s">
        <v>2256</v>
      </c>
      <c r="F34" s="900" t="s">
        <v>2256</v>
      </c>
      <c r="G34" s="900" t="s">
        <v>2256</v>
      </c>
      <c r="H34" s="900" t="s">
        <v>2256</v>
      </c>
      <c r="I34" s="900" t="s">
        <v>2256</v>
      </c>
      <c r="J34" s="900" t="s">
        <v>3055</v>
      </c>
      <c r="K34" s="900" t="s">
        <v>1665</v>
      </c>
      <c r="L34" s="900" t="s">
        <v>1665</v>
      </c>
      <c r="M34" s="900" t="s">
        <v>1665</v>
      </c>
      <c r="N34" s="900" t="s">
        <v>1665</v>
      </c>
      <c r="O34" s="900" t="s">
        <v>1665</v>
      </c>
      <c r="P34" s="900">
        <v>0</v>
      </c>
      <c r="Q34" s="900" t="s">
        <v>1665</v>
      </c>
      <c r="R34" s="900" t="s">
        <v>1665</v>
      </c>
      <c r="S34" s="900">
        <v>0</v>
      </c>
      <c r="T34" s="900">
        <v>0</v>
      </c>
      <c r="U34" s="900" t="s">
        <v>1665</v>
      </c>
      <c r="V34" s="900" t="s">
        <v>1665</v>
      </c>
      <c r="W34" s="900" t="s">
        <v>1665</v>
      </c>
      <c r="X34" s="900" t="s">
        <v>1665</v>
      </c>
      <c r="Y34" s="900" t="s">
        <v>1665</v>
      </c>
      <c r="Z34" s="900" t="s">
        <v>1665</v>
      </c>
      <c r="AA34" s="900" t="s">
        <v>1665</v>
      </c>
      <c r="AB34" s="900" t="s">
        <v>1665</v>
      </c>
      <c r="AC34" s="900" t="s">
        <v>1665</v>
      </c>
      <c r="AD34" s="900" t="s">
        <v>2260</v>
      </c>
      <c r="AE34" s="900" t="s">
        <v>2260</v>
      </c>
      <c r="AF34" s="900" t="s">
        <v>2260</v>
      </c>
      <c r="AG34" s="900">
        <v>0.2</v>
      </c>
      <c r="AH34" s="900">
        <v>0.2</v>
      </c>
      <c r="AI34" s="900">
        <v>0.2</v>
      </c>
      <c r="AJ34" s="900">
        <v>0.2</v>
      </c>
      <c r="AK34" s="900">
        <v>0.2</v>
      </c>
      <c r="AL34" s="900">
        <v>2</v>
      </c>
    </row>
    <row r="35" spans="1:38">
      <c r="A35" s="900" t="s">
        <v>3881</v>
      </c>
      <c r="B35" s="900" t="s">
        <v>3881</v>
      </c>
      <c r="C35" s="900">
        <v>1</v>
      </c>
      <c r="D35" s="900" t="s">
        <v>593</v>
      </c>
      <c r="E35" s="900" t="s">
        <v>2256</v>
      </c>
      <c r="F35" s="900" t="s">
        <v>2256</v>
      </c>
      <c r="G35" s="900" t="s">
        <v>2256</v>
      </c>
      <c r="H35" s="900" t="s">
        <v>2256</v>
      </c>
      <c r="I35" s="900" t="s">
        <v>2256</v>
      </c>
      <c r="J35" s="900" t="s">
        <v>3055</v>
      </c>
      <c r="K35" s="900" t="s">
        <v>900</v>
      </c>
      <c r="L35" s="900" t="s">
        <v>899</v>
      </c>
      <c r="M35" s="900" t="s">
        <v>2055</v>
      </c>
      <c r="O35" s="900" t="s">
        <v>899</v>
      </c>
      <c r="P35" s="900">
        <v>2</v>
      </c>
      <c r="Q35" s="900" t="s">
        <v>590</v>
      </c>
      <c r="R35" s="900" t="s">
        <v>900</v>
      </c>
      <c r="S35" s="900">
        <v>0.05</v>
      </c>
      <c r="T35" s="900">
        <v>0.05</v>
      </c>
      <c r="U35" s="900" t="s">
        <v>1665</v>
      </c>
      <c r="V35" s="900">
        <v>0.75</v>
      </c>
      <c r="W35" s="900" t="s">
        <v>900</v>
      </c>
      <c r="Y35" s="900">
        <v>0.5</v>
      </c>
      <c r="Z35" s="900">
        <v>0.25</v>
      </c>
      <c r="AA35" s="900">
        <v>0.75</v>
      </c>
      <c r="AB35" s="900" t="s">
        <v>2343</v>
      </c>
      <c r="AC35" s="900" t="s">
        <v>900</v>
      </c>
      <c r="AD35" s="900" t="s">
        <v>2260</v>
      </c>
      <c r="AE35" s="900" t="s">
        <v>2260</v>
      </c>
      <c r="AF35" s="900" t="s">
        <v>2260</v>
      </c>
      <c r="AG35" s="900">
        <v>0.1</v>
      </c>
      <c r="AH35" s="900">
        <v>0.31</v>
      </c>
      <c r="AI35" s="900">
        <v>0.25</v>
      </c>
      <c r="AJ35" s="900">
        <v>0.23</v>
      </c>
      <c r="AK35" s="900">
        <v>0.11</v>
      </c>
      <c r="AL35" s="900">
        <v>2</v>
      </c>
    </row>
    <row r="36" spans="1:38">
      <c r="A36" s="900" t="s">
        <v>3882</v>
      </c>
      <c r="B36" s="900" t="s">
        <v>3882</v>
      </c>
      <c r="C36" s="900">
        <v>1</v>
      </c>
      <c r="D36" s="900" t="s">
        <v>593</v>
      </c>
      <c r="E36" s="900" t="s">
        <v>2256</v>
      </c>
      <c r="F36" s="900" t="s">
        <v>2256</v>
      </c>
      <c r="G36" s="900" t="s">
        <v>2256</v>
      </c>
      <c r="H36" s="900" t="s">
        <v>2256</v>
      </c>
      <c r="I36" s="900" t="s">
        <v>2256</v>
      </c>
      <c r="J36" s="900" t="s">
        <v>3055</v>
      </c>
      <c r="K36" s="900" t="s">
        <v>902</v>
      </c>
      <c r="L36" s="900" t="s">
        <v>901</v>
      </c>
      <c r="M36" s="900" t="s">
        <v>2057</v>
      </c>
      <c r="N36" s="900" t="s">
        <v>2343</v>
      </c>
      <c r="O36" s="900" t="s">
        <v>900</v>
      </c>
      <c r="P36" s="900">
        <v>1</v>
      </c>
      <c r="Q36" s="900" t="s">
        <v>591</v>
      </c>
      <c r="R36" s="900" t="s">
        <v>901</v>
      </c>
      <c r="S36" s="900">
        <v>0.05</v>
      </c>
      <c r="T36" s="900">
        <v>0.05</v>
      </c>
      <c r="U36" s="900" t="s">
        <v>901</v>
      </c>
      <c r="V36" s="900">
        <v>0.5</v>
      </c>
      <c r="W36" s="900" t="s">
        <v>901</v>
      </c>
      <c r="Y36" s="900">
        <v>0.25</v>
      </c>
      <c r="Z36" s="900">
        <v>0.5</v>
      </c>
      <c r="AA36" s="900">
        <v>0.5</v>
      </c>
      <c r="AB36" s="900" t="s">
        <v>2343</v>
      </c>
      <c r="AC36" s="900" t="s">
        <v>901</v>
      </c>
      <c r="AD36" s="900" t="s">
        <v>2260</v>
      </c>
      <c r="AE36" s="900" t="s">
        <v>2260</v>
      </c>
      <c r="AF36" s="900" t="s">
        <v>2260</v>
      </c>
      <c r="AG36" s="900">
        <v>0.2</v>
      </c>
      <c r="AH36" s="900">
        <v>0.2</v>
      </c>
      <c r="AI36" s="900">
        <v>0.2</v>
      </c>
      <c r="AJ36" s="900">
        <v>0.2</v>
      </c>
      <c r="AK36" s="900">
        <v>0.2</v>
      </c>
      <c r="AL36" s="900">
        <v>4</v>
      </c>
    </row>
    <row r="37" spans="1:38">
      <c r="A37" s="900" t="s">
        <v>3883</v>
      </c>
      <c r="B37" s="900" t="s">
        <v>3883</v>
      </c>
    </row>
    <row r="38" spans="1:38">
      <c r="A38" s="900" t="s">
        <v>3884</v>
      </c>
      <c r="B38" s="900" t="s">
        <v>3884</v>
      </c>
      <c r="C38" s="900">
        <v>1</v>
      </c>
      <c r="D38" s="900" t="s">
        <v>593</v>
      </c>
      <c r="E38" s="900" t="s">
        <v>2256</v>
      </c>
      <c r="F38" s="900" t="s">
        <v>2256</v>
      </c>
      <c r="G38" s="900" t="s">
        <v>2256</v>
      </c>
      <c r="H38" s="900" t="s">
        <v>2256</v>
      </c>
      <c r="I38" s="900" t="s">
        <v>2256</v>
      </c>
      <c r="J38" s="900" t="s">
        <v>3055</v>
      </c>
      <c r="K38" s="900" t="s">
        <v>1665</v>
      </c>
      <c r="L38" s="900" t="s">
        <v>1665</v>
      </c>
      <c r="M38" s="900" t="s">
        <v>1665</v>
      </c>
      <c r="N38" s="900" t="s">
        <v>1665</v>
      </c>
      <c r="O38" s="900" t="s">
        <v>1665</v>
      </c>
      <c r="P38" s="900">
        <v>0</v>
      </c>
      <c r="Q38" s="900" t="s">
        <v>1665</v>
      </c>
      <c r="R38" s="900" t="s">
        <v>1665</v>
      </c>
      <c r="S38" s="900">
        <v>0</v>
      </c>
      <c r="T38" s="900">
        <v>0</v>
      </c>
      <c r="U38" s="900" t="s">
        <v>1665</v>
      </c>
      <c r="V38" s="900" t="s">
        <v>1665</v>
      </c>
      <c r="W38" s="900" t="s">
        <v>1665</v>
      </c>
      <c r="X38" s="900" t="s">
        <v>1665</v>
      </c>
      <c r="Y38" s="900" t="s">
        <v>1665</v>
      </c>
      <c r="Z38" s="900" t="s">
        <v>1665</v>
      </c>
      <c r="AA38" s="900" t="s">
        <v>1665</v>
      </c>
      <c r="AB38" s="900" t="s">
        <v>1665</v>
      </c>
      <c r="AC38" s="900" t="s">
        <v>1665</v>
      </c>
      <c r="AD38" s="900" t="s">
        <v>2260</v>
      </c>
      <c r="AE38" s="900" t="s">
        <v>2260</v>
      </c>
      <c r="AF38" s="900" t="s">
        <v>2260</v>
      </c>
      <c r="AG38" s="900">
        <v>0.15</v>
      </c>
      <c r="AH38" s="900">
        <v>0.36</v>
      </c>
      <c r="AI38" s="900">
        <v>0.25</v>
      </c>
      <c r="AJ38" s="900">
        <v>0.12</v>
      </c>
      <c r="AK38" s="900">
        <v>0.12</v>
      </c>
      <c r="AL38" s="900">
        <v>2</v>
      </c>
    </row>
    <row r="39" spans="1:38">
      <c r="A39" s="900" t="s">
        <v>3885</v>
      </c>
      <c r="B39" s="900" t="s">
        <v>3885</v>
      </c>
      <c r="C39" s="900">
        <v>1</v>
      </c>
      <c r="D39" s="900" t="s">
        <v>593</v>
      </c>
      <c r="E39" s="900" t="s">
        <v>2256</v>
      </c>
      <c r="F39" s="900" t="s">
        <v>2256</v>
      </c>
      <c r="G39" s="900" t="s">
        <v>2256</v>
      </c>
      <c r="H39" s="900" t="s">
        <v>2256</v>
      </c>
      <c r="I39" s="900" t="s">
        <v>2256</v>
      </c>
      <c r="J39" s="900" t="s">
        <v>3965</v>
      </c>
      <c r="K39" s="900" t="s">
        <v>1665</v>
      </c>
      <c r="L39" s="900" t="s">
        <v>1665</v>
      </c>
      <c r="M39" s="900" t="s">
        <v>1665</v>
      </c>
      <c r="N39" s="900" t="s">
        <v>1665</v>
      </c>
      <c r="O39" s="900" t="s">
        <v>1665</v>
      </c>
      <c r="P39" s="900">
        <v>0</v>
      </c>
      <c r="Q39" s="900" t="s">
        <v>1665</v>
      </c>
      <c r="R39" s="900" t="s">
        <v>1665</v>
      </c>
      <c r="S39" s="900">
        <v>0</v>
      </c>
      <c r="T39" s="900">
        <v>0</v>
      </c>
      <c r="U39" s="900" t="s">
        <v>1665</v>
      </c>
      <c r="V39" s="900">
        <v>0.75</v>
      </c>
      <c r="W39" s="900" t="s">
        <v>899</v>
      </c>
      <c r="X39" s="900" t="s">
        <v>1665</v>
      </c>
      <c r="Y39" s="900" t="s">
        <v>1665</v>
      </c>
      <c r="Z39" s="900" t="s">
        <v>1665</v>
      </c>
      <c r="AA39" s="900" t="s">
        <v>1665</v>
      </c>
      <c r="AB39" s="900" t="s">
        <v>1665</v>
      </c>
      <c r="AC39" s="900" t="s">
        <v>1665</v>
      </c>
      <c r="AD39" s="900" t="s">
        <v>3966</v>
      </c>
      <c r="AE39" s="900" t="s">
        <v>3966</v>
      </c>
      <c r="AF39" s="900" t="s">
        <v>3966</v>
      </c>
      <c r="AG39" s="900">
        <v>0.4</v>
      </c>
      <c r="AH39" s="900">
        <v>0.2</v>
      </c>
      <c r="AI39" s="900">
        <v>0.1</v>
      </c>
      <c r="AJ39" s="900">
        <v>0.2</v>
      </c>
      <c r="AK39" s="900">
        <v>0.1</v>
      </c>
    </row>
    <row r="40" spans="1:38">
      <c r="A40" s="900" t="s">
        <v>3886</v>
      </c>
      <c r="B40" s="900" t="s">
        <v>3886</v>
      </c>
      <c r="C40" s="900">
        <v>1</v>
      </c>
      <c r="D40" s="900" t="s">
        <v>593</v>
      </c>
      <c r="E40" s="900" t="s">
        <v>2256</v>
      </c>
      <c r="F40" s="900" t="s">
        <v>2256</v>
      </c>
      <c r="G40" s="900" t="s">
        <v>2256</v>
      </c>
      <c r="H40" s="900" t="s">
        <v>2256</v>
      </c>
      <c r="I40" s="900" t="s">
        <v>2256</v>
      </c>
      <c r="J40" s="900" t="s">
        <v>3055</v>
      </c>
      <c r="K40" s="900" t="s">
        <v>1284</v>
      </c>
      <c r="L40" s="900" t="s">
        <v>1665</v>
      </c>
      <c r="M40" s="900" t="s">
        <v>1665</v>
      </c>
      <c r="N40" s="900" t="s">
        <v>1665</v>
      </c>
      <c r="O40" s="900" t="s">
        <v>1665</v>
      </c>
      <c r="P40" s="900">
        <v>0</v>
      </c>
      <c r="Q40" s="900" t="s">
        <v>1665</v>
      </c>
      <c r="R40" s="900" t="s">
        <v>1665</v>
      </c>
      <c r="S40" s="900">
        <v>0</v>
      </c>
      <c r="T40" s="900">
        <v>0</v>
      </c>
      <c r="U40" s="900" t="s">
        <v>1665</v>
      </c>
      <c r="V40" s="900" t="s">
        <v>1665</v>
      </c>
      <c r="W40" s="900" t="s">
        <v>1665</v>
      </c>
      <c r="X40" s="900" t="s">
        <v>1665</v>
      </c>
      <c r="Y40" s="900" t="s">
        <v>1665</v>
      </c>
      <c r="Z40" s="900" t="s">
        <v>1665</v>
      </c>
      <c r="AA40" s="900" t="s">
        <v>1665</v>
      </c>
      <c r="AB40" s="900" t="s">
        <v>1665</v>
      </c>
      <c r="AC40" s="900" t="s">
        <v>1665</v>
      </c>
      <c r="AD40" s="900" t="s">
        <v>2260</v>
      </c>
      <c r="AE40" s="900" t="s">
        <v>2260</v>
      </c>
      <c r="AF40" s="900" t="s">
        <v>2260</v>
      </c>
      <c r="AG40" s="900">
        <v>0.2</v>
      </c>
      <c r="AH40" s="900">
        <v>0.2</v>
      </c>
      <c r="AI40" s="900">
        <v>0.2</v>
      </c>
      <c r="AJ40" s="900">
        <v>0.2</v>
      </c>
      <c r="AK40" s="900">
        <v>0.2</v>
      </c>
    </row>
    <row r="41" spans="1:38">
      <c r="A41" s="900" t="s">
        <v>3887</v>
      </c>
      <c r="B41" s="900" t="s">
        <v>3887</v>
      </c>
      <c r="C41" s="900">
        <v>1</v>
      </c>
      <c r="D41" s="900" t="s">
        <v>593</v>
      </c>
      <c r="E41" s="900" t="s">
        <v>2256</v>
      </c>
      <c r="F41" s="900" t="s">
        <v>2256</v>
      </c>
      <c r="G41" s="900" t="s">
        <v>2256</v>
      </c>
      <c r="H41" s="900" t="s">
        <v>2256</v>
      </c>
      <c r="I41" s="900" t="s">
        <v>2256</v>
      </c>
      <c r="J41" s="900" t="s">
        <v>3055</v>
      </c>
      <c r="K41" s="900" t="s">
        <v>1665</v>
      </c>
      <c r="L41" s="900" t="s">
        <v>1665</v>
      </c>
      <c r="M41" s="900" t="s">
        <v>1665</v>
      </c>
      <c r="N41" s="900" t="s">
        <v>1665</v>
      </c>
      <c r="O41" s="900" t="s">
        <v>1665</v>
      </c>
      <c r="P41" s="900">
        <v>0</v>
      </c>
      <c r="Q41" s="900" t="s">
        <v>1665</v>
      </c>
      <c r="R41" s="900" t="s">
        <v>1665</v>
      </c>
      <c r="S41" s="900">
        <v>0</v>
      </c>
      <c r="T41" s="900">
        <v>0</v>
      </c>
      <c r="U41" s="900" t="s">
        <v>1665</v>
      </c>
      <c r="V41" s="900" t="s">
        <v>1665</v>
      </c>
      <c r="W41" s="900" t="s">
        <v>1665</v>
      </c>
      <c r="X41" s="900" t="s">
        <v>1665</v>
      </c>
      <c r="Y41" s="900" t="s">
        <v>1665</v>
      </c>
      <c r="Z41" s="900" t="s">
        <v>1665</v>
      </c>
      <c r="AA41" s="900" t="s">
        <v>1665</v>
      </c>
      <c r="AB41" s="900" t="s">
        <v>1665</v>
      </c>
      <c r="AC41" s="900" t="s">
        <v>1665</v>
      </c>
      <c r="AD41" s="900" t="s">
        <v>2260</v>
      </c>
      <c r="AE41" s="900" t="s">
        <v>2260</v>
      </c>
      <c r="AF41" s="900" t="s">
        <v>2260</v>
      </c>
      <c r="AG41" s="900">
        <v>0.2</v>
      </c>
      <c r="AH41" s="900">
        <v>0.22</v>
      </c>
      <c r="AI41" s="900">
        <v>0.2</v>
      </c>
      <c r="AJ41" s="900">
        <v>0.2</v>
      </c>
      <c r="AK41" s="900">
        <v>0.18</v>
      </c>
      <c r="AL41" s="900">
        <v>2</v>
      </c>
    </row>
    <row r="42" spans="1:38">
      <c r="A42" s="900" t="s">
        <v>3888</v>
      </c>
      <c r="B42" s="900" t="s">
        <v>3888</v>
      </c>
    </row>
    <row r="43" spans="1:38">
      <c r="A43" s="900" t="s">
        <v>3889</v>
      </c>
      <c r="B43" s="900" t="s">
        <v>3889</v>
      </c>
      <c r="C43" s="900">
        <v>1</v>
      </c>
      <c r="D43" s="900" t="s">
        <v>593</v>
      </c>
      <c r="E43" s="900" t="s">
        <v>2256</v>
      </c>
      <c r="F43" s="900" t="s">
        <v>2256</v>
      </c>
      <c r="G43" s="900" t="s">
        <v>2256</v>
      </c>
      <c r="H43" s="900" t="s">
        <v>2256</v>
      </c>
      <c r="I43" s="900" t="s">
        <v>2256</v>
      </c>
      <c r="J43" s="900" t="s">
        <v>3055</v>
      </c>
      <c r="K43" s="900" t="s">
        <v>1665</v>
      </c>
      <c r="L43" s="900" t="s">
        <v>901</v>
      </c>
      <c r="M43" s="900" t="s">
        <v>1665</v>
      </c>
      <c r="N43" s="900" t="s">
        <v>1665</v>
      </c>
      <c r="O43" s="900" t="s">
        <v>1284</v>
      </c>
      <c r="P43" s="900">
        <v>0</v>
      </c>
      <c r="Q43" s="900" t="s">
        <v>590</v>
      </c>
      <c r="R43" s="900" t="s">
        <v>1665</v>
      </c>
      <c r="S43" s="900">
        <v>0.1</v>
      </c>
      <c r="T43" s="900">
        <v>0</v>
      </c>
      <c r="U43" s="900" t="s">
        <v>1665</v>
      </c>
      <c r="V43" s="900" t="s">
        <v>1665</v>
      </c>
      <c r="W43" s="900" t="s">
        <v>1665</v>
      </c>
      <c r="Y43" s="900" t="s">
        <v>1665</v>
      </c>
      <c r="Z43" s="900" t="s">
        <v>1665</v>
      </c>
      <c r="AA43" s="900" t="s">
        <v>1665</v>
      </c>
      <c r="AB43" s="900" t="s">
        <v>493</v>
      </c>
      <c r="AC43" s="900" t="s">
        <v>1665</v>
      </c>
      <c r="AD43" s="900" t="s">
        <v>2260</v>
      </c>
      <c r="AE43" s="900" t="s">
        <v>2260</v>
      </c>
      <c r="AF43" s="900" t="s">
        <v>2260</v>
      </c>
      <c r="AG43" s="900">
        <v>0.2</v>
      </c>
      <c r="AH43" s="900">
        <v>0.26</v>
      </c>
      <c r="AI43" s="900">
        <v>0.2</v>
      </c>
      <c r="AJ43" s="900">
        <v>0.2</v>
      </c>
      <c r="AK43" s="900">
        <v>0.14000000000000001</v>
      </c>
      <c r="AL43" s="900">
        <v>2</v>
      </c>
    </row>
    <row r="44" spans="1:38">
      <c r="A44" s="900" t="s">
        <v>3890</v>
      </c>
      <c r="B44" s="900" t="s">
        <v>3890</v>
      </c>
      <c r="C44" s="900">
        <v>1</v>
      </c>
      <c r="D44" s="900" t="s">
        <v>593</v>
      </c>
      <c r="E44" s="900" t="s">
        <v>2256</v>
      </c>
      <c r="F44" s="900" t="s">
        <v>2256</v>
      </c>
      <c r="G44" s="900" t="s">
        <v>2256</v>
      </c>
      <c r="H44" s="900" t="s">
        <v>2256</v>
      </c>
      <c r="I44" s="900" t="s">
        <v>2256</v>
      </c>
      <c r="J44" s="900" t="s">
        <v>3055</v>
      </c>
      <c r="K44" s="900" t="s">
        <v>1665</v>
      </c>
      <c r="L44" s="900" t="s">
        <v>1665</v>
      </c>
      <c r="M44" s="900" t="s">
        <v>1665</v>
      </c>
      <c r="N44" s="900" t="s">
        <v>1665</v>
      </c>
      <c r="O44" s="900" t="s">
        <v>1665</v>
      </c>
      <c r="P44" s="900">
        <v>3</v>
      </c>
      <c r="Q44" s="900" t="s">
        <v>1665</v>
      </c>
      <c r="R44" s="900" t="s">
        <v>1665</v>
      </c>
      <c r="S44" s="900">
        <v>0.1</v>
      </c>
      <c r="T44" s="900">
        <v>0.05</v>
      </c>
      <c r="U44" s="900" t="s">
        <v>902</v>
      </c>
      <c r="V44" s="900">
        <v>0.25</v>
      </c>
      <c r="W44" s="900" t="s">
        <v>1665</v>
      </c>
      <c r="X44" s="900" t="s">
        <v>1665</v>
      </c>
      <c r="Y44" s="900" t="s">
        <v>1665</v>
      </c>
      <c r="Z44" s="900" t="s">
        <v>1665</v>
      </c>
      <c r="AA44" s="900" t="s">
        <v>1665</v>
      </c>
      <c r="AB44" s="900" t="s">
        <v>1665</v>
      </c>
      <c r="AC44" s="900" t="s">
        <v>1665</v>
      </c>
      <c r="AD44" s="900" t="s">
        <v>2260</v>
      </c>
      <c r="AE44" s="900" t="s">
        <v>2260</v>
      </c>
      <c r="AF44" s="900" t="s">
        <v>2260</v>
      </c>
      <c r="AG44" s="900">
        <v>0.2</v>
      </c>
      <c r="AH44" s="900">
        <v>0.2</v>
      </c>
      <c r="AI44" s="900">
        <v>0.2</v>
      </c>
      <c r="AJ44" s="900">
        <v>0.2</v>
      </c>
      <c r="AK44" s="900">
        <v>0.2</v>
      </c>
      <c r="AL44" s="900">
        <v>4</v>
      </c>
    </row>
    <row r="45" spans="1:38">
      <c r="A45" s="900" t="s">
        <v>3891</v>
      </c>
      <c r="B45" s="900" t="s">
        <v>3891</v>
      </c>
    </row>
    <row r="46" spans="1:38">
      <c r="A46" s="900" t="s">
        <v>3892</v>
      </c>
      <c r="B46" s="900" t="s">
        <v>3892</v>
      </c>
    </row>
    <row r="47" spans="1:38">
      <c r="A47" s="900" t="s">
        <v>3893</v>
      </c>
      <c r="B47" s="900" t="s">
        <v>3893</v>
      </c>
    </row>
    <row r="48" spans="1:38">
      <c r="A48" s="900" t="s">
        <v>3894</v>
      </c>
      <c r="B48" s="900" t="s">
        <v>3894</v>
      </c>
      <c r="C48" s="900">
        <v>1</v>
      </c>
      <c r="D48" s="900" t="s">
        <v>3967</v>
      </c>
      <c r="E48" s="900" t="s">
        <v>2256</v>
      </c>
      <c r="F48" s="900" t="s">
        <v>2256</v>
      </c>
      <c r="G48" s="900" t="s">
        <v>2256</v>
      </c>
      <c r="H48" s="900" t="s">
        <v>2256</v>
      </c>
      <c r="I48" s="900" t="s">
        <v>2256</v>
      </c>
      <c r="J48" s="900" t="s">
        <v>3055</v>
      </c>
      <c r="K48" s="900" t="s">
        <v>899</v>
      </c>
      <c r="L48" s="900" t="s">
        <v>899</v>
      </c>
      <c r="M48" s="900" t="s">
        <v>2057</v>
      </c>
      <c r="N48" s="900" t="s">
        <v>2343</v>
      </c>
      <c r="O48" s="900" t="s">
        <v>902</v>
      </c>
      <c r="P48" s="900">
        <v>4</v>
      </c>
      <c r="Q48" s="900" t="s">
        <v>1665</v>
      </c>
      <c r="R48" s="900" t="s">
        <v>899</v>
      </c>
      <c r="S48" s="900">
        <v>0.1</v>
      </c>
      <c r="T48" s="900">
        <v>0.05</v>
      </c>
      <c r="U48" s="900" t="s">
        <v>899</v>
      </c>
      <c r="V48" s="900">
        <v>0.75</v>
      </c>
      <c r="W48" s="900" t="s">
        <v>1284</v>
      </c>
      <c r="X48" s="900" t="s">
        <v>1665</v>
      </c>
      <c r="Y48" s="900" t="s">
        <v>1665</v>
      </c>
      <c r="Z48" s="900" t="s">
        <v>1665</v>
      </c>
      <c r="AA48" s="900" t="s">
        <v>1665</v>
      </c>
      <c r="AB48" s="900" t="s">
        <v>1665</v>
      </c>
      <c r="AC48" s="900" t="s">
        <v>1665</v>
      </c>
      <c r="AD48" s="900" t="s">
        <v>2260</v>
      </c>
      <c r="AE48" s="900" t="s">
        <v>2260</v>
      </c>
      <c r="AF48" s="900" t="s">
        <v>2260</v>
      </c>
      <c r="AG48" s="900">
        <v>0.35</v>
      </c>
      <c r="AH48" s="900">
        <v>0.3</v>
      </c>
      <c r="AI48" s="900">
        <v>0.1</v>
      </c>
      <c r="AJ48" s="900">
        <v>0.15</v>
      </c>
      <c r="AK48" s="900">
        <v>0.1</v>
      </c>
      <c r="AL48" s="900">
        <v>2</v>
      </c>
    </row>
    <row r="49" spans="1:38">
      <c r="A49" s="900" t="s">
        <v>3836</v>
      </c>
      <c r="B49" s="900" t="s">
        <v>3825</v>
      </c>
    </row>
    <row r="50" spans="1:38">
      <c r="A50" s="900" t="s">
        <v>3968</v>
      </c>
      <c r="B50" s="900" t="s">
        <v>3969</v>
      </c>
      <c r="C50" s="900">
        <v>1</v>
      </c>
      <c r="D50" s="900" t="s">
        <v>593</v>
      </c>
      <c r="E50" s="900" t="s">
        <v>2256</v>
      </c>
      <c r="F50" s="900" t="s">
        <v>2256</v>
      </c>
      <c r="G50" s="900" t="s">
        <v>2256</v>
      </c>
      <c r="H50" s="900" t="s">
        <v>2256</v>
      </c>
      <c r="I50" s="900" t="s">
        <v>2256</v>
      </c>
      <c r="J50" s="900" t="s">
        <v>3055</v>
      </c>
      <c r="K50" s="900" t="s">
        <v>901</v>
      </c>
      <c r="L50" s="900" t="s">
        <v>901</v>
      </c>
      <c r="M50" s="900" t="s">
        <v>2057</v>
      </c>
      <c r="N50" s="900" t="s">
        <v>2343</v>
      </c>
      <c r="O50" s="900" t="s">
        <v>902</v>
      </c>
      <c r="P50" s="900">
        <v>2</v>
      </c>
      <c r="Q50" s="900" t="s">
        <v>591</v>
      </c>
      <c r="R50" s="900" t="s">
        <v>900</v>
      </c>
      <c r="S50" s="900">
        <v>0.05</v>
      </c>
      <c r="T50" s="900">
        <v>0.05</v>
      </c>
      <c r="U50" s="900" t="s">
        <v>900</v>
      </c>
      <c r="V50" s="900">
        <v>0.5</v>
      </c>
      <c r="W50" s="900" t="s">
        <v>902</v>
      </c>
      <c r="Y50" s="900">
        <v>1</v>
      </c>
      <c r="Z50" s="900">
        <v>0.5</v>
      </c>
      <c r="AA50" s="900">
        <v>0.5</v>
      </c>
      <c r="AB50" s="900" t="s">
        <v>1665</v>
      </c>
      <c r="AC50" s="900" t="s">
        <v>899</v>
      </c>
      <c r="AD50" s="900" t="s">
        <v>2260</v>
      </c>
      <c r="AE50" s="900" t="s">
        <v>2260</v>
      </c>
      <c r="AF50" s="900" t="s">
        <v>2260</v>
      </c>
      <c r="AG50" s="900">
        <v>0.15</v>
      </c>
      <c r="AH50" s="900">
        <v>0.36</v>
      </c>
      <c r="AI50" s="900">
        <v>0.25</v>
      </c>
      <c r="AJ50" s="900">
        <v>0.12</v>
      </c>
      <c r="AK50" s="900">
        <v>0.12</v>
      </c>
      <c r="AL50" s="900">
        <v>2</v>
      </c>
    </row>
    <row r="652" spans="14:27">
      <c r="N652" s="901"/>
      <c r="O652" s="901"/>
      <c r="P652" s="901"/>
      <c r="Q652" s="901"/>
      <c r="R652" s="901"/>
      <c r="S652" s="901"/>
      <c r="T652" s="901"/>
      <c r="U652" s="901"/>
      <c r="V652" s="901"/>
      <c r="W652" s="901"/>
      <c r="X652" s="901"/>
      <c r="Y652" s="901"/>
      <c r="Z652" s="901"/>
      <c r="AA652" s="901"/>
    </row>
    <row r="653" spans="14:27">
      <c r="N653" s="902"/>
      <c r="O653" s="902"/>
      <c r="P653" s="902"/>
      <c r="Q653" s="902"/>
      <c r="R653" s="902"/>
      <c r="S653" s="902"/>
      <c r="T653" s="902"/>
      <c r="U653" s="902"/>
      <c r="V653" s="902"/>
      <c r="W653" s="902"/>
      <c r="X653" s="902"/>
      <c r="Y653" s="902"/>
      <c r="Z653" s="902"/>
      <c r="AA653" s="902"/>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1" tint="0.499984740745262"/>
  </sheetPr>
  <dimension ref="A1:P60"/>
  <sheetViews>
    <sheetView workbookViewId="0">
      <selection activeCell="F15" sqref="F15"/>
    </sheetView>
  </sheetViews>
  <sheetFormatPr defaultColWidth="8.81640625" defaultRowHeight="20.100000000000001" customHeight="1"/>
  <cols>
    <col min="1" max="1" width="1.36328125" style="920" customWidth="1"/>
    <col min="2" max="2" width="19.453125" style="920" customWidth="1"/>
    <col min="3" max="3" width="3" style="920" customWidth="1"/>
    <col min="4" max="4" width="33.453125" style="930" customWidth="1"/>
    <col min="5" max="5" width="3" style="920" customWidth="1"/>
    <col min="6" max="15" width="17.81640625" style="923" customWidth="1"/>
    <col min="16" max="16384" width="8.81640625" style="920"/>
  </cols>
  <sheetData>
    <row r="1" spans="1:16" s="904" customFormat="1" ht="13.8">
      <c r="A1" s="903" t="s">
        <v>3826</v>
      </c>
      <c r="F1" s="904" t="b">
        <f>SimpleCSVNumofTeams&gt;0</f>
        <v>1</v>
      </c>
      <c r="G1" s="904" t="b">
        <f>SimpleCSVNumofTeams&gt;1</f>
        <v>1</v>
      </c>
      <c r="H1" s="904" t="b">
        <f>SimpleCSVNumofTeams&gt;2</f>
        <v>1</v>
      </c>
      <c r="I1" s="904" t="b">
        <f>SimpleCSVNumofTeams&gt;3</f>
        <v>1</v>
      </c>
      <c r="J1" s="904" t="b">
        <f>SimpleCSVNumofTeams&gt;4</f>
        <v>1</v>
      </c>
      <c r="K1" s="904" t="b">
        <f>SimpleCSVNumofTeams&gt;5</f>
        <v>1</v>
      </c>
      <c r="L1" s="904" t="b">
        <f>SimpleCSVNumofTeams&gt;6</f>
        <v>0</v>
      </c>
      <c r="M1" s="904" t="b">
        <f>SimpleCSVNumofTeams&gt;7</f>
        <v>0</v>
      </c>
      <c r="N1" s="904" t="b">
        <f>SimpleCSVNumofTeams&gt;8</f>
        <v>0</v>
      </c>
      <c r="O1" s="904" t="b">
        <f>SimpleCSVNumofTeams&gt;9</f>
        <v>0</v>
      </c>
      <c r="P1" s="904" t="s">
        <v>3827</v>
      </c>
    </row>
    <row r="2" spans="1:16" s="870" customFormat="1" ht="13.8">
      <c r="C2" s="871"/>
      <c r="D2" s="871"/>
      <c r="E2" s="871"/>
      <c r="F2" s="871"/>
      <c r="G2" s="871"/>
      <c r="I2" s="871"/>
      <c r="J2" s="871"/>
      <c r="K2" s="871"/>
      <c r="L2" s="871"/>
      <c r="M2" s="871"/>
      <c r="N2" s="871"/>
      <c r="O2" s="871"/>
    </row>
    <row r="3" spans="1:16" s="870" customFormat="1" ht="13.8">
      <c r="B3" s="872" t="s">
        <v>390</v>
      </c>
      <c r="D3" s="873" t="s">
        <v>522</v>
      </c>
      <c r="F3" s="873"/>
      <c r="G3" s="874"/>
      <c r="I3" s="874"/>
      <c r="J3" s="874"/>
      <c r="K3" s="874"/>
      <c r="L3" s="874"/>
      <c r="M3" s="874"/>
      <c r="N3" s="874"/>
      <c r="O3" s="874"/>
    </row>
    <row r="4" spans="1:16" s="870" customFormat="1" ht="13.8"/>
    <row r="5" spans="1:16" s="906" customFormat="1" ht="13.8">
      <c r="A5" s="905"/>
      <c r="B5" s="906" t="s">
        <v>388</v>
      </c>
      <c r="G5" s="907"/>
      <c r="H5" s="907"/>
      <c r="I5" s="907"/>
      <c r="J5" s="907"/>
      <c r="K5" s="907"/>
      <c r="L5" s="907"/>
      <c r="M5" s="907"/>
      <c r="N5" s="907"/>
      <c r="O5" s="907"/>
    </row>
    <row r="6" spans="1:16" s="870" customFormat="1" ht="13.8"/>
    <row r="7" spans="1:16" s="870" customFormat="1" ht="13.8">
      <c r="B7" s="908" t="s">
        <v>523</v>
      </c>
      <c r="C7" s="908"/>
      <c r="E7" s="908"/>
      <c r="F7" s="909" t="s">
        <v>525</v>
      </c>
    </row>
    <row r="8" spans="1:16" s="915" customFormat="1" ht="13.8">
      <c r="A8" s="870"/>
      <c r="B8" s="910"/>
      <c r="C8" s="911" t="s">
        <v>524</v>
      </c>
      <c r="D8" s="912"/>
      <c r="E8" s="870"/>
      <c r="F8" s="913"/>
      <c r="G8" s="914" t="s">
        <v>527</v>
      </c>
    </row>
    <row r="9" spans="1:16" s="870" customFormat="1" ht="13.8">
      <c r="B9" s="916"/>
      <c r="C9" s="911" t="s">
        <v>386</v>
      </c>
    </row>
    <row r="10" spans="1:16" s="870" customFormat="1" ht="13.8">
      <c r="B10" s="917"/>
      <c r="C10" s="911" t="s">
        <v>3751</v>
      </c>
      <c r="F10" s="932" t="s">
        <v>3837</v>
      </c>
      <c r="G10" s="908" t="s">
        <v>3838</v>
      </c>
    </row>
    <row r="11" spans="1:16" s="870" customFormat="1" ht="13.8">
      <c r="C11" s="912"/>
    </row>
    <row r="12" spans="1:16" s="918" customFormat="1" ht="20.100000000000001" customHeight="1">
      <c r="B12" s="919" t="s">
        <v>125</v>
      </c>
      <c r="C12" s="919"/>
      <c r="D12" s="919"/>
      <c r="F12" s="919" t="s">
        <v>3828</v>
      </c>
      <c r="G12" s="919"/>
      <c r="J12" s="919"/>
      <c r="M12" s="919"/>
    </row>
    <row r="14" spans="1:16" ht="20.100000000000001" customHeight="1">
      <c r="B14" s="921" t="s">
        <v>3829</v>
      </c>
      <c r="D14" s="922" t="s">
        <v>3830</v>
      </c>
      <c r="F14" s="922" t="s">
        <v>8</v>
      </c>
      <c r="G14" s="922" t="s">
        <v>9</v>
      </c>
      <c r="H14" s="922" t="s">
        <v>10</v>
      </c>
      <c r="I14" s="922" t="s">
        <v>11</v>
      </c>
      <c r="J14" s="922" t="s">
        <v>12</v>
      </c>
      <c r="K14" s="922" t="s">
        <v>595</v>
      </c>
      <c r="L14" s="922" t="s">
        <v>596</v>
      </c>
      <c r="M14" s="922" t="s">
        <v>597</v>
      </c>
      <c r="N14" s="922" t="s">
        <v>598</v>
      </c>
      <c r="O14" s="922" t="s">
        <v>599</v>
      </c>
    </row>
    <row r="15" spans="1:16" ht="20.100000000000001" customHeight="1">
      <c r="B15" s="920" t="s">
        <v>3831</v>
      </c>
      <c r="D15" s="923"/>
      <c r="F15" s="931" t="str">
        <f t="shared" ref="F15:O15" si="0">xxPreName&amp;F17</f>
        <v>sfdcma1</v>
      </c>
      <c r="G15" s="931" t="str">
        <f t="shared" si="0"/>
        <v>sfdcma2</v>
      </c>
      <c r="H15" s="931" t="str">
        <f t="shared" si="0"/>
        <v>sfdcma3</v>
      </c>
      <c r="I15" s="931" t="str">
        <f t="shared" si="0"/>
        <v>sfdcma4</v>
      </c>
      <c r="J15" s="931" t="str">
        <f t="shared" si="0"/>
        <v>sfdcma5</v>
      </c>
      <c r="K15" s="931" t="str">
        <f t="shared" si="0"/>
        <v>sfdcma6</v>
      </c>
      <c r="L15" s="931" t="str">
        <f t="shared" si="0"/>
        <v>sfdcma7</v>
      </c>
      <c r="M15" s="931" t="str">
        <f t="shared" si="0"/>
        <v>sfdcma8</v>
      </c>
      <c r="N15" s="931" t="str">
        <f t="shared" si="0"/>
        <v>sfdcma9</v>
      </c>
      <c r="O15" s="931" t="str">
        <f t="shared" si="0"/>
        <v>sfdcma10</v>
      </c>
      <c r="P15" s="920" t="s">
        <v>3832</v>
      </c>
    </row>
    <row r="16" spans="1:16" ht="20.100000000000001" customHeight="1">
      <c r="B16" s="920" t="s">
        <v>3834</v>
      </c>
      <c r="D16" s="936" t="s">
        <v>3869</v>
      </c>
      <c r="F16" s="924" t="str">
        <f>INDEX(SimpleCSV_Import!$A$1:$AK$500,MATCH(SimpleCSV_Data!F$15,SimpleCSV_Import!$A:$A,0),MATCH(SimpleCSV_Data!$D16,SimpleCSV_Import!$1:$1,0))</f>
        <v>Snowflake</v>
      </c>
      <c r="G16" s="924" t="str">
        <f>INDEX(SimpleCSV_Import!$A$1:$AK$500,MATCH(SimpleCSV_Data!G$15,SimpleCSV_Import!$A:$A,0),MATCH(SimpleCSV_Data!$D16,SimpleCSV_Import!$1:$1,0))</f>
        <v>SF Team2</v>
      </c>
      <c r="H16" s="924" t="str">
        <f>INDEX(SimpleCSV_Import!$A$1:$AK$500,MATCH(SimpleCSV_Data!H$15,SimpleCSV_Import!$A:$A,0),MATCH(SimpleCSV_Data!$D16,SimpleCSV_Import!$1:$1,0))</f>
        <v>BrettMichaels</v>
      </c>
      <c r="I16" s="924" t="str">
        <f>INDEX(SimpleCSV_Import!$A$1:$AK$500,MATCH(SimpleCSV_Data!I$15,SimpleCSV_Import!$A:$A,0),MATCH(SimpleCSV_Data!$D16,SimpleCSV_Import!$1:$1,0))</f>
        <v>Snowflake</v>
      </c>
      <c r="J16" s="924" t="str">
        <f>INDEX(SimpleCSV_Import!$A$1:$AK$500,MATCH(SimpleCSV_Data!J$15,SimpleCSV_Import!$A:$A,0),MATCH(SimpleCSV_Data!$D16,SimpleCSV_Import!$1:$1,0))</f>
        <v>GTMTest</v>
      </c>
      <c r="K16" s="924" t="str">
        <f>INDEX(SimpleCSV_Import!$A$1:$AK$500,MATCH(SimpleCSV_Data!K$15,SimpleCSV_Import!$A:$A,0),MATCH(SimpleCSV_Data!$D16,SimpleCSV_Import!$1:$1,0))</f>
        <v>Snowflake</v>
      </c>
      <c r="L16" s="924" t="str">
        <f>INDEX(SimpleCSV_Import!$A$1:$AK$500,MATCH(SimpleCSV_Data!L$15,SimpleCSV_Import!$A:$A,0),MATCH(SimpleCSV_Data!$D16,SimpleCSV_Import!$1:$1,0))</f>
        <v>Snowflake</v>
      </c>
      <c r="M16" s="924" t="str">
        <f>INDEX(SimpleCSV_Import!$A$1:$AK$500,MATCH(SimpleCSV_Data!M$15,SimpleCSV_Import!$A:$A,0),MATCH(SimpleCSV_Data!$D16,SimpleCSV_Import!$1:$1,0))</f>
        <v>Snowflake</v>
      </c>
      <c r="N16" s="924">
        <f>INDEX(SimpleCSV_Import!$A$1:$AK$500,MATCH(SimpleCSV_Data!N$15,SimpleCSV_Import!$A:$A,0),MATCH(SimpleCSV_Data!$D16,SimpleCSV_Import!$1:$1,0))</f>
        <v>0</v>
      </c>
      <c r="O16" s="924" t="str">
        <f>INDEX(SimpleCSV_Import!$A$1:$AK$500,MATCH(SimpleCSV_Data!O$15,SimpleCSV_Import!$A:$A,0),MATCH(SimpleCSV_Data!$D16,SimpleCSV_Import!$1:$1,0))</f>
        <v>Snowflake</v>
      </c>
      <c r="P16" s="920" t="str">
        <f>"SimpleCSVR1"&amp;B16</f>
        <v>SimpleCSVR1TeamName</v>
      </c>
    </row>
    <row r="17" spans="2:16" ht="20.100000000000001" customHeight="1">
      <c r="B17" s="920" t="s">
        <v>3833</v>
      </c>
      <c r="D17" s="936" t="s">
        <v>3868</v>
      </c>
      <c r="F17" s="925">
        <v>1</v>
      </c>
      <c r="G17" s="925">
        <v>2</v>
      </c>
      <c r="H17" s="925">
        <v>3</v>
      </c>
      <c r="I17" s="925">
        <v>4</v>
      </c>
      <c r="J17" s="925">
        <v>5</v>
      </c>
      <c r="K17" s="925">
        <v>6</v>
      </c>
      <c r="L17" s="925">
        <v>7</v>
      </c>
      <c r="M17" s="925">
        <v>8</v>
      </c>
      <c r="N17" s="925">
        <v>9</v>
      </c>
      <c r="O17" s="925">
        <v>10</v>
      </c>
    </row>
    <row r="18" spans="2:16" ht="20.100000000000001" customHeight="1">
      <c r="B18" s="938" t="s">
        <v>43</v>
      </c>
      <c r="C18" s="920">
        <v>1</v>
      </c>
      <c r="D18" s="940" t="s">
        <v>3814</v>
      </c>
      <c r="F18" s="924">
        <f>$C18</f>
        <v>1</v>
      </c>
      <c r="G18" s="924">
        <f t="shared" ref="G18:O18" si="1">$C18</f>
        <v>1</v>
      </c>
      <c r="H18" s="924">
        <f t="shared" si="1"/>
        <v>1</v>
      </c>
      <c r="I18" s="924">
        <f t="shared" si="1"/>
        <v>1</v>
      </c>
      <c r="J18" s="924">
        <f t="shared" si="1"/>
        <v>1</v>
      </c>
      <c r="K18" s="924">
        <f t="shared" si="1"/>
        <v>1</v>
      </c>
      <c r="L18" s="924">
        <f t="shared" si="1"/>
        <v>1</v>
      </c>
      <c r="M18" s="924">
        <f t="shared" si="1"/>
        <v>1</v>
      </c>
      <c r="N18" s="924">
        <f t="shared" si="1"/>
        <v>1</v>
      </c>
      <c r="O18" s="924">
        <f t="shared" si="1"/>
        <v>1</v>
      </c>
    </row>
    <row r="19" spans="2:16" ht="20.100000000000001" customHeight="1">
      <c r="B19" s="938"/>
      <c r="D19" s="940"/>
      <c r="F19" s="924"/>
      <c r="G19" s="924"/>
      <c r="H19" s="924"/>
      <c r="I19" s="924"/>
      <c r="J19" s="924"/>
      <c r="K19" s="924"/>
      <c r="L19" s="924"/>
      <c r="M19" s="924"/>
      <c r="N19" s="924"/>
      <c r="O19" s="924"/>
    </row>
    <row r="20" spans="2:16" s="928" customFormat="1" ht="20.100000000000001" customHeight="1">
      <c r="B20" s="927"/>
      <c r="D20" s="929"/>
      <c r="F20" s="929"/>
      <c r="G20" s="929"/>
      <c r="H20" s="929"/>
      <c r="I20" s="929"/>
      <c r="J20" s="929"/>
      <c r="K20" s="929"/>
      <c r="L20" s="929"/>
      <c r="M20" s="929"/>
      <c r="N20" s="929"/>
      <c r="O20" s="929"/>
    </row>
    <row r="21" spans="2:16" ht="20.100000000000001" customHeight="1">
      <c r="B21" s="899" t="s">
        <v>3839</v>
      </c>
      <c r="D21" s="926" t="s">
        <v>3875</v>
      </c>
      <c r="F21" s="924" t="str">
        <f>INDEX(SimpleCSV_Import!$A$1:$AK$500,MATCH(SimpleCSV_Data!F$15,SimpleCSV_Import!$A:$A,0),MATCH(SimpleCSV_Data!$D21,SimpleCSV_Import!$1:$1,0))</f>
        <v>Write your vision statement here.</v>
      </c>
      <c r="G21" s="924" t="str">
        <f>INDEX(SimpleCSV_Import!$A$1:$AK$500,MATCH(SimpleCSV_Data!G$15,SimpleCSV_Import!$A:$A,0),MATCH(SimpleCSV_Data!$D21,SimpleCSV_Import!$1:$1,0))</f>
        <v>Write your vision statement here.</v>
      </c>
      <c r="H21" s="924" t="str">
        <f>INDEX(SimpleCSV_Import!$A$1:$AK$500,MATCH(SimpleCSV_Data!H$15,SimpleCSV_Import!$A:$A,0),MATCH(SimpleCSV_Data!$D21,SimpleCSV_Import!$1:$1,0))</f>
        <v>paeiwoia</v>
      </c>
      <c r="I21" s="924" t="str">
        <f>INDEX(SimpleCSV_Import!$A$1:$AK$500,MATCH(SimpleCSV_Data!I$15,SimpleCSV_Import!$A:$A,0),MATCH(SimpleCSV_Data!$D21,SimpleCSV_Import!$1:$1,0))</f>
        <v>Write your vision statement here.</v>
      </c>
      <c r="J21" s="924" t="str">
        <f>INDEX(SimpleCSV_Import!$A$1:$AK$500,MATCH(SimpleCSV_Data!J$15,SimpleCSV_Import!$A:$A,0),MATCH(SimpleCSV_Data!$D21,SimpleCSV_Import!$1:$1,0))</f>
        <v>Write your vision statement here.</v>
      </c>
      <c r="K21" s="924" t="str">
        <f>INDEX(SimpleCSV_Import!$A$1:$AK$500,MATCH(SimpleCSV_Data!K$15,SimpleCSV_Import!$A:$A,0),MATCH(SimpleCSV_Data!$D21,SimpleCSV_Import!$1:$1,0))</f>
        <v>Write your vision statement here.</v>
      </c>
      <c r="L21" s="924" t="str">
        <f>INDEX(SimpleCSV_Import!$A$1:$AK$500,MATCH(SimpleCSV_Data!L$15,SimpleCSV_Import!$A:$A,0),MATCH(SimpleCSV_Data!$D21,SimpleCSV_Import!$1:$1,0))</f>
        <v>Write your vision statement here.</v>
      </c>
      <c r="M21" s="924" t="str">
        <f>INDEX(SimpleCSV_Import!$A$1:$AK$500,MATCH(SimpleCSV_Data!M$15,SimpleCSV_Import!$A:$A,0),MATCH(SimpleCSV_Data!$D21,SimpleCSV_Import!$1:$1,0))</f>
        <v>Write your vision statement here.</v>
      </c>
      <c r="N21" s="924">
        <f>INDEX(SimpleCSV_Import!$A$1:$AK$500,MATCH(SimpleCSV_Data!N$15,SimpleCSV_Import!$A:$A,0),MATCH(SimpleCSV_Data!$D21,SimpleCSV_Import!$1:$1,0))</f>
        <v>0</v>
      </c>
      <c r="O21" s="924" t="str">
        <f>INDEX(SimpleCSV_Import!$A$1:$AK$500,MATCH(SimpleCSV_Data!O$15,SimpleCSV_Import!$A:$A,0),MATCH(SimpleCSV_Data!$D21,SimpleCSV_Import!$1:$1,0))</f>
        <v>Write your vision statement here.</v>
      </c>
      <c r="P21" s="920" t="str">
        <f t="shared" ref="P21:P46" si="2">"SimpleCSVR1"&amp;B21</f>
        <v>SimpleCSVR1VisionStatement</v>
      </c>
    </row>
    <row r="22" spans="2:16" ht="20.100000000000001" customHeight="1">
      <c r="B22" s="899" t="s">
        <v>3840</v>
      </c>
      <c r="D22" s="926" t="s">
        <v>3800</v>
      </c>
      <c r="F22" s="924">
        <f>INDEX(SimpleCSV_Import!$A$1:$AK$500,MATCH(SimpleCSV_Data!F$15,SimpleCSV_Import!$A:$A,0),MATCH(SimpleCSV_Data!$D22,SimpleCSV_Import!$1:$1,0))</f>
        <v>0.2</v>
      </c>
      <c r="G22" s="924">
        <f>INDEX(SimpleCSV_Import!$A$1:$AK$500,MATCH(SimpleCSV_Data!G$15,SimpleCSV_Import!$A:$A,0),MATCH(SimpleCSV_Data!$D22,SimpleCSV_Import!$1:$1,0))</f>
        <v>0.24</v>
      </c>
      <c r="H22" s="924">
        <f>INDEX(SimpleCSV_Import!$A$1:$AK$500,MATCH(SimpleCSV_Data!H$15,SimpleCSV_Import!$A:$A,0),MATCH(SimpleCSV_Data!$D22,SimpleCSV_Import!$1:$1,0))</f>
        <v>0.3</v>
      </c>
      <c r="I22" s="924">
        <f>INDEX(SimpleCSV_Import!$A$1:$AK$500,MATCH(SimpleCSV_Data!I$15,SimpleCSV_Import!$A:$A,0),MATCH(SimpleCSV_Data!$D22,SimpleCSV_Import!$1:$1,0))</f>
        <v>0.2</v>
      </c>
      <c r="J22" s="924">
        <f>INDEX(SimpleCSV_Import!$A$1:$AK$500,MATCH(SimpleCSV_Data!J$15,SimpleCSV_Import!$A:$A,0),MATCH(SimpleCSV_Data!$D22,SimpleCSV_Import!$1:$1,0))</f>
        <v>0.2</v>
      </c>
      <c r="K22" s="924">
        <f>INDEX(SimpleCSV_Import!$A$1:$AK$500,MATCH(SimpleCSV_Data!K$15,SimpleCSV_Import!$A:$A,0),MATCH(SimpleCSV_Data!$D22,SimpleCSV_Import!$1:$1,0))</f>
        <v>0.2</v>
      </c>
      <c r="L22" s="924">
        <f>INDEX(SimpleCSV_Import!$A$1:$AK$500,MATCH(SimpleCSV_Data!L$15,SimpleCSV_Import!$A:$A,0),MATCH(SimpleCSV_Data!$D22,SimpleCSV_Import!$1:$1,0))</f>
        <v>0.1</v>
      </c>
      <c r="M22" s="924">
        <f>INDEX(SimpleCSV_Import!$A$1:$AK$500,MATCH(SimpleCSV_Data!M$15,SimpleCSV_Import!$A:$A,0),MATCH(SimpleCSV_Data!$D22,SimpleCSV_Import!$1:$1,0))</f>
        <v>0.2</v>
      </c>
      <c r="N22" s="924">
        <f>INDEX(SimpleCSV_Import!$A$1:$AK$500,MATCH(SimpleCSV_Data!N$15,SimpleCSV_Import!$A:$A,0),MATCH(SimpleCSV_Data!$D22,SimpleCSV_Import!$1:$1,0))</f>
        <v>0</v>
      </c>
      <c r="O22" s="924">
        <f>INDEX(SimpleCSV_Import!$A$1:$AK$500,MATCH(SimpleCSV_Data!O$15,SimpleCSV_Import!$A:$A,0),MATCH(SimpleCSV_Data!$D22,SimpleCSV_Import!$1:$1,0))</f>
        <v>0.15</v>
      </c>
      <c r="P22" s="920" t="str">
        <f t="shared" si="2"/>
        <v>SimpleCSVR1ValuePercentageRevGrowth</v>
      </c>
    </row>
    <row r="23" spans="2:16" ht="20.100000000000001" customHeight="1">
      <c r="B23" s="899" t="s">
        <v>3845</v>
      </c>
      <c r="D23" s="926" t="s">
        <v>3801</v>
      </c>
      <c r="F23" s="924" t="str">
        <f>INDEX(SimpleCSV_Import!$A$1:$AK$500,MATCH(SimpleCSV_Data!F$15,SimpleCSV_Import!$A:$A,0),MATCH(SimpleCSV_Data!$D23,SimpleCSV_Import!$1:$1,0))</f>
        <v>Insert rationale.</v>
      </c>
      <c r="G23" s="924" t="str">
        <f>INDEX(SimpleCSV_Import!$A$1:$AK$500,MATCH(SimpleCSV_Data!G$15,SimpleCSV_Import!$A:$A,0),MATCH(SimpleCSV_Data!$D23,SimpleCSV_Import!$1:$1,0))</f>
        <v>Insert rationale.</v>
      </c>
      <c r="H23" s="924" t="str">
        <f>INDEX(SimpleCSV_Import!$A$1:$AK$500,MATCH(SimpleCSV_Data!H$15,SimpleCSV_Import!$A:$A,0),MATCH(SimpleCSV_Data!$D23,SimpleCSV_Import!$1:$1,0))</f>
        <v>sjdlsavreaoirs</v>
      </c>
      <c r="I23" s="924" t="str">
        <f>INDEX(SimpleCSV_Import!$A$1:$AK$500,MATCH(SimpleCSV_Data!I$15,SimpleCSV_Import!$A:$A,0),MATCH(SimpleCSV_Data!$D23,SimpleCSV_Import!$1:$1,0))</f>
        <v>Insert rationale.</v>
      </c>
      <c r="J23" s="924" t="str">
        <f>INDEX(SimpleCSV_Import!$A$1:$AK$500,MATCH(SimpleCSV_Data!J$15,SimpleCSV_Import!$A:$A,0),MATCH(SimpleCSV_Data!$D23,SimpleCSV_Import!$1:$1,0))</f>
        <v>Insert rationale.</v>
      </c>
      <c r="K23" s="924" t="str">
        <f>INDEX(SimpleCSV_Import!$A$1:$AK$500,MATCH(SimpleCSV_Data!K$15,SimpleCSV_Import!$A:$A,0),MATCH(SimpleCSV_Data!$D23,SimpleCSV_Import!$1:$1,0))</f>
        <v>Insert rationale.</v>
      </c>
      <c r="L23" s="924" t="str">
        <f>INDEX(SimpleCSV_Import!$A$1:$AK$500,MATCH(SimpleCSV_Data!L$15,SimpleCSV_Import!$A:$A,0),MATCH(SimpleCSV_Data!$D23,SimpleCSV_Import!$1:$1,0))</f>
        <v>Insert rationale.</v>
      </c>
      <c r="M23" s="924" t="str">
        <f>INDEX(SimpleCSV_Import!$A$1:$AK$500,MATCH(SimpleCSV_Data!M$15,SimpleCSV_Import!$A:$A,0),MATCH(SimpleCSV_Data!$D23,SimpleCSV_Import!$1:$1,0))</f>
        <v>Insert rationale.</v>
      </c>
      <c r="N23" s="924">
        <f>INDEX(SimpleCSV_Import!$A$1:$AK$500,MATCH(SimpleCSV_Data!N$15,SimpleCSV_Import!$A:$A,0),MATCH(SimpleCSV_Data!$D23,SimpleCSV_Import!$1:$1,0))</f>
        <v>0</v>
      </c>
      <c r="O23" s="924" t="str">
        <f>INDEX(SimpleCSV_Import!$A$1:$AK$500,MATCH(SimpleCSV_Data!O$15,SimpleCSV_Import!$A:$A,0),MATCH(SimpleCSV_Data!$D23,SimpleCSV_Import!$1:$1,0))</f>
        <v>Insert rationale.</v>
      </c>
      <c r="P23" s="920" t="str">
        <f>"SimpleCSVR1"&amp;B23</f>
        <v>SimpleCSVR1ValueRationaleRevGrowth</v>
      </c>
    </row>
    <row r="24" spans="2:16" ht="20.100000000000001" customHeight="1">
      <c r="B24" s="899" t="s">
        <v>3841</v>
      </c>
      <c r="D24" s="936" t="s">
        <v>3802</v>
      </c>
      <c r="F24" s="924">
        <f>INDEX(SimpleCSV_Import!$A$1:$AK$500,MATCH(SimpleCSV_Data!F$15,SimpleCSV_Import!$A:$A,0),MATCH(SimpleCSV_Data!$D24,SimpleCSV_Import!$1:$1,0))</f>
        <v>0.2</v>
      </c>
      <c r="G24" s="924">
        <f>INDEX(SimpleCSV_Import!$A$1:$AK$500,MATCH(SimpleCSV_Data!G$15,SimpleCSV_Import!$A:$A,0),MATCH(SimpleCSV_Data!$D24,SimpleCSV_Import!$1:$1,0))</f>
        <v>0.17</v>
      </c>
      <c r="H24" s="924">
        <f>INDEX(SimpleCSV_Import!$A$1:$AK$500,MATCH(SimpleCSV_Data!H$15,SimpleCSV_Import!$A:$A,0),MATCH(SimpleCSV_Data!$D24,SimpleCSV_Import!$1:$1,0))</f>
        <v>0.25</v>
      </c>
      <c r="I24" s="924">
        <f>INDEX(SimpleCSV_Import!$A$1:$AK$500,MATCH(SimpleCSV_Data!I$15,SimpleCSV_Import!$A:$A,0),MATCH(SimpleCSV_Data!$D24,SimpleCSV_Import!$1:$1,0))</f>
        <v>0.2</v>
      </c>
      <c r="J24" s="924">
        <f>INDEX(SimpleCSV_Import!$A$1:$AK$500,MATCH(SimpleCSV_Data!J$15,SimpleCSV_Import!$A:$A,0),MATCH(SimpleCSV_Data!$D24,SimpleCSV_Import!$1:$1,0))</f>
        <v>0.2</v>
      </c>
      <c r="K24" s="924">
        <f>INDEX(SimpleCSV_Import!$A$1:$AK$500,MATCH(SimpleCSV_Data!K$15,SimpleCSV_Import!$A:$A,0),MATCH(SimpleCSV_Data!$D24,SimpleCSV_Import!$1:$1,0))</f>
        <v>0.2</v>
      </c>
      <c r="L24" s="924">
        <f>INDEX(SimpleCSV_Import!$A$1:$AK$500,MATCH(SimpleCSV_Data!L$15,SimpleCSV_Import!$A:$A,0),MATCH(SimpleCSV_Data!$D24,SimpleCSV_Import!$1:$1,0))</f>
        <v>0.31</v>
      </c>
      <c r="M24" s="924">
        <f>INDEX(SimpleCSV_Import!$A$1:$AK$500,MATCH(SimpleCSV_Data!M$15,SimpleCSV_Import!$A:$A,0),MATCH(SimpleCSV_Data!$D24,SimpleCSV_Import!$1:$1,0))</f>
        <v>0.2</v>
      </c>
      <c r="N24" s="924">
        <f>INDEX(SimpleCSV_Import!$A$1:$AK$500,MATCH(SimpleCSV_Data!N$15,SimpleCSV_Import!$A:$A,0),MATCH(SimpleCSV_Data!$D24,SimpleCSV_Import!$1:$1,0))</f>
        <v>0</v>
      </c>
      <c r="O24" s="924">
        <f>INDEX(SimpleCSV_Import!$A$1:$AK$500,MATCH(SimpleCSV_Data!O$15,SimpleCSV_Import!$A:$A,0),MATCH(SimpleCSV_Data!$D24,SimpleCSV_Import!$1:$1,0))</f>
        <v>0.36</v>
      </c>
      <c r="P24" s="920" t="str">
        <f t="shared" si="2"/>
        <v>SimpleCSVR1ValuePercentageCSAT</v>
      </c>
    </row>
    <row r="25" spans="2:16" ht="20.100000000000001" customHeight="1">
      <c r="B25" s="899" t="s">
        <v>3846</v>
      </c>
      <c r="D25" s="936" t="s">
        <v>3803</v>
      </c>
      <c r="F25" s="924" t="str">
        <f>INDEX(SimpleCSV_Import!$A$1:$AK$500,MATCH(SimpleCSV_Data!F$15,SimpleCSV_Import!$A:$A,0),MATCH(SimpleCSV_Data!$D25,SimpleCSV_Import!$1:$1,0))</f>
        <v>Insert rationale.</v>
      </c>
      <c r="G25" s="924" t="str">
        <f>INDEX(SimpleCSV_Import!$A$1:$AK$500,MATCH(SimpleCSV_Data!G$15,SimpleCSV_Import!$A:$A,0),MATCH(SimpleCSV_Data!$D25,SimpleCSV_Import!$1:$1,0))</f>
        <v>Insert rationale.</v>
      </c>
      <c r="H25" s="924" t="str">
        <f>INDEX(SimpleCSV_Import!$A$1:$AK$500,MATCH(SimpleCSV_Data!H$15,SimpleCSV_Import!$A:$A,0),MATCH(SimpleCSV_Data!$D25,SimpleCSV_Import!$1:$1,0))</f>
        <v>Customer Satisfaction drives long term customer value</v>
      </c>
      <c r="I25" s="924" t="str">
        <f>INDEX(SimpleCSV_Import!$A$1:$AK$500,MATCH(SimpleCSV_Data!I$15,SimpleCSV_Import!$A:$A,0),MATCH(SimpleCSV_Data!$D25,SimpleCSV_Import!$1:$1,0))</f>
        <v>Insert rationale.</v>
      </c>
      <c r="J25" s="924" t="str">
        <f>INDEX(SimpleCSV_Import!$A$1:$AK$500,MATCH(SimpleCSV_Data!J$15,SimpleCSV_Import!$A:$A,0),MATCH(SimpleCSV_Data!$D25,SimpleCSV_Import!$1:$1,0))</f>
        <v>Insert rationale.</v>
      </c>
      <c r="K25" s="924" t="str">
        <f>INDEX(SimpleCSV_Import!$A$1:$AK$500,MATCH(SimpleCSV_Data!K$15,SimpleCSV_Import!$A:$A,0),MATCH(SimpleCSV_Data!$D25,SimpleCSV_Import!$1:$1,0))</f>
        <v>Insert rationale.</v>
      </c>
      <c r="L25" s="924" t="str">
        <f>INDEX(SimpleCSV_Import!$A$1:$AK$500,MATCH(SimpleCSV_Data!L$15,SimpleCSV_Import!$A:$A,0),MATCH(SimpleCSV_Data!$D25,SimpleCSV_Import!$1:$1,0))</f>
        <v>Insert rationale.</v>
      </c>
      <c r="M25" s="924" t="str">
        <f>INDEX(SimpleCSV_Import!$A$1:$AK$500,MATCH(SimpleCSV_Data!M$15,SimpleCSV_Import!$A:$A,0),MATCH(SimpleCSV_Data!$D25,SimpleCSV_Import!$1:$1,0))</f>
        <v>Insert rationale.</v>
      </c>
      <c r="N25" s="924">
        <f>INDEX(SimpleCSV_Import!$A$1:$AK$500,MATCH(SimpleCSV_Data!N$15,SimpleCSV_Import!$A:$A,0),MATCH(SimpleCSV_Data!$D25,SimpleCSV_Import!$1:$1,0))</f>
        <v>0</v>
      </c>
      <c r="O25" s="924" t="str">
        <f>INDEX(SimpleCSV_Import!$A$1:$AK$500,MATCH(SimpleCSV_Data!O$15,SimpleCSV_Import!$A:$A,0),MATCH(SimpleCSV_Data!$D25,SimpleCSV_Import!$1:$1,0))</f>
        <v>Insert rationale.</v>
      </c>
      <c r="P25" s="920" t="str">
        <f>"SimpleCSVR1"&amp;B25</f>
        <v>SimpleCSVR1ValueRationaleCSAT</v>
      </c>
    </row>
    <row r="26" spans="2:16" ht="20.100000000000001" customHeight="1">
      <c r="B26" s="899" t="s">
        <v>3842</v>
      </c>
      <c r="D26" s="936" t="s">
        <v>3804</v>
      </c>
      <c r="F26" s="924">
        <f>INDEX(SimpleCSV_Import!$A$1:$AK$500,MATCH(SimpleCSV_Data!F$15,SimpleCSV_Import!$A:$A,0),MATCH(SimpleCSV_Data!$D26,SimpleCSV_Import!$1:$1,0))</f>
        <v>0.2</v>
      </c>
      <c r="G26" s="924">
        <f>INDEX(SimpleCSV_Import!$A$1:$AK$500,MATCH(SimpleCSV_Data!G$15,SimpleCSV_Import!$A:$A,0),MATCH(SimpleCSV_Data!$D26,SimpleCSV_Import!$1:$1,0))</f>
        <v>0.18</v>
      </c>
      <c r="H26" s="924">
        <f>INDEX(SimpleCSV_Import!$A$1:$AK$500,MATCH(SimpleCSV_Data!H$15,SimpleCSV_Import!$A:$A,0),MATCH(SimpleCSV_Data!$D26,SimpleCSV_Import!$1:$1,0))</f>
        <v>0.15</v>
      </c>
      <c r="I26" s="924">
        <f>INDEX(SimpleCSV_Import!$A$1:$AK$500,MATCH(SimpleCSV_Data!I$15,SimpleCSV_Import!$A:$A,0),MATCH(SimpleCSV_Data!$D26,SimpleCSV_Import!$1:$1,0))</f>
        <v>0.2</v>
      </c>
      <c r="J26" s="924">
        <f>INDEX(SimpleCSV_Import!$A$1:$AK$500,MATCH(SimpleCSV_Data!J$15,SimpleCSV_Import!$A:$A,0),MATCH(SimpleCSV_Data!$D26,SimpleCSV_Import!$1:$1,0))</f>
        <v>0.2</v>
      </c>
      <c r="K26" s="924">
        <f>INDEX(SimpleCSV_Import!$A$1:$AK$500,MATCH(SimpleCSV_Data!K$15,SimpleCSV_Import!$A:$A,0),MATCH(SimpleCSV_Data!$D26,SimpleCSV_Import!$1:$1,0))</f>
        <v>0.2</v>
      </c>
      <c r="L26" s="924">
        <f>INDEX(SimpleCSV_Import!$A$1:$AK$500,MATCH(SimpleCSV_Data!L$15,SimpleCSV_Import!$A:$A,0),MATCH(SimpleCSV_Data!$D26,SimpleCSV_Import!$1:$1,0))</f>
        <v>0.25</v>
      </c>
      <c r="M26" s="924">
        <f>INDEX(SimpleCSV_Import!$A$1:$AK$500,MATCH(SimpleCSV_Data!M$15,SimpleCSV_Import!$A:$A,0),MATCH(SimpleCSV_Data!$D26,SimpleCSV_Import!$1:$1,0))</f>
        <v>0.2</v>
      </c>
      <c r="N26" s="924">
        <f>INDEX(SimpleCSV_Import!$A$1:$AK$500,MATCH(SimpleCSV_Data!N$15,SimpleCSV_Import!$A:$A,0),MATCH(SimpleCSV_Data!$D26,SimpleCSV_Import!$1:$1,0))</f>
        <v>0</v>
      </c>
      <c r="O26" s="924">
        <f>INDEX(SimpleCSV_Import!$A$1:$AK$500,MATCH(SimpleCSV_Data!O$15,SimpleCSV_Import!$A:$A,0),MATCH(SimpleCSV_Data!$D26,SimpleCSV_Import!$1:$1,0))</f>
        <v>0.25</v>
      </c>
      <c r="P26" s="920" t="str">
        <f t="shared" si="2"/>
        <v>SimpleCSVR1ValuePercentageESAT</v>
      </c>
    </row>
    <row r="27" spans="2:16" ht="20.100000000000001" customHeight="1">
      <c r="B27" s="899" t="s">
        <v>3847</v>
      </c>
      <c r="D27" s="936" t="s">
        <v>3805</v>
      </c>
      <c r="F27" s="924" t="str">
        <f>INDEX(SimpleCSV_Import!$A$1:$AK$500,MATCH(SimpleCSV_Data!F$15,SimpleCSV_Import!$A:$A,0),MATCH(SimpleCSV_Data!$D27,SimpleCSV_Import!$1:$1,0))</f>
        <v>Insert rationale.</v>
      </c>
      <c r="G27" s="924" t="str">
        <f>INDEX(SimpleCSV_Import!$A$1:$AK$500,MATCH(SimpleCSV_Data!G$15,SimpleCSV_Import!$A:$A,0),MATCH(SimpleCSV_Data!$D27,SimpleCSV_Import!$1:$1,0))</f>
        <v>Insert rationale.</v>
      </c>
      <c r="H27" s="924" t="str">
        <f>INDEX(SimpleCSV_Import!$A$1:$AK$500,MATCH(SimpleCSV_Data!H$15,SimpleCSV_Import!$A:$A,0),MATCH(SimpleCSV_Data!$D27,SimpleCSV_Import!$1:$1,0))</f>
        <v>JXZlksaclkszd</v>
      </c>
      <c r="I27" s="924" t="str">
        <f>INDEX(SimpleCSV_Import!$A$1:$AK$500,MATCH(SimpleCSV_Data!I$15,SimpleCSV_Import!$A:$A,0),MATCH(SimpleCSV_Data!$D27,SimpleCSV_Import!$1:$1,0))</f>
        <v>Insert rationale.</v>
      </c>
      <c r="J27" s="924" t="str">
        <f>INDEX(SimpleCSV_Import!$A$1:$AK$500,MATCH(SimpleCSV_Data!J$15,SimpleCSV_Import!$A:$A,0),MATCH(SimpleCSV_Data!$D27,SimpleCSV_Import!$1:$1,0))</f>
        <v>Insert rationale.</v>
      </c>
      <c r="K27" s="924" t="str">
        <f>INDEX(SimpleCSV_Import!$A$1:$AK$500,MATCH(SimpleCSV_Data!K$15,SimpleCSV_Import!$A:$A,0),MATCH(SimpleCSV_Data!$D27,SimpleCSV_Import!$1:$1,0))</f>
        <v>Insert rationale.</v>
      </c>
      <c r="L27" s="924" t="str">
        <f>INDEX(SimpleCSV_Import!$A$1:$AK$500,MATCH(SimpleCSV_Data!L$15,SimpleCSV_Import!$A:$A,0),MATCH(SimpleCSV_Data!$D27,SimpleCSV_Import!$1:$1,0))</f>
        <v>Insert rationale.</v>
      </c>
      <c r="M27" s="924" t="str">
        <f>INDEX(SimpleCSV_Import!$A$1:$AK$500,MATCH(SimpleCSV_Data!M$15,SimpleCSV_Import!$A:$A,0),MATCH(SimpleCSV_Data!$D27,SimpleCSV_Import!$1:$1,0))</f>
        <v>Insert rationale.</v>
      </c>
      <c r="N27" s="924">
        <f>INDEX(SimpleCSV_Import!$A$1:$AK$500,MATCH(SimpleCSV_Data!N$15,SimpleCSV_Import!$A:$A,0),MATCH(SimpleCSV_Data!$D27,SimpleCSV_Import!$1:$1,0))</f>
        <v>0</v>
      </c>
      <c r="O27" s="924" t="str">
        <f>INDEX(SimpleCSV_Import!$A$1:$AK$500,MATCH(SimpleCSV_Data!O$15,SimpleCSV_Import!$A:$A,0),MATCH(SimpleCSV_Data!$D27,SimpleCSV_Import!$1:$1,0))</f>
        <v>Insert rationale.</v>
      </c>
      <c r="P27" s="920" t="str">
        <f>"SimpleCSVR1"&amp;B27</f>
        <v>SimpleCSVR1ValueRationaleESAT</v>
      </c>
    </row>
    <row r="28" spans="2:16" ht="20.100000000000001" customHeight="1">
      <c r="B28" s="899" t="s">
        <v>3843</v>
      </c>
      <c r="D28" s="936" t="s">
        <v>3806</v>
      </c>
      <c r="F28" s="924">
        <f>INDEX(SimpleCSV_Import!$A$1:$AK$500,MATCH(SimpleCSV_Data!F$15,SimpleCSV_Import!$A:$A,0),MATCH(SimpleCSV_Data!$D28,SimpleCSV_Import!$1:$1,0))</f>
        <v>0.2</v>
      </c>
      <c r="G28" s="924">
        <f>INDEX(SimpleCSV_Import!$A$1:$AK$500,MATCH(SimpleCSV_Data!G$15,SimpleCSV_Import!$A:$A,0),MATCH(SimpleCSV_Data!$D28,SimpleCSV_Import!$1:$1,0))</f>
        <v>0.25</v>
      </c>
      <c r="H28" s="924">
        <f>INDEX(SimpleCSV_Import!$A$1:$AK$500,MATCH(SimpleCSV_Data!H$15,SimpleCSV_Import!$A:$A,0),MATCH(SimpleCSV_Data!$D28,SimpleCSV_Import!$1:$1,0))</f>
        <v>0.2</v>
      </c>
      <c r="I28" s="924">
        <f>INDEX(SimpleCSV_Import!$A$1:$AK$500,MATCH(SimpleCSV_Data!I$15,SimpleCSV_Import!$A:$A,0),MATCH(SimpleCSV_Data!$D28,SimpleCSV_Import!$1:$1,0))</f>
        <v>0.2</v>
      </c>
      <c r="J28" s="924">
        <f>INDEX(SimpleCSV_Import!$A$1:$AK$500,MATCH(SimpleCSV_Data!J$15,SimpleCSV_Import!$A:$A,0),MATCH(SimpleCSV_Data!$D28,SimpleCSV_Import!$1:$1,0))</f>
        <v>0.2</v>
      </c>
      <c r="K28" s="924">
        <f>INDEX(SimpleCSV_Import!$A$1:$AK$500,MATCH(SimpleCSV_Data!K$15,SimpleCSV_Import!$A:$A,0),MATCH(SimpleCSV_Data!$D28,SimpleCSV_Import!$1:$1,0))</f>
        <v>0.2</v>
      </c>
      <c r="L28" s="924">
        <f>INDEX(SimpleCSV_Import!$A$1:$AK$500,MATCH(SimpleCSV_Data!L$15,SimpleCSV_Import!$A:$A,0),MATCH(SimpleCSV_Data!$D28,SimpleCSV_Import!$1:$1,0))</f>
        <v>0.23</v>
      </c>
      <c r="M28" s="924">
        <f>INDEX(SimpleCSV_Import!$A$1:$AK$500,MATCH(SimpleCSV_Data!M$15,SimpleCSV_Import!$A:$A,0),MATCH(SimpleCSV_Data!$D28,SimpleCSV_Import!$1:$1,0))</f>
        <v>0.2</v>
      </c>
      <c r="N28" s="924">
        <f>INDEX(SimpleCSV_Import!$A$1:$AK$500,MATCH(SimpleCSV_Data!N$15,SimpleCSV_Import!$A:$A,0),MATCH(SimpleCSV_Data!$D28,SimpleCSV_Import!$1:$1,0))</f>
        <v>0</v>
      </c>
      <c r="O28" s="924">
        <f>INDEX(SimpleCSV_Import!$A$1:$AK$500,MATCH(SimpleCSV_Data!O$15,SimpleCSV_Import!$A:$A,0),MATCH(SimpleCSV_Data!$D28,SimpleCSV_Import!$1:$1,0))</f>
        <v>0.12</v>
      </c>
      <c r="P28" s="920" t="str">
        <f t="shared" si="2"/>
        <v>SimpleCSVR1ValuePercentageTrust</v>
      </c>
    </row>
    <row r="29" spans="2:16" ht="20.100000000000001" customHeight="1">
      <c r="B29" s="899" t="s">
        <v>3848</v>
      </c>
      <c r="D29" s="936" t="s">
        <v>3807</v>
      </c>
      <c r="F29" s="924" t="str">
        <f>INDEX(SimpleCSV_Import!$A$1:$AK$500,MATCH(SimpleCSV_Data!F$15,SimpleCSV_Import!$A:$A,0),MATCH(SimpleCSV_Data!$D29,SimpleCSV_Import!$1:$1,0))</f>
        <v>Insert rationale.</v>
      </c>
      <c r="G29" s="924" t="str">
        <f>INDEX(SimpleCSV_Import!$A$1:$AK$500,MATCH(SimpleCSV_Data!G$15,SimpleCSV_Import!$A:$A,0),MATCH(SimpleCSV_Data!$D29,SimpleCSV_Import!$1:$1,0))</f>
        <v>Insert rationale.</v>
      </c>
      <c r="H29" s="924" t="str">
        <f>INDEX(SimpleCSV_Import!$A$1:$AK$500,MATCH(SimpleCSV_Data!H$15,SimpleCSV_Import!$A:$A,0),MATCH(SimpleCSV_Data!$D29,SimpleCSV_Import!$1:$1,0))</f>
        <v>spjcesjcoiew</v>
      </c>
      <c r="I29" s="924" t="str">
        <f>INDEX(SimpleCSV_Import!$A$1:$AK$500,MATCH(SimpleCSV_Data!I$15,SimpleCSV_Import!$A:$A,0),MATCH(SimpleCSV_Data!$D29,SimpleCSV_Import!$1:$1,0))</f>
        <v>Insert rationale.</v>
      </c>
      <c r="J29" s="924" t="str">
        <f>INDEX(SimpleCSV_Import!$A$1:$AK$500,MATCH(SimpleCSV_Data!J$15,SimpleCSV_Import!$A:$A,0),MATCH(SimpleCSV_Data!$D29,SimpleCSV_Import!$1:$1,0))</f>
        <v>Insert rationale.</v>
      </c>
      <c r="K29" s="924" t="str">
        <f>INDEX(SimpleCSV_Import!$A$1:$AK$500,MATCH(SimpleCSV_Data!K$15,SimpleCSV_Import!$A:$A,0),MATCH(SimpleCSV_Data!$D29,SimpleCSV_Import!$1:$1,0))</f>
        <v>Insert rationale.</v>
      </c>
      <c r="L29" s="924" t="str">
        <f>INDEX(SimpleCSV_Import!$A$1:$AK$500,MATCH(SimpleCSV_Data!L$15,SimpleCSV_Import!$A:$A,0),MATCH(SimpleCSV_Data!$D29,SimpleCSV_Import!$1:$1,0))</f>
        <v>Insert rationale.</v>
      </c>
      <c r="M29" s="924" t="str">
        <f>INDEX(SimpleCSV_Import!$A$1:$AK$500,MATCH(SimpleCSV_Data!M$15,SimpleCSV_Import!$A:$A,0),MATCH(SimpleCSV_Data!$D29,SimpleCSV_Import!$1:$1,0))</f>
        <v>Insert rationale.</v>
      </c>
      <c r="N29" s="924">
        <f>INDEX(SimpleCSV_Import!$A$1:$AK$500,MATCH(SimpleCSV_Data!N$15,SimpleCSV_Import!$A:$A,0),MATCH(SimpleCSV_Data!$D29,SimpleCSV_Import!$1:$1,0))</f>
        <v>0</v>
      </c>
      <c r="O29" s="924" t="str">
        <f>INDEX(SimpleCSV_Import!$A$1:$AK$500,MATCH(SimpleCSV_Data!O$15,SimpleCSV_Import!$A:$A,0),MATCH(SimpleCSV_Data!$D29,SimpleCSV_Import!$1:$1,0))</f>
        <v>Insert rationale.</v>
      </c>
      <c r="P29" s="920" t="str">
        <f>"SimpleCSVR1"&amp;B29</f>
        <v>SimpleCSVR1ValueRationaleTrust</v>
      </c>
    </row>
    <row r="30" spans="2:16" ht="20.100000000000001" customHeight="1">
      <c r="B30" s="899" t="s">
        <v>3844</v>
      </c>
      <c r="D30" s="936" t="s">
        <v>3808</v>
      </c>
      <c r="F30" s="924">
        <f>INDEX(SimpleCSV_Import!$A$1:$AK$500,MATCH(SimpleCSV_Data!F$15,SimpleCSV_Import!$A:$A,0),MATCH(SimpleCSV_Data!$D30,SimpleCSV_Import!$1:$1,0))</f>
        <v>0.2</v>
      </c>
      <c r="G30" s="924">
        <f>INDEX(SimpleCSV_Import!$A$1:$AK$500,MATCH(SimpleCSV_Data!G$15,SimpleCSV_Import!$A:$A,0),MATCH(SimpleCSV_Data!$D30,SimpleCSV_Import!$1:$1,0))</f>
        <v>0.16</v>
      </c>
      <c r="H30" s="924">
        <f>INDEX(SimpleCSV_Import!$A$1:$AK$500,MATCH(SimpleCSV_Data!H$15,SimpleCSV_Import!$A:$A,0),MATCH(SimpleCSV_Data!$D30,SimpleCSV_Import!$1:$1,0))</f>
        <v>0.1</v>
      </c>
      <c r="I30" s="924">
        <f>INDEX(SimpleCSV_Import!$A$1:$AK$500,MATCH(SimpleCSV_Data!I$15,SimpleCSV_Import!$A:$A,0),MATCH(SimpleCSV_Data!$D30,SimpleCSV_Import!$1:$1,0))</f>
        <v>0.2</v>
      </c>
      <c r="J30" s="924">
        <f>INDEX(SimpleCSV_Import!$A$1:$AK$500,MATCH(SimpleCSV_Data!J$15,SimpleCSV_Import!$A:$A,0),MATCH(SimpleCSV_Data!$D30,SimpleCSV_Import!$1:$1,0))</f>
        <v>0.2</v>
      </c>
      <c r="K30" s="924">
        <f>INDEX(SimpleCSV_Import!$A$1:$AK$500,MATCH(SimpleCSV_Data!K$15,SimpleCSV_Import!$A:$A,0),MATCH(SimpleCSV_Data!$D30,SimpleCSV_Import!$1:$1,0))</f>
        <v>0.2</v>
      </c>
      <c r="L30" s="924">
        <f>INDEX(SimpleCSV_Import!$A$1:$AK$500,MATCH(SimpleCSV_Data!L$15,SimpleCSV_Import!$A:$A,0),MATCH(SimpleCSV_Data!$D30,SimpleCSV_Import!$1:$1,0))</f>
        <v>0.11</v>
      </c>
      <c r="M30" s="924">
        <f>INDEX(SimpleCSV_Import!$A$1:$AK$500,MATCH(SimpleCSV_Data!M$15,SimpleCSV_Import!$A:$A,0),MATCH(SimpleCSV_Data!$D30,SimpleCSV_Import!$1:$1,0))</f>
        <v>0.2</v>
      </c>
      <c r="N30" s="924">
        <f>INDEX(SimpleCSV_Import!$A$1:$AK$500,MATCH(SimpleCSV_Data!N$15,SimpleCSV_Import!$A:$A,0),MATCH(SimpleCSV_Data!$D30,SimpleCSV_Import!$1:$1,0))</f>
        <v>0</v>
      </c>
      <c r="O30" s="924">
        <f>INDEX(SimpleCSV_Import!$A$1:$AK$500,MATCH(SimpleCSV_Data!O$15,SimpleCSV_Import!$A:$A,0),MATCH(SimpleCSV_Data!$D30,SimpleCSV_Import!$1:$1,0))</f>
        <v>0.12</v>
      </c>
      <c r="P30" s="920" t="str">
        <f t="shared" si="2"/>
        <v>SimpleCSVR1ValuePercentageOpMargin</v>
      </c>
    </row>
    <row r="31" spans="2:16" ht="20.100000000000001" customHeight="1">
      <c r="B31" s="899" t="s">
        <v>3849</v>
      </c>
      <c r="D31" s="936" t="s">
        <v>3809</v>
      </c>
      <c r="F31" s="924" t="str">
        <f>INDEX(SimpleCSV_Import!$A$1:$AK$500,MATCH(SimpleCSV_Data!F$15,SimpleCSV_Import!$A:$A,0),MATCH(SimpleCSV_Data!$D31,SimpleCSV_Import!$1:$1,0))</f>
        <v>Insert rationale.</v>
      </c>
      <c r="G31" s="924" t="str">
        <f>INDEX(SimpleCSV_Import!$A$1:$AK$500,MATCH(SimpleCSV_Data!G$15,SimpleCSV_Import!$A:$A,0),MATCH(SimpleCSV_Data!$D31,SimpleCSV_Import!$1:$1,0))</f>
        <v>Insert rationale.</v>
      </c>
      <c r="H31" s="924" t="str">
        <f>INDEX(SimpleCSV_Import!$A$1:$AK$500,MATCH(SimpleCSV_Data!H$15,SimpleCSV_Import!$A:$A,0),MATCH(SimpleCSV_Data!$D31,SimpleCSV_Import!$1:$1,0))</f>
        <v>saj cije pw</v>
      </c>
      <c r="I31" s="924" t="str">
        <f>INDEX(SimpleCSV_Import!$A$1:$AK$500,MATCH(SimpleCSV_Data!I$15,SimpleCSV_Import!$A:$A,0),MATCH(SimpleCSV_Data!$D31,SimpleCSV_Import!$1:$1,0))</f>
        <v>Insert rationale.</v>
      </c>
      <c r="J31" s="924" t="str">
        <f>INDEX(SimpleCSV_Import!$A$1:$AK$500,MATCH(SimpleCSV_Data!J$15,SimpleCSV_Import!$A:$A,0),MATCH(SimpleCSV_Data!$D31,SimpleCSV_Import!$1:$1,0))</f>
        <v>Insert rationale.</v>
      </c>
      <c r="K31" s="924" t="str">
        <f>INDEX(SimpleCSV_Import!$A$1:$AK$500,MATCH(SimpleCSV_Data!K$15,SimpleCSV_Import!$A:$A,0),MATCH(SimpleCSV_Data!$D31,SimpleCSV_Import!$1:$1,0))</f>
        <v>Insert rationale.</v>
      </c>
      <c r="L31" s="924" t="str">
        <f>INDEX(SimpleCSV_Import!$A$1:$AK$500,MATCH(SimpleCSV_Data!L$15,SimpleCSV_Import!$A:$A,0),MATCH(SimpleCSV_Data!$D31,SimpleCSV_Import!$1:$1,0))</f>
        <v>Insert rationale.</v>
      </c>
      <c r="M31" s="924" t="str">
        <f>INDEX(SimpleCSV_Import!$A$1:$AK$500,MATCH(SimpleCSV_Data!M$15,SimpleCSV_Import!$A:$A,0),MATCH(SimpleCSV_Data!$D31,SimpleCSV_Import!$1:$1,0))</f>
        <v>Insert rationale.</v>
      </c>
      <c r="N31" s="924">
        <f>INDEX(SimpleCSV_Import!$A$1:$AK$500,MATCH(SimpleCSV_Data!N$15,SimpleCSV_Import!$A:$A,0),MATCH(SimpleCSV_Data!$D31,SimpleCSV_Import!$1:$1,0))</f>
        <v>0</v>
      </c>
      <c r="O31" s="924" t="str">
        <f>INDEX(SimpleCSV_Import!$A$1:$AK$500,MATCH(SimpleCSV_Data!O$15,SimpleCSV_Import!$A:$A,0),MATCH(SimpleCSV_Data!$D31,SimpleCSV_Import!$1:$1,0))</f>
        <v>Insert rationale.</v>
      </c>
      <c r="P31" s="920" t="str">
        <f t="shared" si="2"/>
        <v>SimpleCSVR1ValueRationaleOpMargin</v>
      </c>
    </row>
    <row r="32" spans="2:16" ht="20.100000000000001" customHeight="1">
      <c r="B32" s="899"/>
      <c r="D32" s="936"/>
      <c r="F32" s="924"/>
      <c r="G32" s="924"/>
      <c r="H32" s="924"/>
      <c r="I32" s="924"/>
      <c r="J32" s="924"/>
      <c r="K32" s="924"/>
      <c r="L32" s="924"/>
      <c r="M32" s="924"/>
      <c r="N32" s="924"/>
      <c r="O32" s="924"/>
    </row>
    <row r="33" spans="2:16" ht="20.100000000000001" customHeight="1">
      <c r="B33" s="899"/>
      <c r="D33" s="936"/>
      <c r="F33" s="924"/>
      <c r="G33" s="924"/>
      <c r="H33" s="924"/>
      <c r="I33" s="924"/>
      <c r="J33" s="924"/>
      <c r="K33" s="924"/>
      <c r="L33" s="924"/>
      <c r="M33" s="924"/>
      <c r="N33" s="924"/>
      <c r="O33" s="924"/>
    </row>
    <row r="34" spans="2:16" ht="20.100000000000001" customHeight="1">
      <c r="B34" s="899"/>
      <c r="D34" s="936"/>
      <c r="F34" s="924"/>
      <c r="G34" s="924"/>
      <c r="H34" s="924"/>
      <c r="I34" s="924"/>
      <c r="J34" s="924"/>
      <c r="K34" s="924"/>
      <c r="L34" s="924"/>
      <c r="M34" s="924"/>
      <c r="N34" s="924"/>
      <c r="O34" s="924"/>
    </row>
    <row r="35" spans="2:16" ht="20.100000000000001" customHeight="1">
      <c r="B35" s="899"/>
      <c r="D35" s="936"/>
      <c r="F35" s="924"/>
      <c r="G35" s="924"/>
      <c r="H35" s="924"/>
      <c r="I35" s="924"/>
      <c r="J35" s="924"/>
      <c r="K35" s="924"/>
      <c r="L35" s="924"/>
      <c r="M35" s="924"/>
      <c r="N35" s="924"/>
      <c r="O35" s="924"/>
    </row>
    <row r="36" spans="2:16" ht="20.100000000000001" customHeight="1">
      <c r="B36" s="899"/>
      <c r="D36" s="936"/>
      <c r="F36" s="924"/>
      <c r="G36" s="924"/>
      <c r="H36" s="924"/>
      <c r="I36" s="924"/>
      <c r="J36" s="924"/>
      <c r="K36" s="924"/>
      <c r="L36" s="924"/>
      <c r="M36" s="924"/>
      <c r="N36" s="924"/>
      <c r="O36" s="924"/>
    </row>
    <row r="37" spans="2:16" ht="20.100000000000001" customHeight="1">
      <c r="B37" s="899" t="s">
        <v>3850</v>
      </c>
      <c r="D37" s="926" t="s">
        <v>3665</v>
      </c>
      <c r="F37" s="924" t="str">
        <f>INDEX(SimpleCSV_Import!$A$1:$AK$500,MATCH(SimpleCSV_Data!F$15,SimpleCSV_Import!$A:$A,0),MATCH(SimpleCSV_Data!$D37,SimpleCSV_Import!$1:$1,0))</f>
        <v>Choose</v>
      </c>
      <c r="G37" s="924" t="str">
        <f>INDEX(SimpleCSV_Import!$A$1:$AK$500,MATCH(SimpleCSV_Data!G$15,SimpleCSV_Import!$A:$A,0),MATCH(SimpleCSV_Data!$D37,SimpleCSV_Import!$1:$1,0))</f>
        <v>Q3</v>
      </c>
      <c r="H37" s="924" t="str">
        <f>INDEX(SimpleCSV_Import!$A$1:$AK$500,MATCH(SimpleCSV_Data!H$15,SimpleCSV_Import!$A:$A,0),MATCH(SimpleCSV_Data!$D37,SimpleCSV_Import!$1:$1,0))</f>
        <v>Q2</v>
      </c>
      <c r="I37" s="924" t="str">
        <f>INDEX(SimpleCSV_Import!$A$1:$AK$500,MATCH(SimpleCSV_Data!I$15,SimpleCSV_Import!$A:$A,0),MATCH(SimpleCSV_Data!$D37,SimpleCSV_Import!$1:$1,0))</f>
        <v>Choose</v>
      </c>
      <c r="J37" s="924" t="str">
        <f>INDEX(SimpleCSV_Import!$A$1:$AK$500,MATCH(SimpleCSV_Data!J$15,SimpleCSV_Import!$A:$A,0),MATCH(SimpleCSV_Data!$D37,SimpleCSV_Import!$1:$1,0))</f>
        <v>Q1</v>
      </c>
      <c r="K37" s="924" t="str">
        <f>INDEX(SimpleCSV_Import!$A$1:$AK$500,MATCH(SimpleCSV_Data!K$15,SimpleCSV_Import!$A:$A,0),MATCH(SimpleCSV_Data!$D37,SimpleCSV_Import!$1:$1,0))</f>
        <v>Choose</v>
      </c>
      <c r="L37" s="924" t="str">
        <f>INDEX(SimpleCSV_Import!$A$1:$AK$500,MATCH(SimpleCSV_Data!L$15,SimpleCSV_Import!$A:$A,0),MATCH(SimpleCSV_Data!$D37,SimpleCSV_Import!$1:$1,0))</f>
        <v>Choose</v>
      </c>
      <c r="M37" s="924" t="str">
        <f>INDEX(SimpleCSV_Import!$A$1:$AK$500,MATCH(SimpleCSV_Data!M$15,SimpleCSV_Import!$A:$A,0),MATCH(SimpleCSV_Data!$D37,SimpleCSV_Import!$1:$1,0))</f>
        <v>Q3</v>
      </c>
      <c r="N37" s="924">
        <f>INDEX(SimpleCSV_Import!$A$1:$AK$500,MATCH(SimpleCSV_Data!N$15,SimpleCSV_Import!$A:$A,0),MATCH(SimpleCSV_Data!$D37,SimpleCSV_Import!$1:$1,0))</f>
        <v>0</v>
      </c>
      <c r="O37" s="924" t="str">
        <f>INDEX(SimpleCSV_Import!$A$1:$AK$500,MATCH(SimpleCSV_Data!O$15,SimpleCSV_Import!$A:$A,0),MATCH(SimpleCSV_Data!$D37,SimpleCSV_Import!$1:$1,0))</f>
        <v>Choose</v>
      </c>
      <c r="P37" s="920" t="str">
        <f t="shared" si="2"/>
        <v>SimpleCSVR1PeopleTimeline</v>
      </c>
    </row>
    <row r="38" spans="2:16" ht="20.100000000000001" customHeight="1">
      <c r="B38" s="899" t="s">
        <v>3851</v>
      </c>
      <c r="D38" s="926" t="s">
        <v>3666</v>
      </c>
      <c r="F38" s="924">
        <f>INDEX(SimpleCSV_Import!$A$1:$AK$500,MATCH(SimpleCSV_Data!F$15,SimpleCSV_Import!$A:$A,0),MATCH(SimpleCSV_Data!$D38,SimpleCSV_Import!$1:$1,0))</f>
        <v>0</v>
      </c>
      <c r="G38" s="924">
        <f>INDEX(SimpleCSV_Import!$A$1:$AK$500,MATCH(SimpleCSV_Data!G$15,SimpleCSV_Import!$A:$A,0),MATCH(SimpleCSV_Data!$D38,SimpleCSV_Import!$1:$1,0))</f>
        <v>0.05</v>
      </c>
      <c r="H38" s="924">
        <f>INDEX(SimpleCSV_Import!$A$1:$AK$500,MATCH(SimpleCSV_Data!H$15,SimpleCSV_Import!$A:$A,0),MATCH(SimpleCSV_Data!$D38,SimpleCSV_Import!$1:$1,0))</f>
        <v>0.2</v>
      </c>
      <c r="I38" s="924">
        <f>INDEX(SimpleCSV_Import!$A$1:$AK$500,MATCH(SimpleCSV_Data!I$15,SimpleCSV_Import!$A:$A,0),MATCH(SimpleCSV_Data!$D38,SimpleCSV_Import!$1:$1,0))</f>
        <v>0</v>
      </c>
      <c r="J38" s="924">
        <f>INDEX(SimpleCSV_Import!$A$1:$AK$500,MATCH(SimpleCSV_Data!J$15,SimpleCSV_Import!$A:$A,0),MATCH(SimpleCSV_Data!$D38,SimpleCSV_Import!$1:$1,0))</f>
        <v>0</v>
      </c>
      <c r="K38" s="924">
        <f>INDEX(SimpleCSV_Import!$A$1:$AK$500,MATCH(SimpleCSV_Data!K$15,SimpleCSV_Import!$A:$A,0),MATCH(SimpleCSV_Data!$D38,SimpleCSV_Import!$1:$1,0))</f>
        <v>0</v>
      </c>
      <c r="L38" s="924">
        <f>INDEX(SimpleCSV_Import!$A$1:$AK$500,MATCH(SimpleCSV_Data!L$15,SimpleCSV_Import!$A:$A,0),MATCH(SimpleCSV_Data!$D38,SimpleCSV_Import!$1:$1,0))</f>
        <v>0.05</v>
      </c>
      <c r="M38" s="924">
        <f>INDEX(SimpleCSV_Import!$A$1:$AK$500,MATCH(SimpleCSV_Data!M$15,SimpleCSV_Import!$A:$A,0),MATCH(SimpleCSV_Data!$D38,SimpleCSV_Import!$1:$1,0))</f>
        <v>0.05</v>
      </c>
      <c r="N38" s="924">
        <f>INDEX(SimpleCSV_Import!$A$1:$AK$500,MATCH(SimpleCSV_Data!N$15,SimpleCSV_Import!$A:$A,0),MATCH(SimpleCSV_Data!$D38,SimpleCSV_Import!$1:$1,0))</f>
        <v>0</v>
      </c>
      <c r="O38" s="924">
        <f>INDEX(SimpleCSV_Import!$A$1:$AK$500,MATCH(SimpleCSV_Data!O$15,SimpleCSV_Import!$A:$A,0),MATCH(SimpleCSV_Data!$D38,SimpleCSV_Import!$1:$1,0))</f>
        <v>0</v>
      </c>
      <c r="P38" s="920" t="str">
        <f t="shared" si="2"/>
        <v>SimpleCSVR1KeyTalentPercentage</v>
      </c>
    </row>
    <row r="39" spans="2:16" ht="20.100000000000001" customHeight="1">
      <c r="B39" s="899" t="s">
        <v>3852</v>
      </c>
      <c r="D39" s="926" t="s">
        <v>3667</v>
      </c>
      <c r="F39" s="924">
        <f>INDEX(SimpleCSV_Import!$A$1:$AK$500,MATCH(SimpleCSV_Data!F$15,SimpleCSV_Import!$A:$A,0),MATCH(SimpleCSV_Data!$D39,SimpleCSV_Import!$1:$1,0))</f>
        <v>0</v>
      </c>
      <c r="G39" s="924">
        <f>INDEX(SimpleCSV_Import!$A$1:$AK$500,MATCH(SimpleCSV_Data!G$15,SimpleCSV_Import!$A:$A,0),MATCH(SimpleCSV_Data!$D39,SimpleCSV_Import!$1:$1,0))</f>
        <v>-0.05</v>
      </c>
      <c r="H39" s="924">
        <f>INDEX(SimpleCSV_Import!$A$1:$AK$500,MATCH(SimpleCSV_Data!H$15,SimpleCSV_Import!$A:$A,0),MATCH(SimpleCSV_Data!$D39,SimpleCSV_Import!$1:$1,0))</f>
        <v>0</v>
      </c>
      <c r="I39" s="924">
        <f>INDEX(SimpleCSV_Import!$A$1:$AK$500,MATCH(SimpleCSV_Data!I$15,SimpleCSV_Import!$A:$A,0),MATCH(SimpleCSV_Data!$D39,SimpleCSV_Import!$1:$1,0))</f>
        <v>0</v>
      </c>
      <c r="J39" s="924">
        <f>INDEX(SimpleCSV_Import!$A$1:$AK$500,MATCH(SimpleCSV_Data!J$15,SimpleCSV_Import!$A:$A,0),MATCH(SimpleCSV_Data!$D39,SimpleCSV_Import!$1:$1,0))</f>
        <v>0</v>
      </c>
      <c r="K39" s="924">
        <f>INDEX(SimpleCSV_Import!$A$1:$AK$500,MATCH(SimpleCSV_Data!K$15,SimpleCSV_Import!$A:$A,0),MATCH(SimpleCSV_Data!$D39,SimpleCSV_Import!$1:$1,0))</f>
        <v>0</v>
      </c>
      <c r="L39" s="924">
        <f>INDEX(SimpleCSV_Import!$A$1:$AK$500,MATCH(SimpleCSV_Data!L$15,SimpleCSV_Import!$A:$A,0),MATCH(SimpleCSV_Data!$D39,SimpleCSV_Import!$1:$1,0))</f>
        <v>0.05</v>
      </c>
      <c r="M39" s="924">
        <f>INDEX(SimpleCSV_Import!$A$1:$AK$500,MATCH(SimpleCSV_Data!M$15,SimpleCSV_Import!$A:$A,0),MATCH(SimpleCSV_Data!$D39,SimpleCSV_Import!$1:$1,0))</f>
        <v>0.05</v>
      </c>
      <c r="N39" s="924">
        <f>INDEX(SimpleCSV_Import!$A$1:$AK$500,MATCH(SimpleCSV_Data!N$15,SimpleCSV_Import!$A:$A,0),MATCH(SimpleCSV_Data!$D39,SimpleCSV_Import!$1:$1,0))</f>
        <v>0</v>
      </c>
      <c r="O39" s="924">
        <f>INDEX(SimpleCSV_Import!$A$1:$AK$500,MATCH(SimpleCSV_Data!O$15,SimpleCSV_Import!$A:$A,0),MATCH(SimpleCSV_Data!$D39,SimpleCSV_Import!$1:$1,0))</f>
        <v>0</v>
      </c>
      <c r="P39" s="920" t="str">
        <f t="shared" si="2"/>
        <v>SimpleCSVR1NonKeyTalentPercentage</v>
      </c>
    </row>
    <row r="40" spans="2:16" ht="20.100000000000001" customHeight="1">
      <c r="B40" s="899"/>
      <c r="D40" s="926"/>
      <c r="F40" s="924"/>
      <c r="G40" s="924"/>
      <c r="H40" s="924"/>
      <c r="I40" s="924"/>
      <c r="J40" s="924"/>
      <c r="K40" s="924"/>
      <c r="L40" s="924"/>
      <c r="M40" s="924"/>
      <c r="N40" s="924"/>
      <c r="O40" s="924"/>
    </row>
    <row r="41" spans="2:16" ht="20.100000000000001" customHeight="1">
      <c r="B41" s="899" t="s">
        <v>3853</v>
      </c>
      <c r="D41" s="926" t="s">
        <v>3668</v>
      </c>
      <c r="F41" s="924" t="str">
        <f>INDEX(SimpleCSV_Import!$A$1:$AK$500,MATCH(SimpleCSV_Data!F$15,SimpleCSV_Import!$A:$A,0),MATCH(SimpleCSV_Data!$D41,SimpleCSV_Import!$1:$1,0))</f>
        <v>Choose</v>
      </c>
      <c r="G41" s="924" t="str">
        <f>INDEX(SimpleCSV_Import!$A$1:$AK$500,MATCH(SimpleCSV_Data!G$15,SimpleCSV_Import!$A:$A,0),MATCH(SimpleCSV_Data!$D41,SimpleCSV_Import!$1:$1,0))</f>
        <v>Delay</v>
      </c>
      <c r="H41" s="924" t="str">
        <f>INDEX(SimpleCSV_Import!$A$1:$AK$500,MATCH(SimpleCSV_Data!H$15,SimpleCSV_Import!$A:$A,0),MATCH(SimpleCSV_Data!$D41,SimpleCSV_Import!$1:$1,0))</f>
        <v>Delay</v>
      </c>
      <c r="I41" s="924" t="str">
        <f>INDEX(SimpleCSV_Import!$A$1:$AK$500,MATCH(SimpleCSV_Data!I$15,SimpleCSV_Import!$A:$A,0),MATCH(SimpleCSV_Data!$D41,SimpleCSV_Import!$1:$1,0))</f>
        <v>Choose</v>
      </c>
      <c r="J41" s="924" t="str">
        <f>INDEX(SimpleCSV_Import!$A$1:$AK$500,MATCH(SimpleCSV_Data!J$15,SimpleCSV_Import!$A:$A,0),MATCH(SimpleCSV_Data!$D41,SimpleCSV_Import!$1:$1,0))</f>
        <v>Choose</v>
      </c>
      <c r="K41" s="924" t="str">
        <f>INDEX(SimpleCSV_Import!$A$1:$AK$500,MATCH(SimpleCSV_Data!K$15,SimpleCSV_Import!$A:$A,0),MATCH(SimpleCSV_Data!$D41,SimpleCSV_Import!$1:$1,0))</f>
        <v>Choose</v>
      </c>
      <c r="L41" s="924" t="str">
        <f>INDEX(SimpleCSV_Import!$A$1:$AK$500,MATCH(SimpleCSV_Data!L$15,SimpleCSV_Import!$A:$A,0),MATCH(SimpleCSV_Data!$D41,SimpleCSV_Import!$1:$1,0))</f>
        <v>Q2</v>
      </c>
      <c r="M41" s="924" t="str">
        <f>INDEX(SimpleCSV_Import!$A$1:$AK$500,MATCH(SimpleCSV_Data!M$15,SimpleCSV_Import!$A:$A,0),MATCH(SimpleCSV_Data!$D41,SimpleCSV_Import!$1:$1,0))</f>
        <v>Q3</v>
      </c>
      <c r="N41" s="924">
        <f>INDEX(SimpleCSV_Import!$A$1:$AK$500,MATCH(SimpleCSV_Data!N$15,SimpleCSV_Import!$A:$A,0),MATCH(SimpleCSV_Data!$D41,SimpleCSV_Import!$1:$1,0))</f>
        <v>0</v>
      </c>
      <c r="O41" s="924" t="str">
        <f>INDEX(SimpleCSV_Import!$A$1:$AK$500,MATCH(SimpleCSV_Data!O$15,SimpleCSV_Import!$A:$A,0),MATCH(SimpleCSV_Data!$D41,SimpleCSV_Import!$1:$1,0))</f>
        <v>Choose</v>
      </c>
      <c r="P41" s="920" t="str">
        <f t="shared" si="2"/>
        <v>SimpleCSVR1ITTimeline</v>
      </c>
    </row>
    <row r="42" spans="2:16" ht="20.100000000000001" customHeight="1">
      <c r="B42" s="899" t="s">
        <v>3854</v>
      </c>
      <c r="D42" s="926" t="s">
        <v>3669</v>
      </c>
      <c r="F42" s="924">
        <f>INDEX(SimpleCSV_Import!$A$1:$AK$500,MATCH(SimpleCSV_Data!F$15,SimpleCSV_Import!$A:$A,0),MATCH(SimpleCSV_Data!$D42,SimpleCSV_Import!$1:$1,0))</f>
        <v>0</v>
      </c>
      <c r="G42" s="924">
        <f>INDEX(SimpleCSV_Import!$A$1:$AK$500,MATCH(SimpleCSV_Data!G$15,SimpleCSV_Import!$A:$A,0),MATCH(SimpleCSV_Data!$D42,SimpleCSV_Import!$1:$1,0))</f>
        <v>1</v>
      </c>
      <c r="H42" s="924">
        <f>INDEX(SimpleCSV_Import!$A$1:$AK$500,MATCH(SimpleCSV_Data!H$15,SimpleCSV_Import!$A:$A,0),MATCH(SimpleCSV_Data!$D42,SimpleCSV_Import!$1:$1,0))</f>
        <v>2</v>
      </c>
      <c r="I42" s="924">
        <f>INDEX(SimpleCSV_Import!$A$1:$AK$500,MATCH(SimpleCSV_Data!I$15,SimpleCSV_Import!$A:$A,0),MATCH(SimpleCSV_Data!$D42,SimpleCSV_Import!$1:$1,0))</f>
        <v>0</v>
      </c>
      <c r="J42" s="924">
        <f>INDEX(SimpleCSV_Import!$A$1:$AK$500,MATCH(SimpleCSV_Data!J$15,SimpleCSV_Import!$A:$A,0),MATCH(SimpleCSV_Data!$D42,SimpleCSV_Import!$1:$1,0))</f>
        <v>0</v>
      </c>
      <c r="K42" s="924">
        <f>INDEX(SimpleCSV_Import!$A$1:$AK$500,MATCH(SimpleCSV_Data!K$15,SimpleCSV_Import!$A:$A,0),MATCH(SimpleCSV_Data!$D42,SimpleCSV_Import!$1:$1,0))</f>
        <v>0</v>
      </c>
      <c r="L42" s="924">
        <f>INDEX(SimpleCSV_Import!$A$1:$AK$500,MATCH(SimpleCSV_Data!L$15,SimpleCSV_Import!$A:$A,0),MATCH(SimpleCSV_Data!$D42,SimpleCSV_Import!$1:$1,0))</f>
        <v>2</v>
      </c>
      <c r="M42" s="924">
        <f>INDEX(SimpleCSV_Import!$A$1:$AK$500,MATCH(SimpleCSV_Data!M$15,SimpleCSV_Import!$A:$A,0),MATCH(SimpleCSV_Data!$D42,SimpleCSV_Import!$1:$1,0))</f>
        <v>1</v>
      </c>
      <c r="N42" s="924">
        <f>INDEX(SimpleCSV_Import!$A$1:$AK$500,MATCH(SimpleCSV_Data!N$15,SimpleCSV_Import!$A:$A,0),MATCH(SimpleCSV_Data!$D42,SimpleCSV_Import!$1:$1,0))</f>
        <v>0</v>
      </c>
      <c r="O42" s="924">
        <f>INDEX(SimpleCSV_Import!$A$1:$AK$500,MATCH(SimpleCSV_Data!O$15,SimpleCSV_Import!$A:$A,0),MATCH(SimpleCSV_Data!$D42,SimpleCSV_Import!$1:$1,0))</f>
        <v>0</v>
      </c>
      <c r="P42" s="920" t="str">
        <f t="shared" si="2"/>
        <v>SimpleCSVR1IntegrationLevel</v>
      </c>
    </row>
    <row r="43" spans="2:16" ht="20.100000000000001" customHeight="1">
      <c r="B43" s="899" t="s">
        <v>3855</v>
      </c>
      <c r="D43" s="926" t="s">
        <v>3670</v>
      </c>
      <c r="F43" s="924" t="str">
        <f>INDEX(SimpleCSV_Import!$A$1:$AK$500,MATCH(SimpleCSV_Data!F$15,SimpleCSV_Import!$A:$A,0),MATCH(SimpleCSV_Data!$D43,SimpleCSV_Import!$1:$1,0))</f>
        <v>Choose</v>
      </c>
      <c r="G43" s="924" t="str">
        <f>INDEX(SimpleCSV_Import!$A$1:$AK$500,MATCH(SimpleCSV_Data!G$15,SimpleCSV_Import!$A:$A,0),MATCH(SimpleCSV_Data!$D43,SimpleCSV_Import!$1:$1,0))</f>
        <v>Keep Existing</v>
      </c>
      <c r="H43" s="924" t="str">
        <f>INDEX(SimpleCSV_Import!$A$1:$AK$500,MATCH(SimpleCSV_Data!H$15,SimpleCSV_Import!$A:$A,0),MATCH(SimpleCSV_Data!$D43,SimpleCSV_Import!$1:$1,0))</f>
        <v>Move to Cloud</v>
      </c>
      <c r="I43" s="924" t="str">
        <f>INDEX(SimpleCSV_Import!$A$1:$AK$500,MATCH(SimpleCSV_Data!I$15,SimpleCSV_Import!$A:$A,0),MATCH(SimpleCSV_Data!$D43,SimpleCSV_Import!$1:$1,0))</f>
        <v>Choose</v>
      </c>
      <c r="J43" s="924" t="str">
        <f>INDEX(SimpleCSV_Import!$A$1:$AK$500,MATCH(SimpleCSV_Data!J$15,SimpleCSV_Import!$A:$A,0),MATCH(SimpleCSV_Data!$D43,SimpleCSV_Import!$1:$1,0))</f>
        <v>Choose</v>
      </c>
      <c r="K43" s="924" t="str">
        <f>INDEX(SimpleCSV_Import!$A$1:$AK$500,MATCH(SimpleCSV_Data!K$15,SimpleCSV_Import!$A:$A,0),MATCH(SimpleCSV_Data!$D43,SimpleCSV_Import!$1:$1,0))</f>
        <v>Choose</v>
      </c>
      <c r="L43" s="924" t="str">
        <f>INDEX(SimpleCSV_Import!$A$1:$AK$500,MATCH(SimpleCSV_Data!L$15,SimpleCSV_Import!$A:$A,0),MATCH(SimpleCSV_Data!$D43,SimpleCSV_Import!$1:$1,0))</f>
        <v>Move to Cloud</v>
      </c>
      <c r="M43" s="924" t="str">
        <f>INDEX(SimpleCSV_Import!$A$1:$AK$500,MATCH(SimpleCSV_Data!M$15,SimpleCSV_Import!$A:$A,0),MATCH(SimpleCSV_Data!$D43,SimpleCSV_Import!$1:$1,0))</f>
        <v>Keep Existing</v>
      </c>
      <c r="N43" s="924">
        <f>INDEX(SimpleCSV_Import!$A$1:$AK$500,MATCH(SimpleCSV_Data!N$15,SimpleCSV_Import!$A:$A,0),MATCH(SimpleCSV_Data!$D43,SimpleCSV_Import!$1:$1,0))</f>
        <v>0</v>
      </c>
      <c r="O43" s="924" t="str">
        <f>INDEX(SimpleCSV_Import!$A$1:$AK$500,MATCH(SimpleCSV_Data!O$15,SimpleCSV_Import!$A:$A,0),MATCH(SimpleCSV_Data!$D43,SimpleCSV_Import!$1:$1,0))</f>
        <v>Choose</v>
      </c>
      <c r="P43" s="920" t="str">
        <f t="shared" si="2"/>
        <v>SimpleCSVR1RealEstateStrategy</v>
      </c>
    </row>
    <row r="44" spans="2:16" ht="20.100000000000001" customHeight="1">
      <c r="B44" s="899"/>
      <c r="D44" s="926"/>
      <c r="F44" s="924"/>
      <c r="G44" s="924"/>
      <c r="H44" s="924"/>
      <c r="I44" s="924"/>
      <c r="J44" s="924"/>
      <c r="K44" s="924"/>
      <c r="L44" s="924"/>
      <c r="M44" s="924"/>
      <c r="N44" s="924"/>
      <c r="O44" s="924"/>
    </row>
    <row r="45" spans="2:16" ht="20.100000000000001" customHeight="1">
      <c r="B45" s="899"/>
      <c r="D45" s="926"/>
      <c r="F45" s="924"/>
      <c r="G45" s="924"/>
      <c r="H45" s="924"/>
      <c r="I45" s="924"/>
      <c r="J45" s="924"/>
      <c r="K45" s="924"/>
      <c r="L45" s="924"/>
      <c r="M45" s="924"/>
      <c r="N45" s="924"/>
      <c r="O45" s="924"/>
    </row>
    <row r="46" spans="2:16" ht="20.100000000000001" customHeight="1">
      <c r="B46" s="899" t="s">
        <v>3856</v>
      </c>
      <c r="D46" s="926" t="s">
        <v>3671</v>
      </c>
      <c r="F46" s="924" t="str">
        <f>INDEX(SimpleCSV_Import!$A$1:$AK$500,MATCH(SimpleCSV_Data!F$15,SimpleCSV_Import!$A:$A,0),MATCH(SimpleCSV_Data!$D46,SimpleCSV_Import!$1:$1,0))</f>
        <v>Choose</v>
      </c>
      <c r="G46" s="924" t="str">
        <f>INDEX(SimpleCSV_Import!$A$1:$AK$500,MATCH(SimpleCSV_Data!G$15,SimpleCSV_Import!$A:$A,0),MATCH(SimpleCSV_Data!$D46,SimpleCSV_Import!$1:$1,0))</f>
        <v>Delay</v>
      </c>
      <c r="H46" s="924" t="str">
        <f>INDEX(SimpleCSV_Import!$A$1:$AK$500,MATCH(SimpleCSV_Data!H$15,SimpleCSV_Import!$A:$A,0),MATCH(SimpleCSV_Data!$D46,SimpleCSV_Import!$1:$1,0))</f>
        <v>Delay</v>
      </c>
      <c r="I46" s="924" t="str">
        <f>INDEX(SimpleCSV_Import!$A$1:$AK$500,MATCH(SimpleCSV_Data!I$15,SimpleCSV_Import!$A:$A,0),MATCH(SimpleCSV_Data!$D46,SimpleCSV_Import!$1:$1,0))</f>
        <v>Choose</v>
      </c>
      <c r="J46" s="924" t="str">
        <f>INDEX(SimpleCSV_Import!$A$1:$AK$500,MATCH(SimpleCSV_Data!J$15,SimpleCSV_Import!$A:$A,0),MATCH(SimpleCSV_Data!$D46,SimpleCSV_Import!$1:$1,0))</f>
        <v>Choose</v>
      </c>
      <c r="K46" s="924" t="str">
        <f>INDEX(SimpleCSV_Import!$A$1:$AK$500,MATCH(SimpleCSV_Data!K$15,SimpleCSV_Import!$A:$A,0),MATCH(SimpleCSV_Data!$D46,SimpleCSV_Import!$1:$1,0))</f>
        <v>Choose</v>
      </c>
      <c r="L46" s="924" t="str">
        <f>INDEX(SimpleCSV_Import!$A$1:$AK$500,MATCH(SimpleCSV_Data!L$15,SimpleCSV_Import!$A:$A,0),MATCH(SimpleCSV_Data!$D46,SimpleCSV_Import!$1:$1,0))</f>
        <v>Q2</v>
      </c>
      <c r="M46" s="924" t="str">
        <f>INDEX(SimpleCSV_Import!$A$1:$AK$500,MATCH(SimpleCSV_Data!M$15,SimpleCSV_Import!$A:$A,0),MATCH(SimpleCSV_Data!$D46,SimpleCSV_Import!$1:$1,0))</f>
        <v>Q3</v>
      </c>
      <c r="N46" s="924">
        <f>INDEX(SimpleCSV_Import!$A$1:$AK$500,MATCH(SimpleCSV_Data!N$15,SimpleCSV_Import!$A:$A,0),MATCH(SimpleCSV_Data!$D46,SimpleCSV_Import!$1:$1,0))</f>
        <v>0</v>
      </c>
      <c r="O46" s="924" t="str">
        <f>INDEX(SimpleCSV_Import!$A$1:$AK$500,MATCH(SimpleCSV_Data!O$15,SimpleCSV_Import!$A:$A,0),MATCH(SimpleCSV_Data!$D46,SimpleCSV_Import!$1:$1,0))</f>
        <v>Choose</v>
      </c>
      <c r="P46" s="920" t="str">
        <f t="shared" si="2"/>
        <v>SimpleCSVR1RiskTimeline</v>
      </c>
    </row>
    <row r="47" spans="2:16" ht="20.100000000000001" customHeight="1">
      <c r="B47" s="899" t="s">
        <v>3857</v>
      </c>
      <c r="D47" s="926" t="s">
        <v>3672</v>
      </c>
      <c r="F47" s="924" t="str">
        <f>INDEX(SimpleCSV_Import!$A$1:$AK$500,MATCH(SimpleCSV_Data!F$15,SimpleCSV_Import!$A:$A,0),MATCH(SimpleCSV_Data!$D47,SimpleCSV_Import!$1:$1,0))</f>
        <v>Choose</v>
      </c>
      <c r="G47" s="924">
        <f>INDEX(SimpleCSV_Import!$A$1:$AK$500,MATCH(SimpleCSV_Data!G$15,SimpleCSV_Import!$A:$A,0),MATCH(SimpleCSV_Data!$D47,SimpleCSV_Import!$1:$1,0))</f>
        <v>0.25</v>
      </c>
      <c r="H47" s="924">
        <f>INDEX(SimpleCSV_Import!$A$1:$AK$500,MATCH(SimpleCSV_Data!H$15,SimpleCSV_Import!$A:$A,0),MATCH(SimpleCSV_Data!$D47,SimpleCSV_Import!$1:$1,0))</f>
        <v>0.5</v>
      </c>
      <c r="I47" s="924" t="str">
        <f>INDEX(SimpleCSV_Import!$A$1:$AK$500,MATCH(SimpleCSV_Data!I$15,SimpleCSV_Import!$A:$A,0),MATCH(SimpleCSV_Data!$D47,SimpleCSV_Import!$1:$1,0))</f>
        <v>Choose</v>
      </c>
      <c r="J47" s="924" t="str">
        <f>INDEX(SimpleCSV_Import!$A$1:$AK$500,MATCH(SimpleCSV_Data!J$15,SimpleCSV_Import!$A:$A,0),MATCH(SimpleCSV_Data!$D47,SimpleCSV_Import!$1:$1,0))</f>
        <v>Choose</v>
      </c>
      <c r="K47" s="924" t="str">
        <f>INDEX(SimpleCSV_Import!$A$1:$AK$500,MATCH(SimpleCSV_Data!K$15,SimpleCSV_Import!$A:$A,0),MATCH(SimpleCSV_Data!$D47,SimpleCSV_Import!$1:$1,0))</f>
        <v>Choose</v>
      </c>
      <c r="L47" s="924">
        <f>INDEX(SimpleCSV_Import!$A$1:$AK$500,MATCH(SimpleCSV_Data!L$15,SimpleCSV_Import!$A:$A,0),MATCH(SimpleCSV_Data!$D47,SimpleCSV_Import!$1:$1,0))</f>
        <v>0.5</v>
      </c>
      <c r="M47" s="924">
        <f>INDEX(SimpleCSV_Import!$A$1:$AK$500,MATCH(SimpleCSV_Data!M$15,SimpleCSV_Import!$A:$A,0),MATCH(SimpleCSV_Data!$D47,SimpleCSV_Import!$1:$1,0))</f>
        <v>0.25</v>
      </c>
      <c r="N47" s="924">
        <f>INDEX(SimpleCSV_Import!$A$1:$AK$500,MATCH(SimpleCSV_Data!N$15,SimpleCSV_Import!$A:$A,0),MATCH(SimpleCSV_Data!$D47,SimpleCSV_Import!$1:$1,0))</f>
        <v>0</v>
      </c>
      <c r="O47" s="924" t="str">
        <f>INDEX(SimpleCSV_Import!$A$1:$AK$500,MATCH(SimpleCSV_Data!O$15,SimpleCSV_Import!$A:$A,0),MATCH(SimpleCSV_Data!$D47,SimpleCSV_Import!$1:$1,0))</f>
        <v>Choose</v>
      </c>
      <c r="P47" s="920" t="str">
        <f t="shared" ref="P47:P60" si="3">"SimpleCSVR1"&amp;B47</f>
        <v>SimpleCSVR1P0RiskMitigation</v>
      </c>
    </row>
    <row r="48" spans="2:16" ht="20.100000000000001" customHeight="1">
      <c r="B48" s="899" t="s">
        <v>3858</v>
      </c>
      <c r="D48" s="926" t="s">
        <v>3673</v>
      </c>
      <c r="F48" s="924" t="str">
        <f>INDEX(SimpleCSV_Import!$A$1:$AK$500,MATCH(SimpleCSV_Data!F$15,SimpleCSV_Import!$A:$A,0),MATCH(SimpleCSV_Data!$D48,SimpleCSV_Import!$1:$1,0))</f>
        <v>Choose</v>
      </c>
      <c r="G48" s="924">
        <f>INDEX(SimpleCSV_Import!$A$1:$AK$500,MATCH(SimpleCSV_Data!G$15,SimpleCSV_Import!$A:$A,0),MATCH(SimpleCSV_Data!$D48,SimpleCSV_Import!$1:$1,0))</f>
        <v>0</v>
      </c>
      <c r="H48" s="924">
        <f>INDEX(SimpleCSV_Import!$A$1:$AK$500,MATCH(SimpleCSV_Data!H$15,SimpleCSV_Import!$A:$A,0),MATCH(SimpleCSV_Data!$D48,SimpleCSV_Import!$1:$1,0))</f>
        <v>0.25</v>
      </c>
      <c r="I48" s="924" t="str">
        <f>INDEX(SimpleCSV_Import!$A$1:$AK$500,MATCH(SimpleCSV_Data!I$15,SimpleCSV_Import!$A:$A,0),MATCH(SimpleCSV_Data!$D48,SimpleCSV_Import!$1:$1,0))</f>
        <v>Choose</v>
      </c>
      <c r="J48" s="924" t="str">
        <f>INDEX(SimpleCSV_Import!$A$1:$AK$500,MATCH(SimpleCSV_Data!J$15,SimpleCSV_Import!$A:$A,0),MATCH(SimpleCSV_Data!$D48,SimpleCSV_Import!$1:$1,0))</f>
        <v>Choose</v>
      </c>
      <c r="K48" s="924" t="str">
        <f>INDEX(SimpleCSV_Import!$A$1:$AK$500,MATCH(SimpleCSV_Data!K$15,SimpleCSV_Import!$A:$A,0),MATCH(SimpleCSV_Data!$D48,SimpleCSV_Import!$1:$1,0))</f>
        <v>Choose</v>
      </c>
      <c r="L48" s="924">
        <f>INDEX(SimpleCSV_Import!$A$1:$AK$500,MATCH(SimpleCSV_Data!L$15,SimpleCSV_Import!$A:$A,0),MATCH(SimpleCSV_Data!$D48,SimpleCSV_Import!$1:$1,0))</f>
        <v>0.25</v>
      </c>
      <c r="M48" s="924">
        <f>INDEX(SimpleCSV_Import!$A$1:$AK$500,MATCH(SimpleCSV_Data!M$15,SimpleCSV_Import!$A:$A,0),MATCH(SimpleCSV_Data!$D48,SimpleCSV_Import!$1:$1,0))</f>
        <v>0.5</v>
      </c>
      <c r="N48" s="924">
        <f>INDEX(SimpleCSV_Import!$A$1:$AK$500,MATCH(SimpleCSV_Data!N$15,SimpleCSV_Import!$A:$A,0),MATCH(SimpleCSV_Data!$D48,SimpleCSV_Import!$1:$1,0))</f>
        <v>0</v>
      </c>
      <c r="O48" s="924" t="str">
        <f>INDEX(SimpleCSV_Import!$A$1:$AK$500,MATCH(SimpleCSV_Data!O$15,SimpleCSV_Import!$A:$A,0),MATCH(SimpleCSV_Data!$D48,SimpleCSV_Import!$1:$1,0))</f>
        <v>Choose</v>
      </c>
      <c r="P48" s="920" t="str">
        <f t="shared" si="3"/>
        <v>SimpleCSVR1P1RiskMitigation</v>
      </c>
    </row>
    <row r="49" spans="2:16" ht="20.100000000000001" customHeight="1">
      <c r="B49" s="899" t="s">
        <v>3859</v>
      </c>
      <c r="D49" s="926" t="s">
        <v>3674</v>
      </c>
      <c r="F49" s="924" t="str">
        <f>INDEX(SimpleCSV_Import!$A$1:$AK$500,MATCH(SimpleCSV_Data!F$15,SimpleCSV_Import!$A:$A,0),MATCH(SimpleCSV_Data!$D49,SimpleCSV_Import!$1:$1,0))</f>
        <v>Choose</v>
      </c>
      <c r="G49" s="924">
        <f>INDEX(SimpleCSV_Import!$A$1:$AK$500,MATCH(SimpleCSV_Data!G$15,SimpleCSV_Import!$A:$A,0),MATCH(SimpleCSV_Data!$D49,SimpleCSV_Import!$1:$1,0))</f>
        <v>0.5</v>
      </c>
      <c r="H49" s="924">
        <f>INDEX(SimpleCSV_Import!$A$1:$AK$500,MATCH(SimpleCSV_Data!H$15,SimpleCSV_Import!$A:$A,0),MATCH(SimpleCSV_Data!$D49,SimpleCSV_Import!$1:$1,0))</f>
        <v>0.25</v>
      </c>
      <c r="I49" s="924" t="str">
        <f>INDEX(SimpleCSV_Import!$A$1:$AK$500,MATCH(SimpleCSV_Data!I$15,SimpleCSV_Import!$A:$A,0),MATCH(SimpleCSV_Data!$D49,SimpleCSV_Import!$1:$1,0))</f>
        <v>Choose</v>
      </c>
      <c r="J49" s="924" t="str">
        <f>INDEX(SimpleCSV_Import!$A$1:$AK$500,MATCH(SimpleCSV_Data!J$15,SimpleCSV_Import!$A:$A,0),MATCH(SimpleCSV_Data!$D49,SimpleCSV_Import!$1:$1,0))</f>
        <v>Choose</v>
      </c>
      <c r="K49" s="924" t="str">
        <f>INDEX(SimpleCSV_Import!$A$1:$AK$500,MATCH(SimpleCSV_Data!K$15,SimpleCSV_Import!$A:$A,0),MATCH(SimpleCSV_Data!$D49,SimpleCSV_Import!$1:$1,0))</f>
        <v>Choose</v>
      </c>
      <c r="L49" s="924">
        <f>INDEX(SimpleCSV_Import!$A$1:$AK$500,MATCH(SimpleCSV_Data!L$15,SimpleCSV_Import!$A:$A,0),MATCH(SimpleCSV_Data!$D49,SimpleCSV_Import!$1:$1,0))</f>
        <v>0.75</v>
      </c>
      <c r="M49" s="924">
        <f>INDEX(SimpleCSV_Import!$A$1:$AK$500,MATCH(SimpleCSV_Data!M$15,SimpleCSV_Import!$A:$A,0),MATCH(SimpleCSV_Data!$D49,SimpleCSV_Import!$1:$1,0))</f>
        <v>0.5</v>
      </c>
      <c r="N49" s="924">
        <f>INDEX(SimpleCSV_Import!$A$1:$AK$500,MATCH(SimpleCSV_Data!N$15,SimpleCSV_Import!$A:$A,0),MATCH(SimpleCSV_Data!$D49,SimpleCSV_Import!$1:$1,0))</f>
        <v>0</v>
      </c>
      <c r="O49" s="924" t="str">
        <f>INDEX(SimpleCSV_Import!$A$1:$AK$500,MATCH(SimpleCSV_Data!O$15,SimpleCSV_Import!$A:$A,0),MATCH(SimpleCSV_Data!$D49,SimpleCSV_Import!$1:$1,0))</f>
        <v>Choose</v>
      </c>
      <c r="P49" s="920" t="str">
        <f t="shared" si="3"/>
        <v>SimpleCSVR1P2RiskMitigation</v>
      </c>
    </row>
    <row r="50" spans="2:16" ht="20.100000000000001" customHeight="1">
      <c r="B50" s="899" t="s">
        <v>3860</v>
      </c>
      <c r="D50" s="926" t="s">
        <v>3675</v>
      </c>
      <c r="F50" s="924" t="str">
        <f>INDEX(SimpleCSV_Import!$A$1:$AK$500,MATCH(SimpleCSV_Data!F$15,SimpleCSV_Import!$A:$A,0),MATCH(SimpleCSV_Data!$D50,SimpleCSV_Import!$1:$1,0))</f>
        <v>Choose</v>
      </c>
      <c r="G50" s="924" t="str">
        <f>INDEX(SimpleCSV_Import!$A$1:$AK$500,MATCH(SimpleCSV_Data!G$15,SimpleCSV_Import!$A:$A,0),MATCH(SimpleCSV_Data!$D50,SimpleCSV_Import!$1:$1,0))</f>
        <v>No</v>
      </c>
      <c r="H50" s="924">
        <f>INDEX(SimpleCSV_Import!$A$1:$AK$500,MATCH(SimpleCSV_Data!H$15,SimpleCSV_Import!$A:$A,0),MATCH(SimpleCSV_Data!$D50,SimpleCSV_Import!$1:$1,0))</f>
        <v>0</v>
      </c>
      <c r="I50" s="924" t="str">
        <f>INDEX(SimpleCSV_Import!$A$1:$AK$500,MATCH(SimpleCSV_Data!I$15,SimpleCSV_Import!$A:$A,0),MATCH(SimpleCSV_Data!$D50,SimpleCSV_Import!$1:$1,0))</f>
        <v>Choose</v>
      </c>
      <c r="J50" s="924" t="str">
        <f>INDEX(SimpleCSV_Import!$A$1:$AK$500,MATCH(SimpleCSV_Data!J$15,SimpleCSV_Import!$A:$A,0),MATCH(SimpleCSV_Data!$D50,SimpleCSV_Import!$1:$1,0))</f>
        <v>Choose</v>
      </c>
      <c r="K50" s="924" t="str">
        <f>INDEX(SimpleCSV_Import!$A$1:$AK$500,MATCH(SimpleCSV_Data!K$15,SimpleCSV_Import!$A:$A,0),MATCH(SimpleCSV_Data!$D50,SimpleCSV_Import!$1:$1,0))</f>
        <v>Choose</v>
      </c>
      <c r="L50" s="924">
        <f>INDEX(SimpleCSV_Import!$A$1:$AK$500,MATCH(SimpleCSV_Data!L$15,SimpleCSV_Import!$A:$A,0),MATCH(SimpleCSV_Data!$D50,SimpleCSV_Import!$1:$1,0))</f>
        <v>0</v>
      </c>
      <c r="M50" s="924">
        <f>INDEX(SimpleCSV_Import!$A$1:$AK$500,MATCH(SimpleCSV_Data!M$15,SimpleCSV_Import!$A:$A,0),MATCH(SimpleCSV_Data!$D50,SimpleCSV_Import!$1:$1,0))</f>
        <v>0</v>
      </c>
      <c r="N50" s="924">
        <f>INDEX(SimpleCSV_Import!$A$1:$AK$500,MATCH(SimpleCSV_Data!N$15,SimpleCSV_Import!$A:$A,0),MATCH(SimpleCSV_Data!$D50,SimpleCSV_Import!$1:$1,0))</f>
        <v>0</v>
      </c>
      <c r="O50" s="924" t="str">
        <f>INDEX(SimpleCSV_Import!$A$1:$AK$500,MATCH(SimpleCSV_Data!O$15,SimpleCSV_Import!$A:$A,0),MATCH(SimpleCSV_Data!$D50,SimpleCSV_Import!$1:$1,0))</f>
        <v>Choose</v>
      </c>
      <c r="P50" s="920" t="str">
        <f t="shared" si="3"/>
        <v>SimpleCSVR1BuildOutSiteInfrastructure</v>
      </c>
    </row>
    <row r="51" spans="2:16" ht="20.100000000000001" customHeight="1">
      <c r="B51" s="899" t="s">
        <v>3861</v>
      </c>
      <c r="D51" s="926" t="s">
        <v>3676</v>
      </c>
      <c r="F51" s="924" t="str">
        <f>INDEX(SimpleCSV_Import!$A$1:$AK$500,MATCH(SimpleCSV_Data!F$15,SimpleCSV_Import!$A:$A,0),MATCH(SimpleCSV_Data!$D51,SimpleCSV_Import!$1:$1,0))</f>
        <v>Choose</v>
      </c>
      <c r="G51" s="924" t="str">
        <f>INDEX(SimpleCSV_Import!$A$1:$AK$500,MATCH(SimpleCSV_Data!G$15,SimpleCSV_Import!$A:$A,0),MATCH(SimpleCSV_Data!$D51,SimpleCSV_Import!$1:$1,0))</f>
        <v>Yes</v>
      </c>
      <c r="H51" s="924" t="str">
        <f>INDEX(SimpleCSV_Import!$A$1:$AK$500,MATCH(SimpleCSV_Data!H$15,SimpleCSV_Import!$A:$A,0),MATCH(SimpleCSV_Data!$D51,SimpleCSV_Import!$1:$1,0))</f>
        <v>Choose</v>
      </c>
      <c r="I51" s="924" t="str">
        <f>INDEX(SimpleCSV_Import!$A$1:$AK$500,MATCH(SimpleCSV_Data!I$15,SimpleCSV_Import!$A:$A,0),MATCH(SimpleCSV_Data!$D51,SimpleCSV_Import!$1:$1,0))</f>
        <v>Choose</v>
      </c>
      <c r="J51" s="924" t="str">
        <f>INDEX(SimpleCSV_Import!$A$1:$AK$500,MATCH(SimpleCSV_Data!J$15,SimpleCSV_Import!$A:$A,0),MATCH(SimpleCSV_Data!$D51,SimpleCSV_Import!$1:$1,0))</f>
        <v>Choose</v>
      </c>
      <c r="K51" s="924" t="str">
        <f>INDEX(SimpleCSV_Import!$A$1:$AK$500,MATCH(SimpleCSV_Data!K$15,SimpleCSV_Import!$A:$A,0),MATCH(SimpleCSV_Data!$D51,SimpleCSV_Import!$1:$1,0))</f>
        <v>Choose</v>
      </c>
      <c r="L51" s="924" t="str">
        <f>INDEX(SimpleCSV_Import!$A$1:$AK$500,MATCH(SimpleCSV_Data!L$15,SimpleCSV_Import!$A:$A,0),MATCH(SimpleCSV_Data!$D51,SimpleCSV_Import!$1:$1,0))</f>
        <v>Yes</v>
      </c>
      <c r="M51" s="924" t="str">
        <f>INDEX(SimpleCSV_Import!$A$1:$AK$500,MATCH(SimpleCSV_Data!M$15,SimpleCSV_Import!$A:$A,0),MATCH(SimpleCSV_Data!$D51,SimpleCSV_Import!$1:$1,0))</f>
        <v>Yes</v>
      </c>
      <c r="N51" s="924">
        <f>INDEX(SimpleCSV_Import!$A$1:$AK$500,MATCH(SimpleCSV_Data!N$15,SimpleCSV_Import!$A:$A,0),MATCH(SimpleCSV_Data!$D51,SimpleCSV_Import!$1:$1,0))</f>
        <v>0</v>
      </c>
      <c r="O51" s="924" t="str">
        <f>INDEX(SimpleCSV_Import!$A$1:$AK$500,MATCH(SimpleCSV_Data!O$15,SimpleCSV_Import!$A:$A,0),MATCH(SimpleCSV_Data!$D51,SimpleCSV_Import!$1:$1,0))</f>
        <v>Choose</v>
      </c>
      <c r="P51" s="920" t="str">
        <f t="shared" si="3"/>
        <v>SimpleCSVR1ProductRestrictions</v>
      </c>
    </row>
    <row r="52" spans="2:16" ht="20.100000000000001" customHeight="1">
      <c r="B52" s="899"/>
      <c r="D52" s="926"/>
      <c r="F52" s="924"/>
      <c r="G52" s="924"/>
      <c r="H52" s="924"/>
      <c r="I52" s="924"/>
      <c r="J52" s="924"/>
      <c r="K52" s="924"/>
      <c r="L52" s="924"/>
      <c r="M52" s="924"/>
      <c r="N52" s="924"/>
      <c r="O52" s="924"/>
    </row>
    <row r="53" spans="2:16" ht="20.100000000000001" customHeight="1">
      <c r="B53" s="899" t="s">
        <v>3862</v>
      </c>
      <c r="D53" s="926" t="s">
        <v>3679</v>
      </c>
      <c r="F53" s="924" t="str">
        <f>INDEX(SimpleCSV_Import!$A$1:$AK$500,MATCH(SimpleCSV_Data!F$15,SimpleCSV_Import!$A:$A,0),MATCH(SimpleCSV_Data!$D53,SimpleCSV_Import!$1:$1,0))</f>
        <v>Choose</v>
      </c>
      <c r="G53" s="924" t="str">
        <f>INDEX(SimpleCSV_Import!$A$1:$AK$500,MATCH(SimpleCSV_Data!G$15,SimpleCSV_Import!$A:$A,0),MATCH(SimpleCSV_Data!$D53,SimpleCSV_Import!$1:$1,0))</f>
        <v>Q1</v>
      </c>
      <c r="H53" s="924" t="str">
        <f>INDEX(SimpleCSV_Import!$A$1:$AK$500,MATCH(SimpleCSV_Data!H$15,SimpleCSV_Import!$A:$A,0),MATCH(SimpleCSV_Data!$D53,SimpleCSV_Import!$1:$1,0))</f>
        <v>Delay</v>
      </c>
      <c r="I53" s="924" t="str">
        <f>INDEX(SimpleCSV_Import!$A$1:$AK$500,MATCH(SimpleCSV_Data!I$15,SimpleCSV_Import!$A:$A,0),MATCH(SimpleCSV_Data!$D53,SimpleCSV_Import!$1:$1,0))</f>
        <v>Choose</v>
      </c>
      <c r="J53" s="924" t="str">
        <f>INDEX(SimpleCSV_Import!$A$1:$AK$500,MATCH(SimpleCSV_Data!J$15,SimpleCSV_Import!$A:$A,0),MATCH(SimpleCSV_Data!$D53,SimpleCSV_Import!$1:$1,0))</f>
        <v>Q2</v>
      </c>
      <c r="K53" s="924" t="str">
        <f>INDEX(SimpleCSV_Import!$A$1:$AK$500,MATCH(SimpleCSV_Data!K$15,SimpleCSV_Import!$A:$A,0),MATCH(SimpleCSV_Data!$D53,SimpleCSV_Import!$1:$1,0))</f>
        <v>Choose</v>
      </c>
      <c r="L53" s="924" t="str">
        <f>INDEX(SimpleCSV_Import!$A$1:$AK$500,MATCH(SimpleCSV_Data!L$15,SimpleCSV_Import!$A:$A,0),MATCH(SimpleCSV_Data!$D53,SimpleCSV_Import!$1:$1,0))</f>
        <v>Q1</v>
      </c>
      <c r="M53" s="924" t="str">
        <f>INDEX(SimpleCSV_Import!$A$1:$AK$500,MATCH(SimpleCSV_Data!M$15,SimpleCSV_Import!$A:$A,0),MATCH(SimpleCSV_Data!$D53,SimpleCSV_Import!$1:$1,0))</f>
        <v>Q2</v>
      </c>
      <c r="N53" s="924">
        <f>INDEX(SimpleCSV_Import!$A$1:$AK$500,MATCH(SimpleCSV_Data!N$15,SimpleCSV_Import!$A:$A,0),MATCH(SimpleCSV_Data!$D53,SimpleCSV_Import!$1:$1,0))</f>
        <v>0</v>
      </c>
      <c r="O53" s="924" t="str">
        <f>INDEX(SimpleCSV_Import!$A$1:$AK$500,MATCH(SimpleCSV_Data!O$15,SimpleCSV_Import!$A:$A,0),MATCH(SimpleCSV_Data!$D53,SimpleCSV_Import!$1:$1,0))</f>
        <v>Choose</v>
      </c>
      <c r="P53" s="920" t="str">
        <f t="shared" si="3"/>
        <v>SimpleCSVR1ORg62MigrationTimeline</v>
      </c>
    </row>
    <row r="54" spans="2:16" ht="20.100000000000001" customHeight="1">
      <c r="B54" s="899" t="s">
        <v>3863</v>
      </c>
      <c r="D54" s="926" t="s">
        <v>3680</v>
      </c>
      <c r="F54" s="924" t="str">
        <f>INDEX(SimpleCSV_Import!$A$1:$AK$500,MATCH(SimpleCSV_Data!F$15,SimpleCSV_Import!$A:$A,0),MATCH(SimpleCSV_Data!$D54,SimpleCSV_Import!$1:$1,0))</f>
        <v>Choose</v>
      </c>
      <c r="G54" s="924" t="str">
        <f>INDEX(SimpleCSV_Import!$A$1:$AK$500,MATCH(SimpleCSV_Data!G$15,SimpleCSV_Import!$A:$A,0),MATCH(SimpleCSV_Data!$D54,SimpleCSV_Import!$1:$1,0))</f>
        <v>CoPrime</v>
      </c>
      <c r="H54" s="924" t="str">
        <f>INDEX(SimpleCSV_Import!$A$1:$AK$500,MATCH(SimpleCSV_Data!H$15,SimpleCSV_Import!$A:$A,0),MATCH(SimpleCSV_Data!$D54,SimpleCSV_Import!$1:$1,0))</f>
        <v>Hire More AEs</v>
      </c>
      <c r="I54" s="924" t="str">
        <f>INDEX(SimpleCSV_Import!$A$1:$AK$500,MATCH(SimpleCSV_Data!I$15,SimpleCSV_Import!$A:$A,0),MATCH(SimpleCSV_Data!$D54,SimpleCSV_Import!$1:$1,0))</f>
        <v>Choose</v>
      </c>
      <c r="J54" s="924" t="str">
        <f>INDEX(SimpleCSV_Import!$A$1:$AK$500,MATCH(SimpleCSV_Data!J$15,SimpleCSV_Import!$A:$A,0),MATCH(SimpleCSV_Data!$D54,SimpleCSV_Import!$1:$1,0))</f>
        <v>Do Nothing</v>
      </c>
      <c r="K54" s="924" t="str">
        <f>INDEX(SimpleCSV_Import!$A$1:$AK$500,MATCH(SimpleCSV_Data!K$15,SimpleCSV_Import!$A:$A,0),MATCH(SimpleCSV_Data!$D54,SimpleCSV_Import!$1:$1,0))</f>
        <v>Choose</v>
      </c>
      <c r="L54" s="924" t="str">
        <f>INDEX(SimpleCSV_Import!$A$1:$AK$500,MATCH(SimpleCSV_Data!L$15,SimpleCSV_Import!$A:$A,0),MATCH(SimpleCSV_Data!$D54,SimpleCSV_Import!$1:$1,0))</f>
        <v>Do Nothing</v>
      </c>
      <c r="M54" s="924" t="str">
        <f>INDEX(SimpleCSV_Import!$A$1:$AK$500,MATCH(SimpleCSV_Data!M$15,SimpleCSV_Import!$A:$A,0),MATCH(SimpleCSV_Data!$D54,SimpleCSV_Import!$1:$1,0))</f>
        <v>CoPrime</v>
      </c>
      <c r="N54" s="924">
        <f>INDEX(SimpleCSV_Import!$A$1:$AK$500,MATCH(SimpleCSV_Data!N$15,SimpleCSV_Import!$A:$A,0),MATCH(SimpleCSV_Data!$D54,SimpleCSV_Import!$1:$1,0))</f>
        <v>0</v>
      </c>
      <c r="O54" s="924" t="str">
        <f>INDEX(SimpleCSV_Import!$A$1:$AK$500,MATCH(SimpleCSV_Data!O$15,SimpleCSV_Import!$A:$A,0),MATCH(SimpleCSV_Data!$D54,SimpleCSV_Import!$1:$1,0))</f>
        <v>Choose</v>
      </c>
      <c r="P54" s="920" t="str">
        <f t="shared" si="3"/>
        <v>SimpleCSVR1ExternalSalesTeam</v>
      </c>
    </row>
    <row r="55" spans="2:16" ht="20.100000000000001" customHeight="1">
      <c r="B55" s="899" t="s">
        <v>3864</v>
      </c>
      <c r="D55" s="926" t="s">
        <v>3678</v>
      </c>
      <c r="F55" s="924" t="str">
        <f>INDEX(SimpleCSV_Import!$A$1:$AK$500,MATCH(SimpleCSV_Data!F$15,SimpleCSV_Import!$A:$A,0),MATCH(SimpleCSV_Data!$D55,SimpleCSV_Import!$1:$1,0))</f>
        <v>Choose</v>
      </c>
      <c r="G55" s="924" t="str">
        <f>INDEX(SimpleCSV_Import!$A$1:$AK$500,MATCH(SimpleCSV_Data!G$15,SimpleCSV_Import!$A:$A,0),MATCH(SimpleCSV_Data!$D55,SimpleCSV_Import!$1:$1,0))</f>
        <v>Q2</v>
      </c>
      <c r="H55" s="924" t="str">
        <f>INDEX(SimpleCSV_Import!$A$1:$AK$500,MATCH(SimpleCSV_Data!H$15,SimpleCSV_Import!$A:$A,0),MATCH(SimpleCSV_Data!$D55,SimpleCSV_Import!$1:$1,0))</f>
        <v>Delay</v>
      </c>
      <c r="I55" s="924" t="str">
        <f>INDEX(SimpleCSV_Import!$A$1:$AK$500,MATCH(SimpleCSV_Data!I$15,SimpleCSV_Import!$A:$A,0),MATCH(SimpleCSV_Data!$D55,SimpleCSV_Import!$1:$1,0))</f>
        <v>Choose</v>
      </c>
      <c r="J55" s="924" t="str">
        <f>INDEX(SimpleCSV_Import!$A$1:$AK$500,MATCH(SimpleCSV_Data!J$15,SimpleCSV_Import!$A:$A,0),MATCH(SimpleCSV_Data!$D55,SimpleCSV_Import!$1:$1,0))</f>
        <v>Q1</v>
      </c>
      <c r="K55" s="924" t="str">
        <f>INDEX(SimpleCSV_Import!$A$1:$AK$500,MATCH(SimpleCSV_Data!K$15,SimpleCSV_Import!$A:$A,0),MATCH(SimpleCSV_Data!$D55,SimpleCSV_Import!$1:$1,0))</f>
        <v>Choose</v>
      </c>
      <c r="L55" s="924" t="str">
        <f>INDEX(SimpleCSV_Import!$A$1:$AK$500,MATCH(SimpleCSV_Data!L$15,SimpleCSV_Import!$A:$A,0),MATCH(SimpleCSV_Data!$D55,SimpleCSV_Import!$1:$1,0))</f>
        <v>Q1</v>
      </c>
      <c r="M55" s="924" t="str">
        <f>INDEX(SimpleCSV_Import!$A$1:$AK$500,MATCH(SimpleCSV_Data!M$15,SimpleCSV_Import!$A:$A,0),MATCH(SimpleCSV_Data!$D55,SimpleCSV_Import!$1:$1,0))</f>
        <v>Q3</v>
      </c>
      <c r="N55" s="924">
        <f>INDEX(SimpleCSV_Import!$A$1:$AK$500,MATCH(SimpleCSV_Data!N$15,SimpleCSV_Import!$A:$A,0),MATCH(SimpleCSV_Data!$D55,SimpleCSV_Import!$1:$1,0))</f>
        <v>0</v>
      </c>
      <c r="O55" s="924" t="str">
        <f>INDEX(SimpleCSV_Import!$A$1:$AK$500,MATCH(SimpleCSV_Data!O$15,SimpleCSV_Import!$A:$A,0),MATCH(SimpleCSV_Data!$D55,SimpleCSV_Import!$1:$1,0))</f>
        <v>Choose</v>
      </c>
      <c r="P55" s="920" t="str">
        <f t="shared" si="3"/>
        <v>SimpleCSVR1CSGPostSales</v>
      </c>
    </row>
    <row r="56" spans="2:16" ht="20.100000000000001" customHeight="1">
      <c r="B56" s="899" t="s">
        <v>3865</v>
      </c>
      <c r="D56" s="926" t="s">
        <v>3664</v>
      </c>
      <c r="F56" s="924" t="str">
        <f>INDEX(SimpleCSV_Import!$A$1:$AK$500,MATCH(SimpleCSV_Data!F$15,SimpleCSV_Import!$A:$A,0),MATCH(SimpleCSV_Data!$D56,SimpleCSV_Import!$1:$1,0))</f>
        <v>Choose</v>
      </c>
      <c r="G56" s="924" t="str">
        <f>INDEX(SimpleCSV_Import!$A$1:$AK$500,MATCH(SimpleCSV_Data!G$15,SimpleCSV_Import!$A:$A,0),MATCH(SimpleCSV_Data!$D56,SimpleCSV_Import!$1:$1,0))</f>
        <v>Q3</v>
      </c>
      <c r="H56" s="924" t="str">
        <f>INDEX(SimpleCSV_Import!$A$1:$AK$500,MATCH(SimpleCSV_Data!H$15,SimpleCSV_Import!$A:$A,0),MATCH(SimpleCSV_Data!$D56,SimpleCSV_Import!$1:$1,0))</f>
        <v>Keep Separate</v>
      </c>
      <c r="I56" s="924" t="str">
        <f>INDEX(SimpleCSV_Import!$A$1:$AK$500,MATCH(SimpleCSV_Data!I$15,SimpleCSV_Import!$A:$A,0),MATCH(SimpleCSV_Data!$D56,SimpleCSV_Import!$1:$1,0))</f>
        <v>Choose</v>
      </c>
      <c r="J56" s="924" t="str">
        <f>INDEX(SimpleCSV_Import!$A$1:$AK$500,MATCH(SimpleCSV_Data!J$15,SimpleCSV_Import!$A:$A,0),MATCH(SimpleCSV_Data!$D56,SimpleCSV_Import!$1:$1,0))</f>
        <v>Q3</v>
      </c>
      <c r="K56" s="924" t="str">
        <f>INDEX(SimpleCSV_Import!$A$1:$AK$500,MATCH(SimpleCSV_Data!K$15,SimpleCSV_Import!$A:$A,0),MATCH(SimpleCSV_Data!$D56,SimpleCSV_Import!$1:$1,0))</f>
        <v>Choose</v>
      </c>
      <c r="L56" s="924" t="str">
        <f>INDEX(SimpleCSV_Import!$A$1:$AK$500,MATCH(SimpleCSV_Data!L$15,SimpleCSV_Import!$A:$A,0),MATCH(SimpleCSV_Data!$D56,SimpleCSV_Import!$1:$1,0))</f>
        <v>Q2</v>
      </c>
      <c r="M56" s="924" t="str">
        <f>INDEX(SimpleCSV_Import!$A$1:$AK$500,MATCH(SimpleCSV_Data!M$15,SimpleCSV_Import!$A:$A,0),MATCH(SimpleCSV_Data!$D56,SimpleCSV_Import!$1:$1,0))</f>
        <v>Q4</v>
      </c>
      <c r="N56" s="924">
        <f>INDEX(SimpleCSV_Import!$A$1:$AK$500,MATCH(SimpleCSV_Data!N$15,SimpleCSV_Import!$A:$A,0),MATCH(SimpleCSV_Data!$D56,SimpleCSV_Import!$1:$1,0))</f>
        <v>0</v>
      </c>
      <c r="O56" s="924" t="str">
        <f>INDEX(SimpleCSV_Import!$A$1:$AK$500,MATCH(SimpleCSV_Data!O$15,SimpleCSV_Import!$A:$A,0),MATCH(SimpleCSV_Data!$D56,SimpleCSV_Import!$1:$1,0))</f>
        <v>Choose</v>
      </c>
      <c r="P56" s="920" t="str">
        <f t="shared" si="3"/>
        <v>SimpleCSVR1BrandIntegration</v>
      </c>
    </row>
    <row r="57" spans="2:16" ht="20.100000000000001" customHeight="1">
      <c r="B57" s="899" t="s">
        <v>2391</v>
      </c>
      <c r="D57" s="926" t="s">
        <v>3677</v>
      </c>
      <c r="F57" s="924" t="str">
        <f>INDEX(SimpleCSV_Import!$A$1:$AK$500,MATCH(SimpleCSV_Data!F$15,SimpleCSV_Import!$A:$A,0),MATCH(SimpleCSV_Data!$D57,SimpleCSV_Import!$1:$1,0))</f>
        <v>Choose</v>
      </c>
      <c r="G57" s="924">
        <f>INDEX(SimpleCSV_Import!$A$1:$AK$500,MATCH(SimpleCSV_Data!G$15,SimpleCSV_Import!$A:$A,0),MATCH(SimpleCSV_Data!$D57,SimpleCSV_Import!$1:$1,0))</f>
        <v>0</v>
      </c>
      <c r="H57" s="924" t="str">
        <f>INDEX(SimpleCSV_Import!$A$1:$AK$500,MATCH(SimpleCSV_Data!H$15,SimpleCSV_Import!$A:$A,0),MATCH(SimpleCSV_Data!$D57,SimpleCSV_Import!$1:$1,0))</f>
        <v>No</v>
      </c>
      <c r="I57" s="924" t="str">
        <f>INDEX(SimpleCSV_Import!$A$1:$AK$500,MATCH(SimpleCSV_Data!I$15,SimpleCSV_Import!$A:$A,0),MATCH(SimpleCSV_Data!$D57,SimpleCSV_Import!$1:$1,0))</f>
        <v>Choose</v>
      </c>
      <c r="J57" s="924" t="str">
        <f>INDEX(SimpleCSV_Import!$A$1:$AK$500,MATCH(SimpleCSV_Data!J$15,SimpleCSV_Import!$A:$A,0),MATCH(SimpleCSV_Data!$D57,SimpleCSV_Import!$1:$1,0))</f>
        <v>No</v>
      </c>
      <c r="K57" s="924" t="str">
        <f>INDEX(SimpleCSV_Import!$A$1:$AK$500,MATCH(SimpleCSV_Data!K$15,SimpleCSV_Import!$A:$A,0),MATCH(SimpleCSV_Data!$D57,SimpleCSV_Import!$1:$1,0))</f>
        <v>Choose</v>
      </c>
      <c r="L57" s="924">
        <f>INDEX(SimpleCSV_Import!$A$1:$AK$500,MATCH(SimpleCSV_Data!L$15,SimpleCSV_Import!$A:$A,0),MATCH(SimpleCSV_Data!$D57,SimpleCSV_Import!$1:$1,0))</f>
        <v>0</v>
      </c>
      <c r="M57" s="924" t="str">
        <f>INDEX(SimpleCSV_Import!$A$1:$AK$500,MATCH(SimpleCSV_Data!M$15,SimpleCSV_Import!$A:$A,0),MATCH(SimpleCSV_Data!$D57,SimpleCSV_Import!$1:$1,0))</f>
        <v>Yes</v>
      </c>
      <c r="N57" s="924">
        <f>INDEX(SimpleCSV_Import!$A$1:$AK$500,MATCH(SimpleCSV_Data!N$15,SimpleCSV_Import!$A:$A,0),MATCH(SimpleCSV_Data!$D57,SimpleCSV_Import!$1:$1,0))</f>
        <v>0</v>
      </c>
      <c r="O57" s="924" t="str">
        <f>INDEX(SimpleCSV_Import!$A$1:$AK$500,MATCH(SimpleCSV_Data!O$15,SimpleCSV_Import!$A:$A,0),MATCH(SimpleCSV_Data!$D57,SimpleCSV_Import!$1:$1,0))</f>
        <v>Choose</v>
      </c>
      <c r="P57" s="920" t="str">
        <f t="shared" si="3"/>
        <v>SimpleCSVR1LeadPass</v>
      </c>
    </row>
    <row r="58" spans="2:16" ht="20.100000000000001" customHeight="1">
      <c r="B58" s="899"/>
      <c r="D58" s="926"/>
      <c r="F58" s="924"/>
      <c r="G58" s="924"/>
      <c r="H58" s="924"/>
      <c r="I58" s="924"/>
      <c r="J58" s="924"/>
      <c r="K58" s="924"/>
      <c r="L58" s="924"/>
      <c r="M58" s="924"/>
      <c r="N58" s="924"/>
      <c r="O58" s="924"/>
    </row>
    <row r="59" spans="2:16" ht="20.100000000000001" customHeight="1">
      <c r="B59" s="899" t="s">
        <v>3866</v>
      </c>
      <c r="D59" s="926" t="s">
        <v>3665</v>
      </c>
      <c r="F59" s="924" t="str">
        <f>INDEX(SimpleCSV_Import!$A$1:$AK$500,MATCH(SimpleCSV_Data!F$15,SimpleCSV_Import!$A:$A,0),MATCH(SimpleCSV_Data!$D59,SimpleCSV_Import!$1:$1,0))</f>
        <v>Choose</v>
      </c>
      <c r="G59" s="924" t="str">
        <f>INDEX(SimpleCSV_Import!$A$1:$AK$500,MATCH(SimpleCSV_Data!G$15,SimpleCSV_Import!$A:$A,0),MATCH(SimpleCSV_Data!$D59,SimpleCSV_Import!$1:$1,0))</f>
        <v>Q3</v>
      </c>
      <c r="H59" s="924" t="str">
        <f>INDEX(SimpleCSV_Import!$A$1:$AK$500,MATCH(SimpleCSV_Data!H$15,SimpleCSV_Import!$A:$A,0),MATCH(SimpleCSV_Data!$D59,SimpleCSV_Import!$1:$1,0))</f>
        <v>Q2</v>
      </c>
      <c r="I59" s="924" t="str">
        <f>INDEX(SimpleCSV_Import!$A$1:$AK$500,MATCH(SimpleCSV_Data!I$15,SimpleCSV_Import!$A:$A,0),MATCH(SimpleCSV_Data!$D59,SimpleCSV_Import!$1:$1,0))</f>
        <v>Choose</v>
      </c>
      <c r="J59" s="924" t="str">
        <f>INDEX(SimpleCSV_Import!$A$1:$AK$500,MATCH(SimpleCSV_Data!J$15,SimpleCSV_Import!$A:$A,0),MATCH(SimpleCSV_Data!$D59,SimpleCSV_Import!$1:$1,0))</f>
        <v>Q1</v>
      </c>
      <c r="K59" s="924" t="str">
        <f>INDEX(SimpleCSV_Import!$A$1:$AK$500,MATCH(SimpleCSV_Data!K$15,SimpleCSV_Import!$A:$A,0),MATCH(SimpleCSV_Data!$D59,SimpleCSV_Import!$1:$1,0))</f>
        <v>Choose</v>
      </c>
      <c r="L59" s="924" t="str">
        <f>INDEX(SimpleCSV_Import!$A$1:$AK$500,MATCH(SimpleCSV_Data!L$15,SimpleCSV_Import!$A:$A,0),MATCH(SimpleCSV_Data!$D59,SimpleCSV_Import!$1:$1,0))</f>
        <v>Choose</v>
      </c>
      <c r="M59" s="924" t="str">
        <f>INDEX(SimpleCSV_Import!$A$1:$AK$500,MATCH(SimpleCSV_Data!M$15,SimpleCSV_Import!$A:$A,0),MATCH(SimpleCSV_Data!$D59,SimpleCSV_Import!$1:$1,0))</f>
        <v>Q3</v>
      </c>
      <c r="N59" s="924">
        <f>INDEX(SimpleCSV_Import!$A$1:$AK$500,MATCH(SimpleCSV_Data!N$15,SimpleCSV_Import!$A:$A,0),MATCH(SimpleCSV_Data!$D59,SimpleCSV_Import!$1:$1,0))</f>
        <v>0</v>
      </c>
      <c r="O59" s="924" t="str">
        <f>INDEX(SimpleCSV_Import!$A$1:$AK$500,MATCH(SimpleCSV_Data!O$15,SimpleCSV_Import!$A:$A,0),MATCH(SimpleCSV_Data!$D59,SimpleCSV_Import!$1:$1,0))</f>
        <v>Choose</v>
      </c>
      <c r="P59" s="920" t="str">
        <f t="shared" si="3"/>
        <v>SimpleCSVR1ProductTimeline</v>
      </c>
    </row>
    <row r="60" spans="2:16" ht="20.100000000000001" customHeight="1">
      <c r="B60" s="937" t="s">
        <v>3895</v>
      </c>
      <c r="D60" s="926" t="s">
        <v>3813</v>
      </c>
      <c r="F60" s="924" t="str">
        <f>INDEX(SimpleCSV_Import!$A$1:$AK$500,MATCH(SimpleCSV_Data!F$15,SimpleCSV_Import!$A:$A,0),MATCH(SimpleCSV_Data!$D60,SimpleCSV_Import!$1:$1,0))</f>
        <v>Choose</v>
      </c>
      <c r="G60" s="924">
        <f>INDEX(SimpleCSV_Import!$A$1:$AK$500,MATCH(SimpleCSV_Data!G$15,SimpleCSV_Import!$A:$A,0),MATCH(SimpleCSV_Data!$D60,SimpleCSV_Import!$1:$1,0))</f>
        <v>0.5</v>
      </c>
      <c r="H60" s="924">
        <f>INDEX(SimpleCSV_Import!$A$1:$AK$500,MATCH(SimpleCSV_Data!H$15,SimpleCSV_Import!$A:$A,0),MATCH(SimpleCSV_Data!$D60,SimpleCSV_Import!$1:$1,0))</f>
        <v>0.75</v>
      </c>
      <c r="I60" s="924" t="str">
        <f>INDEX(SimpleCSV_Import!$A$1:$AK$500,MATCH(SimpleCSV_Data!I$15,SimpleCSV_Import!$A:$A,0),MATCH(SimpleCSV_Data!$D60,SimpleCSV_Import!$1:$1,0))</f>
        <v>Choose</v>
      </c>
      <c r="J60" s="924" t="str">
        <f>INDEX(SimpleCSV_Import!$A$1:$AK$500,MATCH(SimpleCSV_Data!J$15,SimpleCSV_Import!$A:$A,0),MATCH(SimpleCSV_Data!$D60,SimpleCSV_Import!$1:$1,0))</f>
        <v>Choose</v>
      </c>
      <c r="K60" s="924" t="str">
        <f>INDEX(SimpleCSV_Import!$A$1:$AK$500,MATCH(SimpleCSV_Data!K$15,SimpleCSV_Import!$A:$A,0),MATCH(SimpleCSV_Data!$D60,SimpleCSV_Import!$1:$1,0))</f>
        <v>Choose</v>
      </c>
      <c r="L60" s="924">
        <f>INDEX(SimpleCSV_Import!$A$1:$AK$500,MATCH(SimpleCSV_Data!L$15,SimpleCSV_Import!$A:$A,0),MATCH(SimpleCSV_Data!$D60,SimpleCSV_Import!$1:$1,0))</f>
        <v>0.75</v>
      </c>
      <c r="M60" s="924">
        <f>INDEX(SimpleCSV_Import!$A$1:$AK$500,MATCH(SimpleCSV_Data!M$15,SimpleCSV_Import!$A:$A,0),MATCH(SimpleCSV_Data!$D60,SimpleCSV_Import!$1:$1,0))</f>
        <v>0.5</v>
      </c>
      <c r="N60" s="924">
        <f>INDEX(SimpleCSV_Import!$A$1:$AK$500,MATCH(SimpleCSV_Data!N$15,SimpleCSV_Import!$A:$A,0),MATCH(SimpleCSV_Data!$D60,SimpleCSV_Import!$1:$1,0))</f>
        <v>0</v>
      </c>
      <c r="O60" s="924" t="str">
        <f>INDEX(SimpleCSV_Import!$A$1:$AK$500,MATCH(SimpleCSV_Data!O$15,SimpleCSV_Import!$A:$A,0),MATCH(SimpleCSV_Data!$D60,SimpleCSV_Import!$1:$1,0))</f>
        <v>Choose</v>
      </c>
      <c r="P60" s="920" t="str">
        <f t="shared" si="3"/>
        <v>SimpleCSVR1StackFeatureFocus</v>
      </c>
    </row>
  </sheetData>
  <hyperlinks>
    <hyperlink ref="D3" r:id="rId1"/>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L67"/>
  <sheetViews>
    <sheetView topLeftCell="A45" workbookViewId="0">
      <selection activeCell="E54" sqref="E54"/>
    </sheetView>
  </sheetViews>
  <sheetFormatPr defaultColWidth="8.81640625" defaultRowHeight="13.8"/>
  <cols>
    <col min="1" max="1" width="4.7265625" style="10" customWidth="1"/>
    <col min="2" max="2" width="4.7265625" style="11" customWidth="1"/>
    <col min="3" max="3" width="4.7265625" style="10" customWidth="1"/>
    <col min="4" max="4" width="18.7265625" style="10" customWidth="1"/>
    <col min="5" max="18" width="12.7265625" style="10" customWidth="1"/>
    <col min="19" max="19" width="15.08984375" style="10" customWidth="1"/>
    <col min="20" max="25" width="8.81640625" style="10"/>
    <col min="26" max="26" width="10.453125" style="10" bestFit="1" customWidth="1"/>
    <col min="27" max="31" width="8.81640625" style="10"/>
    <col min="32" max="32" width="10.453125" style="10" bestFit="1" customWidth="1"/>
    <col min="33" max="37" width="8.81640625" style="10"/>
    <col min="38" max="38" width="10.453125" style="10" bestFit="1" customWidth="1"/>
    <col min="39" max="16384" width="8.81640625" style="10"/>
  </cols>
  <sheetData>
    <row r="1" spans="1:38" s="4" customFormat="1" ht="32.4">
      <c r="A1" s="3" t="s">
        <v>7</v>
      </c>
      <c r="B1" s="3"/>
      <c r="E1" s="4" t="s">
        <v>8</v>
      </c>
      <c r="F1" s="4" t="s">
        <v>9</v>
      </c>
      <c r="G1" s="4" t="s">
        <v>10</v>
      </c>
      <c r="H1" s="4" t="s">
        <v>11</v>
      </c>
      <c r="I1" s="4" t="s">
        <v>12</v>
      </c>
      <c r="J1" s="4" t="s">
        <v>595</v>
      </c>
      <c r="K1" s="4" t="s">
        <v>596</v>
      </c>
      <c r="L1" s="4" t="s">
        <v>597</v>
      </c>
      <c r="M1" s="4" t="s">
        <v>598</v>
      </c>
      <c r="N1" s="4" t="s">
        <v>599</v>
      </c>
      <c r="P1" s="5" t="s">
        <v>13</v>
      </c>
      <c r="Q1" s="5" t="s">
        <v>14</v>
      </c>
      <c r="R1" s="5" t="s">
        <v>230</v>
      </c>
      <c r="S1" s="5" t="s">
        <v>15</v>
      </c>
      <c r="U1" s="3" t="s">
        <v>16</v>
      </c>
    </row>
    <row r="2" spans="1:38" s="6" customFormat="1" ht="22.8">
      <c r="B2" s="7"/>
      <c r="O2" s="8" t="s">
        <v>17</v>
      </c>
      <c r="P2" s="8" t="s">
        <v>18</v>
      </c>
      <c r="Q2" s="8" t="s">
        <v>19</v>
      </c>
      <c r="R2" s="8" t="s">
        <v>102</v>
      </c>
      <c r="S2" s="8" t="s">
        <v>20</v>
      </c>
      <c r="U2" s="9" t="s">
        <v>21</v>
      </c>
      <c r="V2" s="9" t="s">
        <v>22</v>
      </c>
      <c r="W2" s="9" t="s">
        <v>23</v>
      </c>
      <c r="X2" s="9" t="s">
        <v>24</v>
      </c>
      <c r="Y2" s="9" t="s">
        <v>25</v>
      </c>
      <c r="AA2" s="9" t="s">
        <v>26</v>
      </c>
      <c r="AB2" s="9" t="s">
        <v>27</v>
      </c>
      <c r="AC2" s="9" t="s">
        <v>28</v>
      </c>
      <c r="AD2" s="9" t="s">
        <v>29</v>
      </c>
      <c r="AE2" s="9" t="s">
        <v>30</v>
      </c>
      <c r="AG2" s="9" t="s">
        <v>31</v>
      </c>
      <c r="AH2" s="9" t="s">
        <v>32</v>
      </c>
      <c r="AI2" s="9" t="s">
        <v>33</v>
      </c>
      <c r="AJ2" s="9" t="s">
        <v>34</v>
      </c>
      <c r="AK2" s="9" t="s">
        <v>35</v>
      </c>
    </row>
    <row r="3" spans="1:38">
      <c r="B3" s="11" t="s">
        <v>36</v>
      </c>
      <c r="O3" s="11" t="s">
        <v>37</v>
      </c>
      <c r="P3" s="12"/>
      <c r="Q3" s="12"/>
      <c r="R3" s="12"/>
      <c r="S3" s="12"/>
      <c r="U3" s="12"/>
      <c r="V3" s="12"/>
      <c r="W3" s="12"/>
      <c r="X3" s="12"/>
      <c r="Y3" s="12"/>
      <c r="Z3" s="10" t="s">
        <v>38</v>
      </c>
      <c r="AA3" s="12"/>
      <c r="AB3" s="12"/>
      <c r="AC3" s="12"/>
      <c r="AD3" s="12"/>
      <c r="AE3" s="12"/>
      <c r="AF3" s="11" t="s">
        <v>39</v>
      </c>
      <c r="AG3" s="12"/>
      <c r="AH3" s="12"/>
      <c r="AI3" s="12"/>
      <c r="AJ3" s="12"/>
      <c r="AK3" s="12"/>
      <c r="AL3" s="11" t="s">
        <v>40</v>
      </c>
    </row>
    <row r="4" spans="1:38">
      <c r="B4" s="11" t="s">
        <v>41</v>
      </c>
      <c r="E4" s="10" t="str">
        <f t="shared" ref="E4:N4" si="0">dec_TeamName</f>
        <v>Snowflake</v>
      </c>
      <c r="F4" s="10" t="str">
        <f t="shared" si="0"/>
        <v>Snowflake</v>
      </c>
      <c r="G4" s="10" t="str">
        <f t="shared" si="0"/>
        <v>Snowflake</v>
      </c>
      <c r="H4" s="10" t="str">
        <f t="shared" si="0"/>
        <v>Snowflake</v>
      </c>
      <c r="I4" s="10" t="str">
        <f t="shared" si="0"/>
        <v>Snowflake</v>
      </c>
      <c r="J4" s="10" t="str">
        <f t="shared" si="0"/>
        <v>Snowflake</v>
      </c>
      <c r="K4" s="10" t="str">
        <f t="shared" si="0"/>
        <v>Snowflake</v>
      </c>
      <c r="L4" s="10" t="str">
        <f t="shared" si="0"/>
        <v>Snowflake</v>
      </c>
      <c r="M4" s="10" t="str">
        <f t="shared" si="0"/>
        <v>Snowflake</v>
      </c>
      <c r="N4" s="10" t="str">
        <f t="shared" si="0"/>
        <v>Snowflake</v>
      </c>
      <c r="O4" s="11" t="s">
        <v>42</v>
      </c>
      <c r="P4" s="12" t="str">
        <f>dec_TeamName</f>
        <v>Snowflake</v>
      </c>
      <c r="Q4" s="12" t="b">
        <v>0</v>
      </c>
      <c r="R4" s="12" t="b">
        <v>1</v>
      </c>
      <c r="S4" s="13" t="s">
        <v>593</v>
      </c>
      <c r="U4" s="12"/>
      <c r="V4" s="12"/>
      <c r="W4" s="12"/>
      <c r="X4" s="12"/>
      <c r="Y4" s="12"/>
      <c r="AA4" s="12"/>
      <c r="AB4" s="12"/>
      <c r="AC4" s="12"/>
      <c r="AD4" s="12"/>
      <c r="AE4" s="12"/>
      <c r="AG4" s="12"/>
      <c r="AH4" s="12"/>
      <c r="AI4" s="12"/>
      <c r="AJ4" s="12"/>
      <c r="AK4" s="12"/>
    </row>
    <row r="5" spans="1:38">
      <c r="B5" s="11" t="s">
        <v>91</v>
      </c>
      <c r="E5" s="10">
        <f t="shared" ref="E5:N5" si="1">dec_TeamNumber</f>
        <v>1</v>
      </c>
      <c r="F5" s="10">
        <f t="shared" si="1"/>
        <v>1</v>
      </c>
      <c r="G5" s="10">
        <f t="shared" si="1"/>
        <v>1</v>
      </c>
      <c r="H5" s="10">
        <f t="shared" si="1"/>
        <v>1</v>
      </c>
      <c r="I5" s="10">
        <f t="shared" si="1"/>
        <v>1</v>
      </c>
      <c r="J5" s="10">
        <f t="shared" si="1"/>
        <v>1</v>
      </c>
      <c r="K5" s="10">
        <f t="shared" si="1"/>
        <v>1</v>
      </c>
      <c r="L5" s="10">
        <f t="shared" si="1"/>
        <v>1</v>
      </c>
      <c r="M5" s="10">
        <f t="shared" si="1"/>
        <v>1</v>
      </c>
      <c r="N5" s="10">
        <f t="shared" si="1"/>
        <v>1</v>
      </c>
      <c r="O5" s="11" t="s">
        <v>92</v>
      </c>
      <c r="P5" s="12">
        <f>dec_TeamNumber</f>
        <v>1</v>
      </c>
      <c r="Q5" s="12" t="b">
        <v>0</v>
      </c>
      <c r="R5" s="12" t="b">
        <v>1</v>
      </c>
      <c r="S5" s="13">
        <v>1</v>
      </c>
      <c r="U5" s="12"/>
      <c r="V5" s="12"/>
      <c r="W5" s="12"/>
      <c r="X5" s="12"/>
      <c r="Y5" s="12"/>
      <c r="AA5" s="12"/>
      <c r="AB5" s="12"/>
      <c r="AC5" s="12"/>
      <c r="AD5" s="12"/>
      <c r="AE5" s="12"/>
      <c r="AG5" s="12"/>
      <c r="AH5" s="12"/>
      <c r="AI5" s="12"/>
      <c r="AJ5" s="12"/>
      <c r="AK5" s="12"/>
    </row>
    <row r="6" spans="1:38">
      <c r="B6" s="11" t="s">
        <v>43</v>
      </c>
      <c r="E6" s="10">
        <f t="shared" ref="E6:N6" si="2">dec_Round</f>
        <v>0</v>
      </c>
      <c r="F6" s="10">
        <f t="shared" si="2"/>
        <v>0</v>
      </c>
      <c r="G6" s="10">
        <f t="shared" si="2"/>
        <v>0</v>
      </c>
      <c r="H6" s="10">
        <f t="shared" si="2"/>
        <v>0</v>
      </c>
      <c r="I6" s="10">
        <f t="shared" si="2"/>
        <v>0</v>
      </c>
      <c r="J6" s="10">
        <f t="shared" si="2"/>
        <v>0</v>
      </c>
      <c r="K6" s="10">
        <f t="shared" si="2"/>
        <v>0</v>
      </c>
      <c r="L6" s="10">
        <f t="shared" si="2"/>
        <v>0</v>
      </c>
      <c r="M6" s="10">
        <f t="shared" si="2"/>
        <v>0</v>
      </c>
      <c r="N6" s="10">
        <f t="shared" si="2"/>
        <v>0</v>
      </c>
      <c r="O6" s="11" t="s">
        <v>44</v>
      </c>
      <c r="P6" s="12">
        <f>dec_Round</f>
        <v>0</v>
      </c>
      <c r="Q6" s="12" t="b">
        <v>0</v>
      </c>
      <c r="R6" s="12" t="b">
        <v>0</v>
      </c>
      <c r="S6" s="13">
        <v>0</v>
      </c>
      <c r="U6" s="12"/>
      <c r="V6" s="12"/>
      <c r="W6" s="12"/>
      <c r="X6" s="12"/>
      <c r="Y6" s="12"/>
      <c r="AA6" s="12"/>
      <c r="AB6" s="12"/>
      <c r="AC6" s="12"/>
      <c r="AD6" s="12"/>
      <c r="AE6" s="12"/>
      <c r="AG6" s="12"/>
      <c r="AH6" s="12"/>
      <c r="AI6" s="12"/>
      <c r="AJ6" s="12"/>
      <c r="AK6" s="12"/>
    </row>
    <row r="7" spans="1:38">
      <c r="O7" s="11"/>
      <c r="P7" s="12"/>
      <c r="Q7" s="12"/>
      <c r="R7" s="12"/>
      <c r="S7" s="12"/>
      <c r="U7" s="12"/>
      <c r="V7" s="12"/>
      <c r="W7" s="12"/>
      <c r="X7" s="12"/>
      <c r="Y7" s="12"/>
      <c r="AA7" s="12"/>
      <c r="AB7" s="12"/>
      <c r="AC7" s="12"/>
      <c r="AD7" s="12"/>
      <c r="AE7" s="12"/>
      <c r="AG7" s="12"/>
      <c r="AH7" s="12"/>
      <c r="AI7" s="12"/>
      <c r="AJ7" s="12"/>
      <c r="AK7" s="12"/>
    </row>
    <row r="8" spans="1:38">
      <c r="B8" s="109" t="s">
        <v>428</v>
      </c>
      <c r="O8" s="11"/>
      <c r="P8" s="12"/>
      <c r="Q8" s="12"/>
      <c r="R8" s="12"/>
      <c r="S8" s="12"/>
      <c r="U8" s="12"/>
      <c r="V8" s="12"/>
      <c r="W8" s="12"/>
      <c r="X8" s="12"/>
      <c r="Y8" s="12"/>
      <c r="AA8" s="12"/>
      <c r="AB8" s="12"/>
      <c r="AC8" s="12"/>
      <c r="AD8" s="12"/>
      <c r="AE8" s="12"/>
      <c r="AG8" s="12"/>
      <c r="AH8" s="12"/>
      <c r="AI8" s="12"/>
      <c r="AJ8" s="12"/>
      <c r="AK8" s="12"/>
    </row>
    <row r="9" spans="1:38">
      <c r="D9" s="10" t="s">
        <v>480</v>
      </c>
      <c r="E9" s="10" t="str">
        <f t="shared" ref="E9:N9" si="3">TlInputV2MOMVision</f>
        <v>Write your vision statement here.</v>
      </c>
      <c r="F9" s="10" t="str">
        <f t="shared" si="3"/>
        <v>Write your vision statement here.</v>
      </c>
      <c r="G9" s="10" t="str">
        <f t="shared" si="3"/>
        <v>Write your vision statement here.</v>
      </c>
      <c r="H9" s="10" t="str">
        <f t="shared" si="3"/>
        <v>Write your vision statement here.</v>
      </c>
      <c r="I9" s="10" t="str">
        <f t="shared" si="3"/>
        <v>Write your vision statement here.</v>
      </c>
      <c r="J9" s="10" t="str">
        <f t="shared" si="3"/>
        <v>Write your vision statement here.</v>
      </c>
      <c r="K9" s="10" t="str">
        <f t="shared" si="3"/>
        <v>Write your vision statement here.</v>
      </c>
      <c r="L9" s="10" t="str">
        <f t="shared" si="3"/>
        <v>Write your vision statement here.</v>
      </c>
      <c r="M9" s="10" t="str">
        <f t="shared" si="3"/>
        <v>Write your vision statement here.</v>
      </c>
      <c r="N9" s="10" t="str">
        <f t="shared" si="3"/>
        <v>Write your vision statement here.</v>
      </c>
      <c r="O9" s="11" t="s">
        <v>1972</v>
      </c>
      <c r="P9" s="12" t="str">
        <f>TlInputV2MOMVision</f>
        <v>Write your vision statement here.</v>
      </c>
      <c r="Q9" s="12" t="b">
        <v>1</v>
      </c>
      <c r="R9" s="12" t="b">
        <v>1</v>
      </c>
      <c r="S9" s="12" t="s">
        <v>2257</v>
      </c>
      <c r="U9" s="12"/>
      <c r="V9" s="12"/>
      <c r="W9" s="12"/>
      <c r="X9" s="12"/>
      <c r="Y9" s="12"/>
      <c r="AA9" s="12"/>
      <c r="AB9" s="12"/>
      <c r="AC9" s="12"/>
      <c r="AD9" s="12"/>
      <c r="AE9" s="12"/>
      <c r="AG9" s="12"/>
      <c r="AH9" s="12"/>
      <c r="AI9" s="12"/>
      <c r="AJ9" s="12"/>
      <c r="AK9" s="12"/>
    </row>
    <row r="10" spans="1:38">
      <c r="D10" s="10" t="str">
        <f>TLInputV2MOMValue1</f>
        <v>Revenue Growth</v>
      </c>
      <c r="E10" s="10">
        <f t="shared" ref="E10:N10" si="4">ROUND(tlInputV2MOMValue1Rank,2)</f>
        <v>0.2</v>
      </c>
      <c r="F10" s="10">
        <f t="shared" si="4"/>
        <v>0.2</v>
      </c>
      <c r="G10" s="10">
        <f t="shared" si="4"/>
        <v>0.2</v>
      </c>
      <c r="H10" s="10">
        <f t="shared" si="4"/>
        <v>0.2</v>
      </c>
      <c r="I10" s="10">
        <f t="shared" si="4"/>
        <v>0.2</v>
      </c>
      <c r="J10" s="10">
        <f t="shared" si="4"/>
        <v>0.2</v>
      </c>
      <c r="K10" s="10">
        <f t="shared" si="4"/>
        <v>0.2</v>
      </c>
      <c r="L10" s="10">
        <f t="shared" si="4"/>
        <v>0.2</v>
      </c>
      <c r="M10" s="10">
        <f t="shared" si="4"/>
        <v>0.2</v>
      </c>
      <c r="N10" s="10">
        <f t="shared" si="4"/>
        <v>0.2</v>
      </c>
      <c r="O10" s="11" t="s">
        <v>1973</v>
      </c>
      <c r="P10" s="12">
        <f>tlInputV2MOMValue1Rank</f>
        <v>0.2</v>
      </c>
      <c r="Q10" s="12" t="b">
        <v>1</v>
      </c>
      <c r="R10" s="12" t="b">
        <v>1</v>
      </c>
      <c r="S10" s="12">
        <v>0.25</v>
      </c>
      <c r="U10" s="12"/>
      <c r="V10" s="12"/>
      <c r="W10" s="12"/>
      <c r="X10" s="12"/>
      <c r="Y10" s="12"/>
      <c r="AA10" s="12"/>
      <c r="AB10" s="12"/>
      <c r="AC10" s="12"/>
      <c r="AD10" s="12"/>
      <c r="AE10" s="12"/>
      <c r="AG10" s="12"/>
      <c r="AH10" s="12"/>
      <c r="AI10" s="12"/>
      <c r="AJ10" s="12"/>
      <c r="AK10" s="12"/>
    </row>
    <row r="11" spans="1:38">
      <c r="D11" s="10" t="s">
        <v>384</v>
      </c>
      <c r="E11" s="10" t="str">
        <f t="shared" ref="E11:N11" si="5">TLInputV2MOMValue1Desc</f>
        <v>Insert rationale.</v>
      </c>
      <c r="F11" s="10" t="str">
        <f t="shared" si="5"/>
        <v>Insert rationale.</v>
      </c>
      <c r="G11" s="10" t="str">
        <f t="shared" si="5"/>
        <v>Insert rationale.</v>
      </c>
      <c r="H11" s="10" t="str">
        <f t="shared" si="5"/>
        <v>Insert rationale.</v>
      </c>
      <c r="I11" s="10" t="str">
        <f t="shared" si="5"/>
        <v>Insert rationale.</v>
      </c>
      <c r="J11" s="10" t="str">
        <f t="shared" si="5"/>
        <v>Insert rationale.</v>
      </c>
      <c r="K11" s="10" t="str">
        <f t="shared" si="5"/>
        <v>Insert rationale.</v>
      </c>
      <c r="L11" s="10" t="str">
        <f t="shared" si="5"/>
        <v>Insert rationale.</v>
      </c>
      <c r="M11" s="10" t="str">
        <f t="shared" si="5"/>
        <v>Insert rationale.</v>
      </c>
      <c r="N11" s="10" t="str">
        <f t="shared" si="5"/>
        <v>Insert rationale.</v>
      </c>
      <c r="O11" s="11" t="s">
        <v>1974</v>
      </c>
      <c r="P11" s="12" t="str">
        <f>TLInputV2MOMValue1Desc</f>
        <v>Insert rationale.</v>
      </c>
      <c r="Q11" s="12" t="b">
        <v>1</v>
      </c>
      <c r="R11" s="12" t="b">
        <v>1</v>
      </c>
      <c r="S11" s="12" t="s">
        <v>2256</v>
      </c>
      <c r="U11" s="12"/>
      <c r="V11" s="12"/>
      <c r="W11" s="12"/>
      <c r="X11" s="12"/>
      <c r="Y11" s="12"/>
      <c r="AA11" s="12"/>
      <c r="AB11" s="12"/>
      <c r="AC11" s="12"/>
      <c r="AD11" s="12"/>
      <c r="AE11" s="12"/>
      <c r="AG11" s="12"/>
      <c r="AH11" s="12"/>
      <c r="AI11" s="12"/>
      <c r="AJ11" s="12"/>
      <c r="AK11" s="12"/>
    </row>
    <row r="12" spans="1:38">
      <c r="D12" s="10" t="str">
        <f>TLInputV2MOMValue2</f>
        <v>Customer Satisfaction</v>
      </c>
      <c r="E12" s="10">
        <f t="shared" ref="E12:N12" si="6">ROUND(tlInputV2MOMValue2Rank,2)</f>
        <v>0.2</v>
      </c>
      <c r="F12" s="10">
        <f t="shared" si="6"/>
        <v>0.2</v>
      </c>
      <c r="G12" s="10">
        <f t="shared" si="6"/>
        <v>0.2</v>
      </c>
      <c r="H12" s="10">
        <f t="shared" si="6"/>
        <v>0.2</v>
      </c>
      <c r="I12" s="10">
        <f t="shared" si="6"/>
        <v>0.2</v>
      </c>
      <c r="J12" s="10">
        <f t="shared" si="6"/>
        <v>0.2</v>
      </c>
      <c r="K12" s="10">
        <f t="shared" si="6"/>
        <v>0.2</v>
      </c>
      <c r="L12" s="10">
        <f t="shared" si="6"/>
        <v>0.2</v>
      </c>
      <c r="M12" s="10">
        <f t="shared" si="6"/>
        <v>0.2</v>
      </c>
      <c r="N12" s="10">
        <f t="shared" si="6"/>
        <v>0.2</v>
      </c>
      <c r="O12" s="11" t="s">
        <v>1975</v>
      </c>
      <c r="P12" s="12">
        <f>tlInputV2MOMValue2Rank</f>
        <v>0.2</v>
      </c>
      <c r="Q12" s="12" t="b">
        <v>1</v>
      </c>
      <c r="R12" s="12" t="b">
        <v>1</v>
      </c>
      <c r="S12" s="12">
        <v>0.25</v>
      </c>
      <c r="U12" s="12"/>
      <c r="V12" s="12"/>
      <c r="W12" s="12"/>
      <c r="X12" s="12"/>
      <c r="Y12" s="12"/>
      <c r="AA12" s="12"/>
      <c r="AB12" s="12"/>
      <c r="AC12" s="12"/>
      <c r="AD12" s="12"/>
      <c r="AE12" s="12"/>
      <c r="AG12" s="12"/>
      <c r="AH12" s="12"/>
      <c r="AI12" s="12"/>
      <c r="AJ12" s="12"/>
      <c r="AK12" s="12"/>
    </row>
    <row r="13" spans="1:38">
      <c r="D13" s="10" t="s">
        <v>384</v>
      </c>
      <c r="E13" s="10" t="str">
        <f t="shared" ref="E13:N13" si="7">TLInputV2MOMValue2Desc</f>
        <v>Insert rationale.</v>
      </c>
      <c r="F13" s="10" t="str">
        <f t="shared" si="7"/>
        <v>Insert rationale.</v>
      </c>
      <c r="G13" s="10" t="str">
        <f t="shared" si="7"/>
        <v>Insert rationale.</v>
      </c>
      <c r="H13" s="10" t="str">
        <f t="shared" si="7"/>
        <v>Insert rationale.</v>
      </c>
      <c r="I13" s="10" t="str">
        <f t="shared" si="7"/>
        <v>Insert rationale.</v>
      </c>
      <c r="J13" s="10" t="str">
        <f t="shared" si="7"/>
        <v>Insert rationale.</v>
      </c>
      <c r="K13" s="10" t="str">
        <f t="shared" si="7"/>
        <v>Insert rationale.</v>
      </c>
      <c r="L13" s="10" t="str">
        <f t="shared" si="7"/>
        <v>Insert rationale.</v>
      </c>
      <c r="M13" s="10" t="str">
        <f t="shared" si="7"/>
        <v>Insert rationale.</v>
      </c>
      <c r="N13" s="10" t="str">
        <f t="shared" si="7"/>
        <v>Insert rationale.</v>
      </c>
      <c r="O13" s="11" t="s">
        <v>1976</v>
      </c>
      <c r="P13" s="12" t="str">
        <f>TLInputV2MOMValue2Desc</f>
        <v>Insert rationale.</v>
      </c>
      <c r="Q13" s="12" t="b">
        <v>1</v>
      </c>
      <c r="R13" s="12" t="b">
        <v>1</v>
      </c>
      <c r="S13" s="12" t="s">
        <v>2256</v>
      </c>
      <c r="U13" s="12"/>
      <c r="V13" s="12"/>
      <c r="W13" s="12"/>
      <c r="X13" s="12"/>
      <c r="Y13" s="12"/>
      <c r="AA13" s="12"/>
      <c r="AB13" s="12"/>
      <c r="AC13" s="12"/>
      <c r="AD13" s="12"/>
      <c r="AE13" s="12"/>
      <c r="AG13" s="12"/>
      <c r="AH13" s="12"/>
      <c r="AI13" s="12"/>
      <c r="AJ13" s="12"/>
      <c r="AK13" s="12"/>
    </row>
    <row r="14" spans="1:38">
      <c r="D14" s="10" t="str">
        <f>TLInputV2MOMValue3</f>
        <v>Employee Engagement</v>
      </c>
      <c r="E14" s="10">
        <f t="shared" ref="E14:N14" si="8">ROUND(tlInputV2MOMValue3Rank,2)</f>
        <v>0.2</v>
      </c>
      <c r="F14" s="10">
        <f t="shared" si="8"/>
        <v>0.2</v>
      </c>
      <c r="G14" s="10">
        <f t="shared" si="8"/>
        <v>0.2</v>
      </c>
      <c r="H14" s="10">
        <f t="shared" si="8"/>
        <v>0.2</v>
      </c>
      <c r="I14" s="10">
        <f t="shared" si="8"/>
        <v>0.2</v>
      </c>
      <c r="J14" s="10">
        <f t="shared" si="8"/>
        <v>0.2</v>
      </c>
      <c r="K14" s="10">
        <f t="shared" si="8"/>
        <v>0.2</v>
      </c>
      <c r="L14" s="10">
        <f t="shared" si="8"/>
        <v>0.2</v>
      </c>
      <c r="M14" s="10">
        <f t="shared" si="8"/>
        <v>0.2</v>
      </c>
      <c r="N14" s="10">
        <f t="shared" si="8"/>
        <v>0.2</v>
      </c>
      <c r="O14" s="11" t="s">
        <v>1977</v>
      </c>
      <c r="P14" s="12">
        <f>tlInputV2MOMValue3Rank</f>
        <v>0.2</v>
      </c>
      <c r="Q14" s="12" t="b">
        <v>1</v>
      </c>
      <c r="R14" s="12" t="b">
        <v>1</v>
      </c>
      <c r="S14" s="12">
        <v>0.25</v>
      </c>
      <c r="U14" s="12"/>
      <c r="V14" s="12"/>
      <c r="W14" s="12"/>
      <c r="X14" s="12"/>
      <c r="Y14" s="12"/>
      <c r="AA14" s="12"/>
      <c r="AB14" s="12"/>
      <c r="AC14" s="12"/>
      <c r="AD14" s="12"/>
      <c r="AE14" s="12"/>
      <c r="AG14" s="12"/>
      <c r="AH14" s="12"/>
      <c r="AI14" s="12"/>
      <c r="AJ14" s="12"/>
      <c r="AK14" s="12"/>
    </row>
    <row r="15" spans="1:38">
      <c r="D15" s="10" t="s">
        <v>384</v>
      </c>
      <c r="E15" s="10" t="str">
        <f t="shared" ref="E15:N15" si="9">TLInputV2MOMValue3Desc</f>
        <v>Insert rationale.</v>
      </c>
      <c r="F15" s="10" t="str">
        <f t="shared" si="9"/>
        <v>Insert rationale.</v>
      </c>
      <c r="G15" s="10" t="str">
        <f t="shared" si="9"/>
        <v>Insert rationale.</v>
      </c>
      <c r="H15" s="10" t="str">
        <f t="shared" si="9"/>
        <v>Insert rationale.</v>
      </c>
      <c r="I15" s="10" t="str">
        <f t="shared" si="9"/>
        <v>Insert rationale.</v>
      </c>
      <c r="J15" s="10" t="str">
        <f t="shared" si="9"/>
        <v>Insert rationale.</v>
      </c>
      <c r="K15" s="10" t="str">
        <f t="shared" si="9"/>
        <v>Insert rationale.</v>
      </c>
      <c r="L15" s="10" t="str">
        <f t="shared" si="9"/>
        <v>Insert rationale.</v>
      </c>
      <c r="M15" s="10" t="str">
        <f t="shared" si="9"/>
        <v>Insert rationale.</v>
      </c>
      <c r="N15" s="10" t="str">
        <f t="shared" si="9"/>
        <v>Insert rationale.</v>
      </c>
      <c r="O15" s="11" t="s">
        <v>1978</v>
      </c>
      <c r="P15" s="12" t="str">
        <f>TLInputV2MOMValue3Desc</f>
        <v>Insert rationale.</v>
      </c>
      <c r="Q15" s="12" t="b">
        <v>1</v>
      </c>
      <c r="R15" s="12" t="b">
        <v>1</v>
      </c>
      <c r="S15" s="12" t="s">
        <v>2256</v>
      </c>
      <c r="U15" s="12"/>
      <c r="V15" s="12"/>
      <c r="W15" s="12"/>
      <c r="X15" s="12"/>
      <c r="Y15" s="12"/>
      <c r="AA15" s="12"/>
      <c r="AB15" s="12"/>
      <c r="AC15" s="12"/>
      <c r="AD15" s="12"/>
      <c r="AE15" s="12"/>
      <c r="AG15" s="12"/>
      <c r="AH15" s="12"/>
      <c r="AI15" s="12"/>
      <c r="AJ15" s="12"/>
      <c r="AK15" s="12"/>
    </row>
    <row r="16" spans="1:38">
      <c r="D16" s="10" t="str">
        <f>TLInputV2MOMValue4</f>
        <v>Trust</v>
      </c>
      <c r="E16" s="10">
        <f t="shared" ref="E16:N16" si="10">ROUND(tlInputV2MOMValue4Rank,2)</f>
        <v>0.2</v>
      </c>
      <c r="F16" s="10">
        <f t="shared" si="10"/>
        <v>0.2</v>
      </c>
      <c r="G16" s="10">
        <f t="shared" si="10"/>
        <v>0.2</v>
      </c>
      <c r="H16" s="10">
        <f t="shared" si="10"/>
        <v>0.2</v>
      </c>
      <c r="I16" s="10">
        <f t="shared" si="10"/>
        <v>0.2</v>
      </c>
      <c r="J16" s="10">
        <f t="shared" si="10"/>
        <v>0.2</v>
      </c>
      <c r="K16" s="10">
        <f t="shared" si="10"/>
        <v>0.2</v>
      </c>
      <c r="L16" s="10">
        <f t="shared" si="10"/>
        <v>0.2</v>
      </c>
      <c r="M16" s="10">
        <f t="shared" si="10"/>
        <v>0.2</v>
      </c>
      <c r="N16" s="10">
        <f t="shared" si="10"/>
        <v>0.2</v>
      </c>
      <c r="O16" s="11" t="s">
        <v>1979</v>
      </c>
      <c r="P16" s="12">
        <f>tlInputV2MOMValue4Rank</f>
        <v>0.2</v>
      </c>
      <c r="Q16" s="12" t="b">
        <v>1</v>
      </c>
      <c r="R16" s="12" t="b">
        <v>1</v>
      </c>
      <c r="S16" s="12">
        <v>0.25</v>
      </c>
      <c r="U16" s="12"/>
      <c r="V16" s="12"/>
      <c r="W16" s="12"/>
      <c r="X16" s="12"/>
      <c r="Y16" s="12"/>
      <c r="AA16" s="12"/>
      <c r="AB16" s="12"/>
      <c r="AC16" s="12"/>
      <c r="AD16" s="12"/>
      <c r="AE16" s="12"/>
      <c r="AG16" s="12"/>
      <c r="AH16" s="12"/>
      <c r="AI16" s="12"/>
      <c r="AJ16" s="12"/>
      <c r="AK16" s="12"/>
    </row>
    <row r="17" spans="2:37">
      <c r="D17" s="10" t="s">
        <v>384</v>
      </c>
      <c r="E17" s="10" t="str">
        <f t="shared" ref="E17:N17" si="11">TLInputV2MOMValue4Desc</f>
        <v>Insert rationale.</v>
      </c>
      <c r="F17" s="10" t="str">
        <f t="shared" si="11"/>
        <v>Insert rationale.</v>
      </c>
      <c r="G17" s="10" t="str">
        <f t="shared" si="11"/>
        <v>Insert rationale.</v>
      </c>
      <c r="H17" s="10" t="str">
        <f t="shared" si="11"/>
        <v>Insert rationale.</v>
      </c>
      <c r="I17" s="10" t="str">
        <f t="shared" si="11"/>
        <v>Insert rationale.</v>
      </c>
      <c r="J17" s="10" t="str">
        <f t="shared" si="11"/>
        <v>Insert rationale.</v>
      </c>
      <c r="K17" s="10" t="str">
        <f t="shared" si="11"/>
        <v>Insert rationale.</v>
      </c>
      <c r="L17" s="10" t="str">
        <f t="shared" si="11"/>
        <v>Insert rationale.</v>
      </c>
      <c r="M17" s="10" t="str">
        <f t="shared" si="11"/>
        <v>Insert rationale.</v>
      </c>
      <c r="N17" s="10" t="str">
        <f t="shared" si="11"/>
        <v>Insert rationale.</v>
      </c>
      <c r="O17" s="11" t="s">
        <v>1980</v>
      </c>
      <c r="P17" s="12" t="str">
        <f>TLInputV2MOMValue4Desc</f>
        <v>Insert rationale.</v>
      </c>
      <c r="Q17" s="12" t="b">
        <v>1</v>
      </c>
      <c r="R17" s="12" t="b">
        <v>1</v>
      </c>
      <c r="S17" s="12" t="s">
        <v>2256</v>
      </c>
      <c r="U17" s="12"/>
      <c r="V17" s="12"/>
      <c r="W17" s="12"/>
      <c r="X17" s="12"/>
      <c r="Y17" s="12"/>
      <c r="AA17" s="12"/>
      <c r="AB17" s="12"/>
      <c r="AC17" s="12"/>
      <c r="AD17" s="12"/>
      <c r="AE17" s="12"/>
      <c r="AG17" s="12"/>
      <c r="AH17" s="12"/>
      <c r="AI17" s="12"/>
      <c r="AJ17" s="12"/>
      <c r="AK17" s="12"/>
    </row>
    <row r="18" spans="2:37">
      <c r="D18" s="10" t="str">
        <f>TLInputV2MOMValue5</f>
        <v>Operating Margin</v>
      </c>
      <c r="E18" s="10">
        <f t="shared" ref="E18:N18" si="12">ROUND(tlInputV2MOMValue5Rank,2)</f>
        <v>0.2</v>
      </c>
      <c r="F18" s="10">
        <f t="shared" si="12"/>
        <v>0.2</v>
      </c>
      <c r="G18" s="10">
        <f t="shared" si="12"/>
        <v>0.2</v>
      </c>
      <c r="H18" s="10">
        <f t="shared" si="12"/>
        <v>0.2</v>
      </c>
      <c r="I18" s="10">
        <f t="shared" si="12"/>
        <v>0.2</v>
      </c>
      <c r="J18" s="10">
        <f t="shared" si="12"/>
        <v>0.2</v>
      </c>
      <c r="K18" s="10">
        <f t="shared" si="12"/>
        <v>0.2</v>
      </c>
      <c r="L18" s="10">
        <f t="shared" si="12"/>
        <v>0.2</v>
      </c>
      <c r="M18" s="10">
        <f t="shared" si="12"/>
        <v>0.2</v>
      </c>
      <c r="N18" s="10">
        <f t="shared" si="12"/>
        <v>0.2</v>
      </c>
      <c r="O18" s="11" t="s">
        <v>3044</v>
      </c>
      <c r="P18" s="12">
        <f>tlInputV2MOMValue5Rank</f>
        <v>0.19999999999999996</v>
      </c>
      <c r="Q18" s="12" t="b">
        <v>1</v>
      </c>
      <c r="R18" s="12" t="b">
        <v>1</v>
      </c>
      <c r="S18" s="12">
        <v>0.25</v>
      </c>
      <c r="U18" s="12"/>
      <c r="V18" s="12"/>
      <c r="W18" s="12"/>
      <c r="X18" s="12"/>
      <c r="Y18" s="12"/>
      <c r="AA18" s="12"/>
      <c r="AB18" s="12"/>
      <c r="AC18" s="12"/>
      <c r="AD18" s="12"/>
      <c r="AE18" s="12"/>
      <c r="AG18" s="12"/>
      <c r="AH18" s="12"/>
      <c r="AI18" s="12"/>
      <c r="AJ18" s="12"/>
      <c r="AK18" s="12"/>
    </row>
    <row r="19" spans="2:37">
      <c r="D19" s="10" t="s">
        <v>384</v>
      </c>
      <c r="E19" s="10" t="str">
        <f t="shared" ref="E19:N19" si="13">TLInputV2MOMValue5Desc</f>
        <v>Insert rationale.</v>
      </c>
      <c r="F19" s="10" t="str">
        <f t="shared" si="13"/>
        <v>Insert rationale.</v>
      </c>
      <c r="G19" s="10" t="str">
        <f t="shared" si="13"/>
        <v>Insert rationale.</v>
      </c>
      <c r="H19" s="10" t="str">
        <f t="shared" si="13"/>
        <v>Insert rationale.</v>
      </c>
      <c r="I19" s="10" t="str">
        <f t="shared" si="13"/>
        <v>Insert rationale.</v>
      </c>
      <c r="J19" s="10" t="str">
        <f t="shared" si="13"/>
        <v>Insert rationale.</v>
      </c>
      <c r="K19" s="10" t="str">
        <f t="shared" si="13"/>
        <v>Insert rationale.</v>
      </c>
      <c r="L19" s="10" t="str">
        <f t="shared" si="13"/>
        <v>Insert rationale.</v>
      </c>
      <c r="M19" s="10" t="str">
        <f t="shared" si="13"/>
        <v>Insert rationale.</v>
      </c>
      <c r="N19" s="10" t="str">
        <f t="shared" si="13"/>
        <v>Insert rationale.</v>
      </c>
      <c r="O19" s="11" t="s">
        <v>3045</v>
      </c>
      <c r="P19" s="12" t="str">
        <f>TLInputV2MOMValue5Desc</f>
        <v>Insert rationale.</v>
      </c>
      <c r="Q19" s="12" t="b">
        <v>1</v>
      </c>
      <c r="R19" s="12" t="b">
        <v>1</v>
      </c>
      <c r="S19" s="12" t="s">
        <v>2256</v>
      </c>
      <c r="U19" s="12"/>
      <c r="V19" s="12"/>
      <c r="W19" s="12"/>
      <c r="X19" s="12"/>
      <c r="Y19" s="12"/>
      <c r="AA19" s="12"/>
      <c r="AB19" s="12"/>
      <c r="AC19" s="12"/>
      <c r="AD19" s="12"/>
      <c r="AE19" s="12"/>
      <c r="AG19" s="12"/>
      <c r="AH19" s="12"/>
      <c r="AI19" s="12"/>
      <c r="AJ19" s="12"/>
      <c r="AK19" s="12"/>
    </row>
    <row r="20" spans="2:37">
      <c r="B20" s="11" t="s">
        <v>2258</v>
      </c>
      <c r="O20" s="11"/>
      <c r="P20" s="12"/>
      <c r="Q20" s="12"/>
      <c r="R20" s="12"/>
      <c r="S20" s="12"/>
      <c r="U20" s="12"/>
      <c r="V20" s="12"/>
      <c r="W20" s="12"/>
      <c r="X20" s="12"/>
      <c r="Y20" s="12"/>
      <c r="AA20" s="12"/>
      <c r="AB20" s="12"/>
      <c r="AC20" s="12"/>
      <c r="AD20" s="12"/>
      <c r="AE20" s="12"/>
      <c r="AG20" s="12"/>
      <c r="AH20" s="12"/>
      <c r="AI20" s="12"/>
      <c r="AJ20" s="12"/>
      <c r="AK20" s="12"/>
    </row>
    <row r="21" spans="2:37">
      <c r="D21" s="10" t="s">
        <v>2263</v>
      </c>
      <c r="E21" s="10" t="str">
        <f t="shared" ref="E21:N21" si="14">tlInputV2MOMRisk1</f>
        <v>Please write your response here.</v>
      </c>
      <c r="F21" s="10" t="str">
        <f t="shared" si="14"/>
        <v>Please write your response here.</v>
      </c>
      <c r="G21" s="10" t="str">
        <f t="shared" si="14"/>
        <v>Please write your response here.</v>
      </c>
      <c r="H21" s="10" t="str">
        <f t="shared" si="14"/>
        <v>Please write your response here.</v>
      </c>
      <c r="I21" s="10" t="str">
        <f t="shared" si="14"/>
        <v>Please write your response here.</v>
      </c>
      <c r="J21" s="10" t="str">
        <f t="shared" si="14"/>
        <v>Please write your response here.</v>
      </c>
      <c r="K21" s="10" t="str">
        <f t="shared" si="14"/>
        <v>Please write your response here.</v>
      </c>
      <c r="L21" s="10" t="str">
        <f t="shared" si="14"/>
        <v>Please write your response here.</v>
      </c>
      <c r="M21" s="10" t="str">
        <f t="shared" si="14"/>
        <v>Please write your response here.</v>
      </c>
      <c r="N21" s="10" t="str">
        <f t="shared" si="14"/>
        <v>Please write your response here.</v>
      </c>
      <c r="O21" s="11" t="s">
        <v>2264</v>
      </c>
      <c r="P21" s="12" t="str">
        <f>tlInputV2MOMRisk1</f>
        <v>Please write your response here.</v>
      </c>
      <c r="Q21" s="12" t="b">
        <v>1</v>
      </c>
      <c r="R21" s="12" t="b">
        <v>1</v>
      </c>
      <c r="S21" s="12" t="s">
        <v>2260</v>
      </c>
      <c r="U21" s="12"/>
      <c r="V21" s="12"/>
      <c r="W21" s="12"/>
      <c r="X21" s="12"/>
      <c r="Y21" s="12"/>
      <c r="AA21" s="12"/>
      <c r="AB21" s="12"/>
      <c r="AC21" s="12"/>
      <c r="AD21" s="12"/>
      <c r="AE21" s="12"/>
      <c r="AG21" s="12"/>
      <c r="AH21" s="12"/>
      <c r="AI21" s="12"/>
      <c r="AJ21" s="12"/>
      <c r="AK21" s="12"/>
    </row>
    <row r="22" spans="2:37">
      <c r="D22" s="10" t="s">
        <v>2261</v>
      </c>
      <c r="E22" s="10" t="str">
        <f t="shared" ref="E22:N22" si="15">tlInputV2MOMRisk2</f>
        <v>Please write your response here.</v>
      </c>
      <c r="F22" s="10" t="str">
        <f t="shared" si="15"/>
        <v>Please write your response here.</v>
      </c>
      <c r="G22" s="10" t="str">
        <f t="shared" si="15"/>
        <v>Please write your response here.</v>
      </c>
      <c r="H22" s="10" t="str">
        <f t="shared" si="15"/>
        <v>Please write your response here.</v>
      </c>
      <c r="I22" s="10" t="str">
        <f t="shared" si="15"/>
        <v>Please write your response here.</v>
      </c>
      <c r="J22" s="10" t="str">
        <f t="shared" si="15"/>
        <v>Please write your response here.</v>
      </c>
      <c r="K22" s="10" t="str">
        <f t="shared" si="15"/>
        <v>Please write your response here.</v>
      </c>
      <c r="L22" s="10" t="str">
        <f t="shared" si="15"/>
        <v>Please write your response here.</v>
      </c>
      <c r="M22" s="10" t="str">
        <f t="shared" si="15"/>
        <v>Please write your response here.</v>
      </c>
      <c r="N22" s="10" t="str">
        <f t="shared" si="15"/>
        <v>Please write your response here.</v>
      </c>
      <c r="O22" s="11" t="s">
        <v>2265</v>
      </c>
      <c r="P22" s="12" t="str">
        <f>tlInputV2MOMRisk2</f>
        <v>Please write your response here.</v>
      </c>
      <c r="Q22" s="12" t="b">
        <v>1</v>
      </c>
      <c r="R22" s="12" t="b">
        <v>1</v>
      </c>
      <c r="S22" s="12" t="s">
        <v>2260</v>
      </c>
      <c r="U22" s="12"/>
      <c r="V22" s="12"/>
      <c r="W22" s="12"/>
      <c r="X22" s="12"/>
      <c r="Y22" s="12"/>
      <c r="AA22" s="12"/>
      <c r="AB22" s="12"/>
      <c r="AC22" s="12"/>
      <c r="AD22" s="12"/>
      <c r="AE22" s="12"/>
      <c r="AG22" s="12"/>
      <c r="AH22" s="12"/>
      <c r="AI22" s="12"/>
      <c r="AJ22" s="12"/>
      <c r="AK22" s="12"/>
    </row>
    <row r="23" spans="2:37">
      <c r="D23" s="10" t="s">
        <v>2262</v>
      </c>
      <c r="E23" s="10" t="str">
        <f t="shared" ref="E23:N23" si="16">tlInputV2MOMRisk3</f>
        <v>Please write your response here.</v>
      </c>
      <c r="F23" s="10" t="str">
        <f t="shared" si="16"/>
        <v>Please write your response here.</v>
      </c>
      <c r="G23" s="10" t="str">
        <f t="shared" si="16"/>
        <v>Please write your response here.</v>
      </c>
      <c r="H23" s="10" t="str">
        <f t="shared" si="16"/>
        <v>Please write your response here.</v>
      </c>
      <c r="I23" s="10" t="str">
        <f t="shared" si="16"/>
        <v>Please write your response here.</v>
      </c>
      <c r="J23" s="10" t="str">
        <f t="shared" si="16"/>
        <v>Please write your response here.</v>
      </c>
      <c r="K23" s="10" t="str">
        <f t="shared" si="16"/>
        <v>Please write your response here.</v>
      </c>
      <c r="L23" s="10" t="str">
        <f t="shared" si="16"/>
        <v>Please write your response here.</v>
      </c>
      <c r="M23" s="10" t="str">
        <f t="shared" si="16"/>
        <v>Please write your response here.</v>
      </c>
      <c r="N23" s="10" t="str">
        <f t="shared" si="16"/>
        <v>Please write your response here.</v>
      </c>
      <c r="O23" s="11" t="s">
        <v>2266</v>
      </c>
      <c r="P23" s="12" t="str">
        <f>tlInputV2MOMRisk3</f>
        <v>Please write your response here.</v>
      </c>
      <c r="Q23" s="12" t="b">
        <v>1</v>
      </c>
      <c r="R23" s="12" t="b">
        <v>1</v>
      </c>
      <c r="S23" s="12" t="s">
        <v>2260</v>
      </c>
      <c r="U23" s="12"/>
      <c r="V23" s="12"/>
      <c r="W23" s="12"/>
      <c r="X23" s="12"/>
      <c r="Y23" s="12"/>
      <c r="AA23" s="12"/>
      <c r="AB23" s="12"/>
      <c r="AC23" s="12"/>
      <c r="AD23" s="12"/>
      <c r="AE23" s="12"/>
      <c r="AG23" s="12"/>
      <c r="AH23" s="12"/>
      <c r="AI23" s="12"/>
      <c r="AJ23" s="12"/>
      <c r="AK23" s="12"/>
    </row>
    <row r="24" spans="2:37">
      <c r="C24" s="201" t="s">
        <v>400</v>
      </c>
      <c r="O24" s="11"/>
      <c r="P24" s="12"/>
      <c r="Q24" s="12"/>
      <c r="R24" s="12"/>
      <c r="S24" s="12"/>
      <c r="U24" s="12"/>
      <c r="V24" s="12"/>
      <c r="W24" s="12"/>
      <c r="X24" s="12"/>
      <c r="Y24" s="12"/>
      <c r="AA24" s="12"/>
      <c r="AB24" s="12"/>
      <c r="AC24" s="12"/>
      <c r="AD24" s="12"/>
      <c r="AE24" s="12"/>
      <c r="AG24" s="12"/>
      <c r="AH24" s="12"/>
      <c r="AI24" s="12"/>
      <c r="AJ24" s="12"/>
      <c r="AK24" s="12"/>
    </row>
    <row r="25" spans="2:37">
      <c r="D25" s="10" t="s">
        <v>408</v>
      </c>
      <c r="E25" s="10" t="str">
        <f t="shared" ref="E25:N25" si="17">tlInputPeopleTimeline</f>
        <v>Choose</v>
      </c>
      <c r="F25" s="10" t="str">
        <f t="shared" si="17"/>
        <v>Choose</v>
      </c>
      <c r="G25" s="10" t="str">
        <f t="shared" si="17"/>
        <v>Choose</v>
      </c>
      <c r="H25" s="10" t="str">
        <f t="shared" si="17"/>
        <v>Choose</v>
      </c>
      <c r="I25" s="10" t="str">
        <f t="shared" si="17"/>
        <v>Choose</v>
      </c>
      <c r="J25" s="10" t="str">
        <f t="shared" si="17"/>
        <v>Choose</v>
      </c>
      <c r="K25" s="10" t="str">
        <f t="shared" si="17"/>
        <v>Choose</v>
      </c>
      <c r="L25" s="10" t="str">
        <f t="shared" si="17"/>
        <v>Choose</v>
      </c>
      <c r="M25" s="10" t="str">
        <f t="shared" si="17"/>
        <v>Choose</v>
      </c>
      <c r="N25" s="10" t="str">
        <f t="shared" si="17"/>
        <v>Choose</v>
      </c>
      <c r="O25" s="11" t="s">
        <v>1002</v>
      </c>
      <c r="P25" s="12" t="str">
        <f>tlInputPeopleTimeline</f>
        <v>Choose</v>
      </c>
      <c r="Q25" s="12" t="b">
        <v>1</v>
      </c>
      <c r="R25" s="12" t="b">
        <v>1</v>
      </c>
      <c r="S25" s="12" t="s">
        <v>1665</v>
      </c>
      <c r="U25" s="12"/>
      <c r="V25" s="12"/>
      <c r="W25" s="12"/>
      <c r="X25" s="12"/>
      <c r="Y25" s="12"/>
      <c r="AA25" s="12"/>
      <c r="AB25" s="12"/>
      <c r="AC25" s="12"/>
      <c r="AD25" s="12"/>
      <c r="AE25" s="12"/>
      <c r="AG25" s="12"/>
      <c r="AH25" s="12"/>
      <c r="AI25" s="12"/>
      <c r="AJ25" s="12"/>
      <c r="AK25" s="12"/>
    </row>
    <row r="26" spans="2:37">
      <c r="D26" s="10" t="s">
        <v>1291</v>
      </c>
      <c r="E26" s="224">
        <f t="shared" ref="E26:N26" si="18">ROUND(tlInputPeopleHarmonizationLevel,2)</f>
        <v>0</v>
      </c>
      <c r="F26" s="224">
        <f t="shared" si="18"/>
        <v>0</v>
      </c>
      <c r="G26" s="224">
        <f t="shared" si="18"/>
        <v>0</v>
      </c>
      <c r="H26" s="224">
        <f t="shared" si="18"/>
        <v>0</v>
      </c>
      <c r="I26" s="224">
        <f t="shared" si="18"/>
        <v>0</v>
      </c>
      <c r="J26" s="224">
        <f t="shared" si="18"/>
        <v>0</v>
      </c>
      <c r="K26" s="224">
        <f t="shared" si="18"/>
        <v>0</v>
      </c>
      <c r="L26" s="224">
        <f t="shared" si="18"/>
        <v>0</v>
      </c>
      <c r="M26" s="224">
        <f t="shared" si="18"/>
        <v>0</v>
      </c>
      <c r="N26" s="224">
        <f t="shared" si="18"/>
        <v>0</v>
      </c>
      <c r="O26" s="225" t="s">
        <v>497</v>
      </c>
      <c r="P26" s="226">
        <f>tlInputPeopleHarmonizationLevel</f>
        <v>0</v>
      </c>
      <c r="Q26" s="12" t="b">
        <v>1</v>
      </c>
      <c r="R26" s="12" t="b">
        <v>1</v>
      </c>
      <c r="S26" s="226">
        <v>0</v>
      </c>
      <c r="U26" s="12"/>
      <c r="V26" s="12"/>
      <c r="W26" s="12"/>
      <c r="X26" s="12"/>
      <c r="Y26" s="12"/>
      <c r="AA26" s="12"/>
      <c r="AB26" s="12"/>
      <c r="AC26" s="12"/>
      <c r="AD26" s="12"/>
      <c r="AE26" s="12"/>
      <c r="AG26" s="12"/>
      <c r="AH26" s="12"/>
      <c r="AI26" s="12"/>
      <c r="AJ26" s="12"/>
      <c r="AK26" s="12"/>
    </row>
    <row r="27" spans="2:37">
      <c r="D27" s="10" t="s">
        <v>1290</v>
      </c>
      <c r="E27" s="224">
        <f t="shared" ref="E27:N27" si="19">ROUND(tlInputPeopleNonKeyHarmonizationLevel,2)</f>
        <v>0</v>
      </c>
      <c r="F27" s="224">
        <f t="shared" si="19"/>
        <v>0</v>
      </c>
      <c r="G27" s="224">
        <f t="shared" si="19"/>
        <v>0</v>
      </c>
      <c r="H27" s="224">
        <f t="shared" si="19"/>
        <v>0</v>
      </c>
      <c r="I27" s="224">
        <f t="shared" si="19"/>
        <v>0</v>
      </c>
      <c r="J27" s="224">
        <f t="shared" si="19"/>
        <v>0</v>
      </c>
      <c r="K27" s="224">
        <f t="shared" si="19"/>
        <v>0</v>
      </c>
      <c r="L27" s="224">
        <f t="shared" si="19"/>
        <v>0</v>
      </c>
      <c r="M27" s="224">
        <f t="shared" si="19"/>
        <v>0</v>
      </c>
      <c r="N27" s="224">
        <f t="shared" si="19"/>
        <v>0</v>
      </c>
      <c r="O27" s="225" t="s">
        <v>1292</v>
      </c>
      <c r="P27" s="226">
        <f>tlInputPeopleNonKeyHarmonizationLevel</f>
        <v>0</v>
      </c>
      <c r="Q27" s="12" t="b">
        <v>1</v>
      </c>
      <c r="R27" s="12" t="b">
        <v>1</v>
      </c>
      <c r="S27" s="226">
        <v>0</v>
      </c>
      <c r="U27" s="12"/>
      <c r="V27" s="12"/>
      <c r="W27" s="12"/>
      <c r="X27" s="12"/>
      <c r="Y27" s="12"/>
      <c r="AA27" s="12"/>
      <c r="AB27" s="12"/>
      <c r="AC27" s="12"/>
      <c r="AD27" s="12"/>
      <c r="AE27" s="12"/>
      <c r="AG27" s="12"/>
      <c r="AH27" s="12"/>
      <c r="AI27" s="12"/>
      <c r="AJ27" s="12"/>
      <c r="AK27" s="12"/>
    </row>
    <row r="28" spans="2:37">
      <c r="B28" s="11" t="s">
        <v>1251</v>
      </c>
      <c r="C28" s="201" t="s">
        <v>401</v>
      </c>
      <c r="O28" s="11"/>
      <c r="P28" s="12"/>
      <c r="Q28" s="12"/>
      <c r="R28" s="12"/>
      <c r="S28" s="12"/>
      <c r="U28" s="12"/>
      <c r="V28" s="12"/>
      <c r="W28" s="12"/>
      <c r="X28" s="12"/>
      <c r="Y28" s="12"/>
      <c r="AA28" s="12"/>
      <c r="AB28" s="12"/>
      <c r="AC28" s="12"/>
      <c r="AD28" s="12"/>
      <c r="AE28" s="12"/>
      <c r="AG28" s="12"/>
      <c r="AH28" s="12"/>
      <c r="AI28" s="12"/>
      <c r="AJ28" s="12"/>
      <c r="AK28" s="12"/>
    </row>
    <row r="29" spans="2:37">
      <c r="C29" s="201"/>
      <c r="D29" s="10" t="s">
        <v>1009</v>
      </c>
      <c r="E29" s="10" t="str">
        <f t="shared" ref="E29:N29" si="20">tlInputITTimeline</f>
        <v>Choose</v>
      </c>
      <c r="F29" s="10" t="str">
        <f t="shared" si="20"/>
        <v>Choose</v>
      </c>
      <c r="G29" s="10" t="str">
        <f t="shared" si="20"/>
        <v>Choose</v>
      </c>
      <c r="H29" s="10" t="str">
        <f t="shared" si="20"/>
        <v>Choose</v>
      </c>
      <c r="I29" s="10" t="str">
        <f t="shared" si="20"/>
        <v>Choose</v>
      </c>
      <c r="J29" s="10" t="str">
        <f t="shared" si="20"/>
        <v>Choose</v>
      </c>
      <c r="K29" s="10" t="str">
        <f t="shared" si="20"/>
        <v>Choose</v>
      </c>
      <c r="L29" s="10" t="str">
        <f t="shared" si="20"/>
        <v>Choose</v>
      </c>
      <c r="M29" s="10" t="str">
        <f t="shared" si="20"/>
        <v>Choose</v>
      </c>
      <c r="N29" s="10" t="str">
        <f t="shared" si="20"/>
        <v>Choose</v>
      </c>
      <c r="O29" s="11" t="s">
        <v>1954</v>
      </c>
      <c r="P29" s="12" t="str">
        <f>tlInputITTimeline</f>
        <v>Choose</v>
      </c>
      <c r="Q29" s="12"/>
      <c r="R29" s="12"/>
      <c r="S29" s="12" t="s">
        <v>1665</v>
      </c>
      <c r="U29" s="12"/>
      <c r="V29" s="12"/>
      <c r="W29" s="12"/>
      <c r="X29" s="12"/>
      <c r="Y29" s="12"/>
      <c r="AA29" s="12"/>
      <c r="AB29" s="12"/>
      <c r="AC29" s="12"/>
      <c r="AD29" s="12"/>
      <c r="AE29" s="12"/>
      <c r="AG29" s="12"/>
      <c r="AH29" s="12"/>
      <c r="AI29" s="12"/>
      <c r="AJ29" s="12"/>
      <c r="AK29" s="12"/>
    </row>
    <row r="30" spans="2:37">
      <c r="D30" s="10" t="s">
        <v>1008</v>
      </c>
      <c r="E30" s="428">
        <f t="shared" ref="E30:N30" si="21">ROUND(tlInputITIntegrationLevel,1)</f>
        <v>0</v>
      </c>
      <c r="F30" s="428">
        <f t="shared" si="21"/>
        <v>0</v>
      </c>
      <c r="G30" s="428">
        <f t="shared" si="21"/>
        <v>0</v>
      </c>
      <c r="H30" s="428">
        <f t="shared" si="21"/>
        <v>0</v>
      </c>
      <c r="I30" s="428">
        <f t="shared" si="21"/>
        <v>0</v>
      </c>
      <c r="J30" s="428">
        <f t="shared" si="21"/>
        <v>0</v>
      </c>
      <c r="K30" s="428">
        <f t="shared" si="21"/>
        <v>0</v>
      </c>
      <c r="L30" s="428">
        <f t="shared" si="21"/>
        <v>0</v>
      </c>
      <c r="M30" s="428">
        <f t="shared" si="21"/>
        <v>0</v>
      </c>
      <c r="N30" s="428">
        <f t="shared" si="21"/>
        <v>0</v>
      </c>
      <c r="O30" s="225" t="s">
        <v>1010</v>
      </c>
      <c r="P30" s="802">
        <f>tlInputITIntegrationLevel</f>
        <v>0</v>
      </c>
      <c r="Q30" s="12" t="b">
        <v>1</v>
      </c>
      <c r="R30" s="12" t="b">
        <v>1</v>
      </c>
      <c r="S30" s="12">
        <v>0</v>
      </c>
      <c r="U30" s="12"/>
      <c r="V30" s="12"/>
      <c r="W30" s="12"/>
      <c r="X30" s="12"/>
      <c r="Y30" s="12"/>
      <c r="AA30" s="12"/>
      <c r="AB30" s="12"/>
      <c r="AC30" s="12"/>
      <c r="AD30" s="12"/>
      <c r="AE30" s="12"/>
      <c r="AG30" s="12"/>
      <c r="AH30" s="12"/>
      <c r="AI30" s="12"/>
      <c r="AJ30" s="12"/>
      <c r="AK30" s="12"/>
    </row>
    <row r="31" spans="2:37">
      <c r="D31" s="10" t="s">
        <v>495</v>
      </c>
      <c r="E31" s="224" t="str">
        <f t="shared" ref="E31:N31" si="22">tlInputITOfficePlan</f>
        <v>Choose</v>
      </c>
      <c r="F31" s="224" t="str">
        <f t="shared" si="22"/>
        <v>Choose</v>
      </c>
      <c r="G31" s="224" t="str">
        <f t="shared" si="22"/>
        <v>Choose</v>
      </c>
      <c r="H31" s="224" t="str">
        <f t="shared" si="22"/>
        <v>Choose</v>
      </c>
      <c r="I31" s="224" t="str">
        <f t="shared" si="22"/>
        <v>Choose</v>
      </c>
      <c r="J31" s="224" t="str">
        <f t="shared" si="22"/>
        <v>Choose</v>
      </c>
      <c r="K31" s="224" t="str">
        <f t="shared" si="22"/>
        <v>Choose</v>
      </c>
      <c r="L31" s="224" t="str">
        <f t="shared" si="22"/>
        <v>Choose</v>
      </c>
      <c r="M31" s="224" t="str">
        <f t="shared" si="22"/>
        <v>Choose</v>
      </c>
      <c r="N31" s="224" t="str">
        <f t="shared" si="22"/>
        <v>Choose</v>
      </c>
      <c r="O31" s="225" t="s">
        <v>1011</v>
      </c>
      <c r="P31" s="226" t="str">
        <f>tlInputITOfficePlan</f>
        <v>Choose</v>
      </c>
      <c r="Q31" s="12" t="b">
        <v>1</v>
      </c>
      <c r="R31" s="12" t="b">
        <v>1</v>
      </c>
      <c r="S31" s="12" t="s">
        <v>1665</v>
      </c>
      <c r="U31" s="12"/>
      <c r="V31" s="12"/>
      <c r="W31" s="12"/>
      <c r="X31" s="12"/>
      <c r="Y31" s="12"/>
      <c r="AA31" s="12"/>
      <c r="AB31" s="12"/>
      <c r="AC31" s="12"/>
      <c r="AD31" s="12"/>
      <c r="AE31" s="12"/>
      <c r="AG31" s="12"/>
      <c r="AH31" s="12"/>
      <c r="AI31" s="12"/>
      <c r="AJ31" s="12"/>
      <c r="AK31" s="12"/>
    </row>
    <row r="32" spans="2:37">
      <c r="C32" s="201" t="s">
        <v>519</v>
      </c>
      <c r="E32" s="224"/>
      <c r="F32" s="224"/>
      <c r="G32" s="224"/>
      <c r="H32" s="224"/>
      <c r="I32" s="224"/>
      <c r="J32" s="224"/>
      <c r="K32" s="224"/>
      <c r="L32" s="224"/>
      <c r="M32" s="224"/>
      <c r="N32" s="224"/>
      <c r="O32" s="225"/>
      <c r="P32" s="226"/>
      <c r="Q32" s="12"/>
      <c r="R32" s="12"/>
      <c r="S32" s="12"/>
      <c r="U32" s="12"/>
      <c r="V32" s="12"/>
      <c r="W32" s="12"/>
      <c r="X32" s="12"/>
      <c r="Y32" s="12"/>
      <c r="AA32" s="12"/>
      <c r="AB32" s="12"/>
      <c r="AC32" s="12"/>
      <c r="AD32" s="12"/>
      <c r="AE32" s="12"/>
      <c r="AG32" s="12"/>
      <c r="AH32" s="12"/>
      <c r="AI32" s="12"/>
      <c r="AJ32" s="12"/>
      <c r="AK32" s="12"/>
    </row>
    <row r="33" spans="2:37">
      <c r="C33" s="10" t="s">
        <v>409</v>
      </c>
      <c r="E33" s="224"/>
      <c r="F33" s="224"/>
      <c r="G33" s="224"/>
      <c r="H33" s="224"/>
      <c r="I33" s="224"/>
      <c r="J33" s="224"/>
      <c r="K33" s="224"/>
      <c r="L33" s="224"/>
      <c r="M33" s="224"/>
      <c r="N33" s="224"/>
      <c r="O33" s="225"/>
      <c r="P33" s="226"/>
      <c r="Q33" s="12"/>
      <c r="R33" s="12"/>
      <c r="S33" s="12"/>
      <c r="U33" s="12"/>
      <c r="V33" s="12"/>
      <c r="W33" s="12"/>
      <c r="X33" s="12"/>
      <c r="Y33" s="12"/>
      <c r="AA33" s="12"/>
      <c r="AB33" s="12"/>
      <c r="AC33" s="12"/>
      <c r="AD33" s="12"/>
      <c r="AE33" s="12"/>
      <c r="AG33" s="12"/>
      <c r="AH33" s="12"/>
      <c r="AI33" s="12"/>
      <c r="AJ33" s="12"/>
      <c r="AK33" s="12"/>
    </row>
    <row r="34" spans="2:37">
      <c r="D34" s="10" t="s">
        <v>974</v>
      </c>
      <c r="E34" s="224" t="str">
        <f t="shared" ref="E34:N34" si="23">tlInputSecurityTimeline</f>
        <v>Choose</v>
      </c>
      <c r="F34" s="224" t="str">
        <f t="shared" si="23"/>
        <v>Choose</v>
      </c>
      <c r="G34" s="224" t="str">
        <f t="shared" si="23"/>
        <v>Choose</v>
      </c>
      <c r="H34" s="224" t="str">
        <f t="shared" si="23"/>
        <v>Choose</v>
      </c>
      <c r="I34" s="224" t="str">
        <f t="shared" si="23"/>
        <v>Choose</v>
      </c>
      <c r="J34" s="224" t="str">
        <f t="shared" si="23"/>
        <v>Choose</v>
      </c>
      <c r="K34" s="224" t="str">
        <f t="shared" si="23"/>
        <v>Choose</v>
      </c>
      <c r="L34" s="224" t="str">
        <f t="shared" si="23"/>
        <v>Choose</v>
      </c>
      <c r="M34" s="224" t="str">
        <f t="shared" si="23"/>
        <v>Choose</v>
      </c>
      <c r="N34" s="224" t="str">
        <f t="shared" si="23"/>
        <v>Choose</v>
      </c>
      <c r="O34" s="225" t="s">
        <v>1955</v>
      </c>
      <c r="P34" s="226" t="str">
        <f>tlInputSecurityTimeline</f>
        <v>Choose</v>
      </c>
      <c r="Q34" s="12" t="b">
        <v>1</v>
      </c>
      <c r="R34" s="12" t="b">
        <v>1</v>
      </c>
      <c r="S34" s="12" t="s">
        <v>1665</v>
      </c>
      <c r="U34" s="12"/>
      <c r="V34" s="12"/>
      <c r="W34" s="12"/>
      <c r="X34" s="12"/>
      <c r="Y34" s="12"/>
      <c r="AA34" s="12"/>
      <c r="AB34" s="12"/>
      <c r="AC34" s="12"/>
      <c r="AD34" s="12"/>
      <c r="AE34" s="12"/>
      <c r="AG34" s="12"/>
      <c r="AH34" s="12"/>
      <c r="AI34" s="12"/>
      <c r="AJ34" s="12"/>
      <c r="AK34" s="12"/>
    </row>
    <row r="35" spans="2:37">
      <c r="D35" s="10" t="s">
        <v>410</v>
      </c>
      <c r="E35" s="224" t="str">
        <f t="shared" ref="E35:N35" si="24">IF(tlInputSecurityP0RiskMitigation="Choose","Choose",ROUND(tlInputSecurityP0RiskMitigation,2))</f>
        <v>Choose</v>
      </c>
      <c r="F35" s="224" t="str">
        <f t="shared" si="24"/>
        <v>Choose</v>
      </c>
      <c r="G35" s="224" t="str">
        <f t="shared" si="24"/>
        <v>Choose</v>
      </c>
      <c r="H35" s="224" t="str">
        <f t="shared" si="24"/>
        <v>Choose</v>
      </c>
      <c r="I35" s="224" t="str">
        <f t="shared" si="24"/>
        <v>Choose</v>
      </c>
      <c r="J35" s="224" t="str">
        <f t="shared" si="24"/>
        <v>Choose</v>
      </c>
      <c r="K35" s="224" t="str">
        <f t="shared" si="24"/>
        <v>Choose</v>
      </c>
      <c r="L35" s="224" t="str">
        <f t="shared" si="24"/>
        <v>Choose</v>
      </c>
      <c r="M35" s="224" t="str">
        <f t="shared" si="24"/>
        <v>Choose</v>
      </c>
      <c r="N35" s="224" t="str">
        <f t="shared" si="24"/>
        <v>Choose</v>
      </c>
      <c r="O35" s="225" t="s">
        <v>1028</v>
      </c>
      <c r="P35" s="226" t="str">
        <f>tlInputSecurityP0RiskMitigation</f>
        <v>Choose</v>
      </c>
      <c r="Q35" s="12" t="b">
        <v>1</v>
      </c>
      <c r="R35" s="12" t="b">
        <v>1</v>
      </c>
      <c r="S35" s="12" t="s">
        <v>1665</v>
      </c>
      <c r="U35" s="12"/>
      <c r="V35" s="12"/>
      <c r="W35" s="12"/>
      <c r="X35" s="12"/>
      <c r="Y35" s="12"/>
      <c r="AA35" s="12"/>
      <c r="AB35" s="12"/>
      <c r="AC35" s="12"/>
      <c r="AD35" s="12"/>
      <c r="AE35" s="12"/>
      <c r="AG35" s="12"/>
      <c r="AH35" s="12"/>
      <c r="AI35" s="12"/>
      <c r="AJ35" s="12"/>
      <c r="AK35" s="12"/>
    </row>
    <row r="36" spans="2:37">
      <c r="D36" s="10" t="s">
        <v>412</v>
      </c>
      <c r="E36" s="224" t="str">
        <f t="shared" ref="E36:N36" si="25">IF(tlInputSecurityP1RiskMitigation="Choose","Choose",ROUND(tlInputSecurityP1RiskMitigation,2))</f>
        <v>Choose</v>
      </c>
      <c r="F36" s="224" t="str">
        <f t="shared" si="25"/>
        <v>Choose</v>
      </c>
      <c r="G36" s="224" t="str">
        <f t="shared" si="25"/>
        <v>Choose</v>
      </c>
      <c r="H36" s="224" t="str">
        <f t="shared" si="25"/>
        <v>Choose</v>
      </c>
      <c r="I36" s="224" t="str">
        <f t="shared" si="25"/>
        <v>Choose</v>
      </c>
      <c r="J36" s="224" t="str">
        <f t="shared" si="25"/>
        <v>Choose</v>
      </c>
      <c r="K36" s="224" t="str">
        <f t="shared" si="25"/>
        <v>Choose</v>
      </c>
      <c r="L36" s="224" t="str">
        <f t="shared" si="25"/>
        <v>Choose</v>
      </c>
      <c r="M36" s="224" t="str">
        <f t="shared" si="25"/>
        <v>Choose</v>
      </c>
      <c r="N36" s="224" t="str">
        <f t="shared" si="25"/>
        <v>Choose</v>
      </c>
      <c r="O36" s="225" t="s">
        <v>1029</v>
      </c>
      <c r="P36" s="226" t="str">
        <f>tlInputSecurityP1RiskMitigation</f>
        <v>Choose</v>
      </c>
      <c r="Q36" s="12" t="b">
        <v>1</v>
      </c>
      <c r="R36" s="12" t="b">
        <v>1</v>
      </c>
      <c r="S36" s="12" t="s">
        <v>1665</v>
      </c>
      <c r="U36" s="12"/>
      <c r="V36" s="12"/>
      <c r="W36" s="12"/>
      <c r="X36" s="12"/>
      <c r="Y36" s="12"/>
      <c r="AA36" s="12"/>
      <c r="AB36" s="12"/>
      <c r="AC36" s="12"/>
      <c r="AD36" s="12"/>
      <c r="AE36" s="12"/>
      <c r="AG36" s="12"/>
      <c r="AH36" s="12"/>
      <c r="AI36" s="12"/>
      <c r="AJ36" s="12"/>
      <c r="AK36" s="12"/>
    </row>
    <row r="37" spans="2:37">
      <c r="D37" s="10" t="s">
        <v>411</v>
      </c>
      <c r="E37" s="224" t="str">
        <f t="shared" ref="E37:N37" si="26">IF(tlInputSecurityP2RiskMitigation="Choose","Choose",ROUND(tlInputSecurityP2RiskMitigation,2))</f>
        <v>Choose</v>
      </c>
      <c r="F37" s="224" t="str">
        <f t="shared" si="26"/>
        <v>Choose</v>
      </c>
      <c r="G37" s="224" t="str">
        <f t="shared" si="26"/>
        <v>Choose</v>
      </c>
      <c r="H37" s="224" t="str">
        <f t="shared" si="26"/>
        <v>Choose</v>
      </c>
      <c r="I37" s="224" t="str">
        <f t="shared" si="26"/>
        <v>Choose</v>
      </c>
      <c r="J37" s="224" t="str">
        <f t="shared" si="26"/>
        <v>Choose</v>
      </c>
      <c r="K37" s="224" t="str">
        <f t="shared" si="26"/>
        <v>Choose</v>
      </c>
      <c r="L37" s="224" t="str">
        <f t="shared" si="26"/>
        <v>Choose</v>
      </c>
      <c r="M37" s="224" t="str">
        <f t="shared" si="26"/>
        <v>Choose</v>
      </c>
      <c r="N37" s="224" t="str">
        <f t="shared" si="26"/>
        <v>Choose</v>
      </c>
      <c r="O37" s="225" t="s">
        <v>1030</v>
      </c>
      <c r="P37" s="226" t="str">
        <f>tlInputSecurityP2RiskMitigation</f>
        <v>Choose</v>
      </c>
      <c r="Q37" s="12" t="b">
        <v>1</v>
      </c>
      <c r="R37" s="12" t="b">
        <v>1</v>
      </c>
      <c r="S37" s="12" t="s">
        <v>1665</v>
      </c>
      <c r="U37" s="12"/>
      <c r="V37" s="12"/>
      <c r="W37" s="12"/>
      <c r="X37" s="12"/>
      <c r="Y37" s="12"/>
      <c r="AA37" s="12"/>
      <c r="AB37" s="12"/>
      <c r="AC37" s="12"/>
      <c r="AD37" s="12"/>
      <c r="AE37" s="12"/>
      <c r="AG37" s="12"/>
      <c r="AH37" s="12"/>
      <c r="AI37" s="12"/>
      <c r="AJ37" s="12"/>
      <c r="AK37" s="12"/>
    </row>
    <row r="38" spans="2:37">
      <c r="D38" s="10" t="s">
        <v>506</v>
      </c>
      <c r="E38" s="224" t="str">
        <f t="shared" ref="E38:N38" si="27">tlInputSecurityBuildSiteInfrastructure</f>
        <v>Choose</v>
      </c>
      <c r="F38" s="224" t="str">
        <f t="shared" si="27"/>
        <v>Choose</v>
      </c>
      <c r="G38" s="224" t="str">
        <f t="shared" si="27"/>
        <v>Choose</v>
      </c>
      <c r="H38" s="224" t="str">
        <f t="shared" si="27"/>
        <v>Choose</v>
      </c>
      <c r="I38" s="224" t="str">
        <f t="shared" si="27"/>
        <v>Choose</v>
      </c>
      <c r="J38" s="224" t="str">
        <f t="shared" si="27"/>
        <v>Choose</v>
      </c>
      <c r="K38" s="224" t="str">
        <f t="shared" si="27"/>
        <v>Choose</v>
      </c>
      <c r="L38" s="224" t="str">
        <f t="shared" si="27"/>
        <v>Choose</v>
      </c>
      <c r="M38" s="224" t="str">
        <f t="shared" si="27"/>
        <v>Choose</v>
      </c>
      <c r="N38" s="224" t="str">
        <f t="shared" si="27"/>
        <v>Choose</v>
      </c>
      <c r="O38" s="225" t="s">
        <v>1031</v>
      </c>
      <c r="P38" s="226" t="str">
        <f>tlInputSecurityBuildSiteInfrastructure</f>
        <v>Choose</v>
      </c>
      <c r="Q38" s="12" t="b">
        <v>1</v>
      </c>
      <c r="R38" s="12" t="b">
        <v>1</v>
      </c>
      <c r="S38" s="12" t="s">
        <v>1665</v>
      </c>
      <c r="U38" s="12"/>
      <c r="V38" s="12"/>
      <c r="W38" s="12"/>
      <c r="X38" s="12"/>
      <c r="Y38" s="12"/>
      <c r="AA38" s="12"/>
      <c r="AB38" s="12"/>
      <c r="AC38" s="12"/>
      <c r="AD38" s="12"/>
      <c r="AE38" s="12"/>
      <c r="AG38" s="12"/>
      <c r="AH38" s="12"/>
      <c r="AI38" s="12"/>
      <c r="AJ38" s="12"/>
      <c r="AK38" s="12"/>
    </row>
    <row r="39" spans="2:37">
      <c r="D39" s="10" t="s">
        <v>1032</v>
      </c>
      <c r="E39" s="224" t="str">
        <f t="shared" ref="E39:N39" si="28">tlInputSecurityProductRestrictions</f>
        <v>Choose</v>
      </c>
      <c r="F39" s="224" t="str">
        <f t="shared" si="28"/>
        <v>Choose</v>
      </c>
      <c r="G39" s="224" t="str">
        <f t="shared" si="28"/>
        <v>Choose</v>
      </c>
      <c r="H39" s="224" t="str">
        <f t="shared" si="28"/>
        <v>Choose</v>
      </c>
      <c r="I39" s="224" t="str">
        <f t="shared" si="28"/>
        <v>Choose</v>
      </c>
      <c r="J39" s="224" t="str">
        <f t="shared" si="28"/>
        <v>Choose</v>
      </c>
      <c r="K39" s="224" t="str">
        <f t="shared" si="28"/>
        <v>Choose</v>
      </c>
      <c r="L39" s="224" t="str">
        <f t="shared" si="28"/>
        <v>Choose</v>
      </c>
      <c r="M39" s="224" t="str">
        <f t="shared" si="28"/>
        <v>Choose</v>
      </c>
      <c r="N39" s="224" t="str">
        <f t="shared" si="28"/>
        <v>Choose</v>
      </c>
      <c r="O39" s="225" t="s">
        <v>1033</v>
      </c>
      <c r="P39" s="226" t="str">
        <f>tlInputSecurityProductRestrictions</f>
        <v>Choose</v>
      </c>
      <c r="Q39" s="12" t="b">
        <v>1</v>
      </c>
      <c r="R39" s="12" t="b">
        <v>1</v>
      </c>
      <c r="S39" s="12" t="s">
        <v>1665</v>
      </c>
      <c r="U39" s="12"/>
      <c r="V39" s="12"/>
      <c r="W39" s="12"/>
      <c r="X39" s="12"/>
      <c r="Y39" s="12"/>
      <c r="AA39" s="12"/>
      <c r="AB39" s="12"/>
      <c r="AC39" s="12"/>
      <c r="AD39" s="12"/>
      <c r="AE39" s="12"/>
      <c r="AG39" s="12"/>
      <c r="AH39" s="12"/>
      <c r="AI39" s="12"/>
      <c r="AJ39" s="12"/>
      <c r="AK39" s="12"/>
    </row>
    <row r="40" spans="2:37">
      <c r="C40" s="201" t="s">
        <v>1034</v>
      </c>
      <c r="E40" s="224"/>
      <c r="F40" s="224"/>
      <c r="G40" s="224"/>
      <c r="H40" s="224"/>
      <c r="I40" s="224"/>
      <c r="J40" s="224"/>
      <c r="K40" s="224"/>
      <c r="L40" s="224"/>
      <c r="M40" s="224"/>
      <c r="N40" s="224"/>
      <c r="O40" s="225"/>
      <c r="P40" s="226"/>
      <c r="Q40" s="12"/>
      <c r="R40" s="12"/>
      <c r="S40" s="12"/>
      <c r="U40" s="12"/>
      <c r="V40" s="12"/>
      <c r="W40" s="12"/>
      <c r="X40" s="12"/>
      <c r="Y40" s="12"/>
      <c r="AA40" s="12"/>
      <c r="AB40" s="12"/>
      <c r="AC40" s="12"/>
      <c r="AD40" s="12"/>
      <c r="AE40" s="12"/>
      <c r="AG40" s="12"/>
      <c r="AH40" s="12"/>
      <c r="AI40" s="12"/>
      <c r="AJ40" s="12"/>
      <c r="AK40" s="12"/>
    </row>
    <row r="41" spans="2:37">
      <c r="D41" s="10" t="s">
        <v>1035</v>
      </c>
      <c r="E41" s="428" t="str">
        <f t="shared" ref="E41:N41" si="29">tlInputGTMOrg62Timeline</f>
        <v>Choose</v>
      </c>
      <c r="F41" s="428" t="str">
        <f t="shared" si="29"/>
        <v>Choose</v>
      </c>
      <c r="G41" s="428" t="str">
        <f t="shared" si="29"/>
        <v>Choose</v>
      </c>
      <c r="H41" s="428" t="str">
        <f t="shared" si="29"/>
        <v>Choose</v>
      </c>
      <c r="I41" s="428" t="str">
        <f t="shared" si="29"/>
        <v>Choose</v>
      </c>
      <c r="J41" s="428" t="str">
        <f t="shared" si="29"/>
        <v>Choose</v>
      </c>
      <c r="K41" s="428" t="str">
        <f t="shared" si="29"/>
        <v>Choose</v>
      </c>
      <c r="L41" s="428" t="str">
        <f t="shared" si="29"/>
        <v>Choose</v>
      </c>
      <c r="M41" s="428" t="str">
        <f t="shared" si="29"/>
        <v>Choose</v>
      </c>
      <c r="N41" s="428" t="str">
        <f t="shared" si="29"/>
        <v>Choose</v>
      </c>
      <c r="O41" s="225" t="s">
        <v>1037</v>
      </c>
      <c r="P41" s="226" t="str">
        <f>tlInputGTMOrg62Timeline</f>
        <v>Choose</v>
      </c>
      <c r="Q41" s="12" t="b">
        <v>1</v>
      </c>
      <c r="R41" s="12" t="b">
        <v>1</v>
      </c>
      <c r="S41" s="12" t="s">
        <v>1665</v>
      </c>
      <c r="U41" s="12"/>
      <c r="V41" s="12"/>
      <c r="W41" s="12"/>
      <c r="X41" s="12"/>
      <c r="Y41" s="12"/>
      <c r="AA41" s="12"/>
      <c r="AB41" s="12"/>
      <c r="AC41" s="12"/>
      <c r="AD41" s="12"/>
      <c r="AE41" s="12"/>
      <c r="AG41" s="12"/>
      <c r="AH41" s="12"/>
      <c r="AI41" s="12"/>
      <c r="AJ41" s="12"/>
      <c r="AK41" s="12"/>
    </row>
    <row r="42" spans="2:37">
      <c r="D42" s="10" t="s">
        <v>1036</v>
      </c>
      <c r="E42" s="224" t="str">
        <f t="shared" ref="E42:N42" si="30">tlInputGTMExternalSales</f>
        <v>Choose</v>
      </c>
      <c r="F42" s="224" t="str">
        <f t="shared" si="30"/>
        <v>Choose</v>
      </c>
      <c r="G42" s="224" t="str">
        <f t="shared" si="30"/>
        <v>Choose</v>
      </c>
      <c r="H42" s="224" t="str">
        <f t="shared" si="30"/>
        <v>Choose</v>
      </c>
      <c r="I42" s="224" t="str">
        <f t="shared" si="30"/>
        <v>Choose</v>
      </c>
      <c r="J42" s="224" t="str">
        <f t="shared" si="30"/>
        <v>Choose</v>
      </c>
      <c r="K42" s="224" t="str">
        <f t="shared" si="30"/>
        <v>Choose</v>
      </c>
      <c r="L42" s="224" t="str">
        <f t="shared" si="30"/>
        <v>Choose</v>
      </c>
      <c r="M42" s="224" t="str">
        <f t="shared" si="30"/>
        <v>Choose</v>
      </c>
      <c r="N42" s="224" t="str">
        <f t="shared" si="30"/>
        <v>Choose</v>
      </c>
      <c r="O42" s="225" t="s">
        <v>1038</v>
      </c>
      <c r="P42" s="226" t="str">
        <f>tlInputGTMExternalSales</f>
        <v>Choose</v>
      </c>
      <c r="Q42" s="12" t="b">
        <v>1</v>
      </c>
      <c r="R42" s="12" t="b">
        <v>1</v>
      </c>
      <c r="S42" s="12" t="s">
        <v>1665</v>
      </c>
      <c r="U42" s="12"/>
      <c r="V42" s="12"/>
      <c r="W42" s="12"/>
      <c r="X42" s="12"/>
      <c r="Y42" s="12"/>
      <c r="AA42" s="12"/>
      <c r="AB42" s="12"/>
      <c r="AC42" s="12"/>
      <c r="AD42" s="12"/>
      <c r="AE42" s="12"/>
      <c r="AG42" s="12"/>
      <c r="AH42" s="12"/>
      <c r="AI42" s="12"/>
      <c r="AJ42" s="12"/>
      <c r="AK42" s="12"/>
    </row>
    <row r="43" spans="2:37">
      <c r="D43" s="10" t="s">
        <v>2284</v>
      </c>
      <c r="E43" s="224" t="str">
        <f t="shared" ref="E43:N43" si="31">tlInputGTMCSGPostSales</f>
        <v>Choose</v>
      </c>
      <c r="F43" s="224" t="str">
        <f t="shared" si="31"/>
        <v>Choose</v>
      </c>
      <c r="G43" s="224" t="str">
        <f t="shared" si="31"/>
        <v>Choose</v>
      </c>
      <c r="H43" s="224" t="str">
        <f t="shared" si="31"/>
        <v>Choose</v>
      </c>
      <c r="I43" s="224" t="str">
        <f t="shared" si="31"/>
        <v>Choose</v>
      </c>
      <c r="J43" s="224" t="str">
        <f t="shared" si="31"/>
        <v>Choose</v>
      </c>
      <c r="K43" s="224" t="str">
        <f t="shared" si="31"/>
        <v>Choose</v>
      </c>
      <c r="L43" s="224" t="str">
        <f t="shared" si="31"/>
        <v>Choose</v>
      </c>
      <c r="M43" s="224" t="str">
        <f t="shared" si="31"/>
        <v>Choose</v>
      </c>
      <c r="N43" s="224" t="str">
        <f t="shared" si="31"/>
        <v>Choose</v>
      </c>
      <c r="O43" s="225" t="s">
        <v>2285</v>
      </c>
      <c r="P43" s="226" t="str">
        <f>tlInputGTMCSGPostSales</f>
        <v>Choose</v>
      </c>
      <c r="Q43" s="12" t="b">
        <v>1</v>
      </c>
      <c r="R43" s="12" t="b">
        <v>1</v>
      </c>
      <c r="S43" s="12" t="s">
        <v>1665</v>
      </c>
      <c r="U43" s="12"/>
      <c r="V43" s="12"/>
      <c r="W43" s="12"/>
      <c r="X43" s="12"/>
      <c r="Y43" s="12"/>
      <c r="AA43" s="12"/>
      <c r="AB43" s="12"/>
      <c r="AC43" s="12"/>
      <c r="AD43" s="12"/>
      <c r="AE43" s="12"/>
      <c r="AG43" s="12"/>
      <c r="AH43" s="12"/>
      <c r="AI43" s="12"/>
      <c r="AJ43" s="12"/>
      <c r="AK43" s="12"/>
    </row>
    <row r="44" spans="2:37">
      <c r="D44" s="10" t="s">
        <v>3079</v>
      </c>
      <c r="E44" s="224" t="str">
        <f t="shared" ref="E44:N44" si="32">tlInputGTMBrandIntegration</f>
        <v>Choose</v>
      </c>
      <c r="F44" s="224" t="str">
        <f t="shared" si="32"/>
        <v>Choose</v>
      </c>
      <c r="G44" s="224" t="str">
        <f t="shared" si="32"/>
        <v>Choose</v>
      </c>
      <c r="H44" s="224" t="str">
        <f t="shared" si="32"/>
        <v>Choose</v>
      </c>
      <c r="I44" s="224" t="str">
        <f t="shared" si="32"/>
        <v>Choose</v>
      </c>
      <c r="J44" s="224" t="str">
        <f t="shared" si="32"/>
        <v>Choose</v>
      </c>
      <c r="K44" s="224" t="str">
        <f t="shared" si="32"/>
        <v>Choose</v>
      </c>
      <c r="L44" s="224" t="str">
        <f t="shared" si="32"/>
        <v>Choose</v>
      </c>
      <c r="M44" s="224" t="str">
        <f t="shared" si="32"/>
        <v>Choose</v>
      </c>
      <c r="N44" s="224" t="str">
        <f t="shared" si="32"/>
        <v>Choose</v>
      </c>
      <c r="O44" s="225" t="s">
        <v>3082</v>
      </c>
      <c r="P44" s="226" t="str">
        <f>tlInputGTMBrandIntegration</f>
        <v>Choose</v>
      </c>
      <c r="Q44" s="12" t="b">
        <v>1</v>
      </c>
      <c r="R44" s="12" t="b">
        <v>1</v>
      </c>
      <c r="S44" s="12" t="s">
        <v>1665</v>
      </c>
      <c r="U44" s="12"/>
      <c r="V44" s="12"/>
      <c r="W44" s="12"/>
      <c r="X44" s="12"/>
      <c r="Y44" s="12"/>
      <c r="AA44" s="12"/>
      <c r="AB44" s="12"/>
      <c r="AC44" s="12"/>
      <c r="AD44" s="12"/>
      <c r="AE44" s="12"/>
      <c r="AG44" s="12"/>
      <c r="AH44" s="12"/>
      <c r="AI44" s="12"/>
      <c r="AJ44" s="12"/>
      <c r="AK44" s="12"/>
    </row>
    <row r="45" spans="2:37">
      <c r="D45" s="11" t="s">
        <v>2277</v>
      </c>
      <c r="E45" s="224" t="str">
        <f t="shared" ref="E45:N45" si="33">tlInputGTMLeadPass</f>
        <v>Choose</v>
      </c>
      <c r="F45" s="224" t="str">
        <f t="shared" si="33"/>
        <v>Choose</v>
      </c>
      <c r="G45" s="224" t="str">
        <f t="shared" si="33"/>
        <v>Choose</v>
      </c>
      <c r="H45" s="224" t="str">
        <f t="shared" si="33"/>
        <v>Choose</v>
      </c>
      <c r="I45" s="224" t="str">
        <f t="shared" si="33"/>
        <v>Choose</v>
      </c>
      <c r="J45" s="224" t="str">
        <f t="shared" si="33"/>
        <v>Choose</v>
      </c>
      <c r="K45" s="224" t="str">
        <f t="shared" si="33"/>
        <v>Choose</v>
      </c>
      <c r="L45" s="224" t="str">
        <f t="shared" si="33"/>
        <v>Choose</v>
      </c>
      <c r="M45" s="224" t="str">
        <f t="shared" si="33"/>
        <v>Choose</v>
      </c>
      <c r="N45" s="224" t="str">
        <f t="shared" si="33"/>
        <v>Choose</v>
      </c>
      <c r="O45" s="225" t="s">
        <v>2278</v>
      </c>
      <c r="P45" s="226" t="str">
        <f>tlInputGTMLeadPass</f>
        <v>Choose</v>
      </c>
      <c r="Q45" s="12" t="b">
        <v>1</v>
      </c>
      <c r="R45" s="12" t="b">
        <v>1</v>
      </c>
      <c r="S45" s="12" t="s">
        <v>1665</v>
      </c>
      <c r="U45" s="12"/>
      <c r="V45" s="12"/>
      <c r="W45" s="12"/>
      <c r="X45" s="12"/>
      <c r="Y45" s="12"/>
      <c r="AA45" s="12"/>
      <c r="AB45" s="12"/>
      <c r="AC45" s="12"/>
      <c r="AD45" s="12"/>
      <c r="AE45" s="12"/>
      <c r="AG45" s="12"/>
      <c r="AH45" s="12"/>
      <c r="AI45" s="12"/>
      <c r="AJ45" s="12"/>
      <c r="AK45" s="12"/>
    </row>
    <row r="46" spans="2:37">
      <c r="C46" s="201" t="s">
        <v>402</v>
      </c>
      <c r="E46" s="224"/>
      <c r="F46" s="224"/>
      <c r="G46" s="224"/>
      <c r="H46" s="224"/>
      <c r="I46" s="224"/>
      <c r="J46" s="224"/>
      <c r="K46" s="224"/>
      <c r="L46" s="224"/>
      <c r="M46" s="224"/>
      <c r="N46" s="224"/>
      <c r="O46" s="225"/>
      <c r="P46" s="226"/>
      <c r="Q46" s="12"/>
      <c r="R46" s="12"/>
      <c r="S46" s="12"/>
      <c r="U46" s="12"/>
      <c r="V46" s="12"/>
      <c r="W46" s="12"/>
      <c r="X46" s="12"/>
      <c r="Y46" s="12"/>
      <c r="AA46" s="12"/>
      <c r="AB46" s="12"/>
      <c r="AC46" s="12"/>
      <c r="AD46" s="12"/>
      <c r="AE46" s="12"/>
      <c r="AG46" s="12"/>
      <c r="AH46" s="12"/>
      <c r="AI46" s="12"/>
      <c r="AJ46" s="12"/>
      <c r="AK46" s="12"/>
    </row>
    <row r="47" spans="2:37">
      <c r="B47" s="10"/>
      <c r="D47" s="10" t="s">
        <v>974</v>
      </c>
      <c r="E47" s="224" t="str">
        <f t="shared" ref="E47:N47" si="34">tlInputProductTimeline</f>
        <v>Choose</v>
      </c>
      <c r="F47" s="224" t="str">
        <f t="shared" si="34"/>
        <v>Choose</v>
      </c>
      <c r="G47" s="224" t="str">
        <f t="shared" si="34"/>
        <v>Choose</v>
      </c>
      <c r="H47" s="224" t="str">
        <f t="shared" si="34"/>
        <v>Choose</v>
      </c>
      <c r="I47" s="224" t="str">
        <f t="shared" si="34"/>
        <v>Choose</v>
      </c>
      <c r="J47" s="224" t="str">
        <f t="shared" si="34"/>
        <v>Choose</v>
      </c>
      <c r="K47" s="224" t="str">
        <f t="shared" si="34"/>
        <v>Choose</v>
      </c>
      <c r="L47" s="224" t="str">
        <f t="shared" si="34"/>
        <v>Choose</v>
      </c>
      <c r="M47" s="224" t="str">
        <f t="shared" si="34"/>
        <v>Choose</v>
      </c>
      <c r="N47" s="224" t="str">
        <f t="shared" si="34"/>
        <v>Choose</v>
      </c>
      <c r="O47" s="225" t="s">
        <v>1953</v>
      </c>
      <c r="P47" s="226" t="str">
        <f>tlInputProductTimeline</f>
        <v>Choose</v>
      </c>
      <c r="Q47" s="12" t="b">
        <v>1</v>
      </c>
      <c r="R47" s="12" t="b">
        <v>1</v>
      </c>
      <c r="S47" s="12" t="s">
        <v>1665</v>
      </c>
      <c r="U47" s="12"/>
      <c r="V47" s="12"/>
      <c r="W47" s="12"/>
      <c r="X47" s="12"/>
      <c r="Y47" s="12"/>
      <c r="AA47" s="12"/>
      <c r="AB47" s="12"/>
      <c r="AC47" s="12"/>
      <c r="AD47" s="12"/>
      <c r="AE47" s="12"/>
      <c r="AG47" s="12"/>
      <c r="AH47" s="12"/>
      <c r="AI47" s="12"/>
      <c r="AJ47" s="12"/>
      <c r="AK47" s="12"/>
    </row>
    <row r="48" spans="2:37">
      <c r="D48" s="10" t="s">
        <v>1962</v>
      </c>
      <c r="E48" s="224" t="str">
        <f t="shared" ref="E48:N48" si="35">IF(tlInputProductStackFocus="Choose","Choose",ROUND(tlInputProductStackFocus,2))</f>
        <v>Choose</v>
      </c>
      <c r="F48" s="224" t="str">
        <f t="shared" si="35"/>
        <v>Choose</v>
      </c>
      <c r="G48" s="224" t="str">
        <f t="shared" si="35"/>
        <v>Choose</v>
      </c>
      <c r="H48" s="224" t="str">
        <f t="shared" si="35"/>
        <v>Choose</v>
      </c>
      <c r="I48" s="224" t="str">
        <f t="shared" si="35"/>
        <v>Choose</v>
      </c>
      <c r="J48" s="224" t="str">
        <f t="shared" si="35"/>
        <v>Choose</v>
      </c>
      <c r="K48" s="224" t="str">
        <f t="shared" si="35"/>
        <v>Choose</v>
      </c>
      <c r="L48" s="224" t="str">
        <f t="shared" si="35"/>
        <v>Choose</v>
      </c>
      <c r="M48" s="224" t="str">
        <f t="shared" si="35"/>
        <v>Choose</v>
      </c>
      <c r="N48" s="224" t="str">
        <f t="shared" si="35"/>
        <v>Choose</v>
      </c>
      <c r="O48" s="225" t="s">
        <v>1961</v>
      </c>
      <c r="P48" s="226" t="str">
        <f>tlInputProductStackFocus</f>
        <v>Choose</v>
      </c>
      <c r="Q48" s="12" t="b">
        <v>1</v>
      </c>
      <c r="R48" s="12" t="b">
        <v>1</v>
      </c>
      <c r="S48" s="12" t="s">
        <v>1665</v>
      </c>
      <c r="U48" s="12"/>
      <c r="V48" s="12"/>
      <c r="W48" s="12"/>
      <c r="X48" s="12"/>
      <c r="Y48" s="12"/>
      <c r="AA48" s="12"/>
      <c r="AB48" s="12"/>
      <c r="AC48" s="12"/>
      <c r="AD48" s="12"/>
      <c r="AE48" s="12"/>
      <c r="AG48" s="12"/>
      <c r="AH48" s="12"/>
      <c r="AI48" s="12"/>
      <c r="AJ48" s="12"/>
      <c r="AK48" s="12"/>
    </row>
    <row r="49" spans="3:37">
      <c r="C49" s="201" t="s">
        <v>589</v>
      </c>
      <c r="E49" s="224"/>
      <c r="F49" s="224"/>
      <c r="G49" s="224"/>
      <c r="H49" s="224"/>
      <c r="I49" s="224"/>
      <c r="J49" s="224"/>
      <c r="K49" s="224"/>
      <c r="L49" s="224"/>
      <c r="M49" s="224"/>
      <c r="N49" s="224"/>
      <c r="O49" s="225"/>
      <c r="P49" s="226"/>
      <c r="Q49" s="12"/>
      <c r="R49" s="12"/>
      <c r="S49" s="12"/>
      <c r="U49" s="12"/>
      <c r="V49" s="12"/>
      <c r="W49" s="12"/>
      <c r="X49" s="12"/>
      <c r="Y49" s="12"/>
      <c r="AA49" s="12"/>
      <c r="AB49" s="12"/>
      <c r="AC49" s="12"/>
      <c r="AD49" s="12"/>
      <c r="AE49" s="12"/>
      <c r="AG49" s="12"/>
      <c r="AH49" s="12"/>
      <c r="AI49" s="12"/>
      <c r="AJ49" s="12"/>
      <c r="AK49" s="12"/>
    </row>
    <row r="50" spans="3:37">
      <c r="C50" s="10">
        <v>1</v>
      </c>
      <c r="D50" s="10" t="s">
        <v>647</v>
      </c>
      <c r="E50" s="428">
        <f t="shared" ref="E50:N50" si="36">tlInputWobbler1</f>
        <v>0</v>
      </c>
      <c r="F50" s="428">
        <f t="shared" si="36"/>
        <v>0</v>
      </c>
      <c r="G50" s="428">
        <f t="shared" si="36"/>
        <v>0</v>
      </c>
      <c r="H50" s="428">
        <f t="shared" si="36"/>
        <v>0</v>
      </c>
      <c r="I50" s="428">
        <f t="shared" si="36"/>
        <v>0</v>
      </c>
      <c r="J50" s="428">
        <f t="shared" si="36"/>
        <v>0</v>
      </c>
      <c r="K50" s="428">
        <f t="shared" si="36"/>
        <v>0</v>
      </c>
      <c r="L50" s="428">
        <f t="shared" si="36"/>
        <v>0</v>
      </c>
      <c r="M50" s="428">
        <f t="shared" si="36"/>
        <v>0</v>
      </c>
      <c r="N50" s="428">
        <f t="shared" si="36"/>
        <v>0</v>
      </c>
      <c r="O50" s="225" t="s">
        <v>648</v>
      </c>
      <c r="P50" s="226">
        <f>tlInputWobbler1</f>
        <v>0</v>
      </c>
      <c r="Q50" s="12" t="b">
        <v>1</v>
      </c>
      <c r="R50" s="12" t="b">
        <v>1</v>
      </c>
      <c r="S50" s="12">
        <v>0</v>
      </c>
      <c r="U50" s="12"/>
      <c r="V50" s="12"/>
      <c r="W50" s="12"/>
      <c r="X50" s="12"/>
      <c r="Y50" s="12"/>
      <c r="AA50" s="12"/>
      <c r="AB50" s="12"/>
      <c r="AC50" s="12"/>
      <c r="AD50" s="12"/>
      <c r="AE50" s="12"/>
      <c r="AG50" s="12"/>
      <c r="AH50" s="12"/>
      <c r="AI50" s="12"/>
      <c r="AJ50" s="12"/>
      <c r="AK50" s="12"/>
    </row>
    <row r="51" spans="3:37">
      <c r="C51" s="10">
        <v>2</v>
      </c>
      <c r="D51" s="10" t="s">
        <v>649</v>
      </c>
      <c r="E51" s="428">
        <f t="shared" ref="E51:N51" si="37">tlInputWobbler2</f>
        <v>0</v>
      </c>
      <c r="F51" s="428">
        <f t="shared" si="37"/>
        <v>0</v>
      </c>
      <c r="G51" s="428">
        <f t="shared" si="37"/>
        <v>0</v>
      </c>
      <c r="H51" s="428">
        <f t="shared" si="37"/>
        <v>0</v>
      </c>
      <c r="I51" s="428">
        <f t="shared" si="37"/>
        <v>0</v>
      </c>
      <c r="J51" s="428">
        <f t="shared" si="37"/>
        <v>0</v>
      </c>
      <c r="K51" s="428">
        <f t="shared" si="37"/>
        <v>0</v>
      </c>
      <c r="L51" s="428">
        <f t="shared" si="37"/>
        <v>0</v>
      </c>
      <c r="M51" s="428">
        <f t="shared" si="37"/>
        <v>0</v>
      </c>
      <c r="N51" s="428">
        <f t="shared" si="37"/>
        <v>0</v>
      </c>
      <c r="O51" s="225" t="s">
        <v>650</v>
      </c>
      <c r="P51" s="226">
        <f>tlInputWobbler2</f>
        <v>0</v>
      </c>
      <c r="Q51" s="12" t="b">
        <v>1</v>
      </c>
      <c r="R51" s="12" t="b">
        <v>1</v>
      </c>
      <c r="S51" s="12">
        <v>0</v>
      </c>
      <c r="U51" s="12"/>
      <c r="V51" s="12"/>
      <c r="W51" s="12"/>
      <c r="X51" s="12"/>
      <c r="Y51" s="12"/>
      <c r="AA51" s="12"/>
      <c r="AB51" s="12"/>
      <c r="AC51" s="12"/>
      <c r="AD51" s="12"/>
      <c r="AE51" s="12"/>
      <c r="AG51" s="12"/>
      <c r="AH51" s="12"/>
      <c r="AI51" s="12"/>
      <c r="AJ51" s="12"/>
      <c r="AK51" s="12"/>
    </row>
    <row r="52" spans="3:37">
      <c r="C52" s="10">
        <v>3</v>
      </c>
      <c r="D52" s="10" t="s">
        <v>651</v>
      </c>
      <c r="E52" s="428">
        <f t="shared" ref="E52:N52" si="38">tlInputWobbler3</f>
        <v>0</v>
      </c>
      <c r="F52" s="428">
        <f t="shared" si="38"/>
        <v>0</v>
      </c>
      <c r="G52" s="428">
        <f t="shared" si="38"/>
        <v>0</v>
      </c>
      <c r="H52" s="428">
        <f t="shared" si="38"/>
        <v>0</v>
      </c>
      <c r="I52" s="428">
        <f t="shared" si="38"/>
        <v>0</v>
      </c>
      <c r="J52" s="428">
        <f t="shared" si="38"/>
        <v>0</v>
      </c>
      <c r="K52" s="428">
        <f t="shared" si="38"/>
        <v>0</v>
      </c>
      <c r="L52" s="428">
        <f t="shared" si="38"/>
        <v>0</v>
      </c>
      <c r="M52" s="428">
        <f t="shared" si="38"/>
        <v>0</v>
      </c>
      <c r="N52" s="428">
        <f t="shared" si="38"/>
        <v>0</v>
      </c>
      <c r="O52" s="225" t="s">
        <v>664</v>
      </c>
      <c r="P52" s="226">
        <f>tlInputWobbler3</f>
        <v>0</v>
      </c>
      <c r="Q52" s="12" t="b">
        <v>1</v>
      </c>
      <c r="R52" s="12" t="b">
        <v>1</v>
      </c>
      <c r="S52" s="12">
        <v>0</v>
      </c>
      <c r="U52" s="12"/>
      <c r="V52" s="12"/>
      <c r="W52" s="12"/>
      <c r="X52" s="12"/>
      <c r="Y52" s="12"/>
      <c r="AA52" s="12"/>
      <c r="AB52" s="12"/>
      <c r="AC52" s="12"/>
      <c r="AD52" s="12"/>
      <c r="AE52" s="12"/>
      <c r="AG52" s="12"/>
      <c r="AH52" s="12"/>
      <c r="AI52" s="12"/>
      <c r="AJ52" s="12"/>
      <c r="AK52" s="12"/>
    </row>
    <row r="53" spans="3:37">
      <c r="C53" s="10">
        <v>4</v>
      </c>
      <c r="D53" s="10" t="s">
        <v>652</v>
      </c>
      <c r="E53" s="428">
        <f t="shared" ref="E53:N53" si="39">tlInputWobbler4</f>
        <v>0</v>
      </c>
      <c r="F53" s="428">
        <f t="shared" si="39"/>
        <v>0</v>
      </c>
      <c r="G53" s="428">
        <f t="shared" si="39"/>
        <v>0</v>
      </c>
      <c r="H53" s="428">
        <f t="shared" si="39"/>
        <v>0</v>
      </c>
      <c r="I53" s="428">
        <f t="shared" si="39"/>
        <v>0</v>
      </c>
      <c r="J53" s="428">
        <f t="shared" si="39"/>
        <v>0</v>
      </c>
      <c r="K53" s="428">
        <f t="shared" si="39"/>
        <v>0</v>
      </c>
      <c r="L53" s="428">
        <f t="shared" si="39"/>
        <v>0</v>
      </c>
      <c r="M53" s="428">
        <f t="shared" si="39"/>
        <v>0</v>
      </c>
      <c r="N53" s="428">
        <f t="shared" si="39"/>
        <v>0</v>
      </c>
      <c r="O53" s="225" t="s">
        <v>665</v>
      </c>
      <c r="P53" s="226">
        <f>tlInputWobbler4</f>
        <v>0</v>
      </c>
      <c r="Q53" s="12" t="b">
        <v>1</v>
      </c>
      <c r="R53" s="12" t="b">
        <v>1</v>
      </c>
      <c r="S53" s="12">
        <v>0</v>
      </c>
      <c r="U53" s="12"/>
      <c r="V53" s="12"/>
      <c r="W53" s="12"/>
      <c r="X53" s="12"/>
      <c r="Y53" s="12"/>
      <c r="AA53" s="12"/>
      <c r="AB53" s="12"/>
      <c r="AC53" s="12"/>
      <c r="AD53" s="12"/>
      <c r="AE53" s="12"/>
      <c r="AG53" s="12"/>
      <c r="AH53" s="12"/>
      <c r="AI53" s="12"/>
      <c r="AJ53" s="12"/>
      <c r="AK53" s="12"/>
    </row>
    <row r="54" spans="3:37">
      <c r="C54" s="10">
        <v>5</v>
      </c>
      <c r="D54" s="10" t="s">
        <v>653</v>
      </c>
      <c r="E54" s="428">
        <f t="shared" ref="E54:N54" si="40">tlInputWobbler5</f>
        <v>0</v>
      </c>
      <c r="F54" s="428">
        <f t="shared" si="40"/>
        <v>0</v>
      </c>
      <c r="G54" s="428">
        <f t="shared" si="40"/>
        <v>0</v>
      </c>
      <c r="H54" s="428">
        <f t="shared" si="40"/>
        <v>0</v>
      </c>
      <c r="I54" s="428">
        <f t="shared" si="40"/>
        <v>0</v>
      </c>
      <c r="J54" s="428">
        <f t="shared" si="40"/>
        <v>0</v>
      </c>
      <c r="K54" s="428">
        <f t="shared" si="40"/>
        <v>0</v>
      </c>
      <c r="L54" s="428">
        <f t="shared" si="40"/>
        <v>0</v>
      </c>
      <c r="M54" s="428">
        <f t="shared" si="40"/>
        <v>0</v>
      </c>
      <c r="N54" s="428">
        <f t="shared" si="40"/>
        <v>0</v>
      </c>
      <c r="O54" s="225" t="s">
        <v>666</v>
      </c>
      <c r="P54" s="226">
        <f>tlInputWobbler5</f>
        <v>0</v>
      </c>
      <c r="Q54" s="12" t="b">
        <v>1</v>
      </c>
      <c r="R54" s="12" t="b">
        <v>1</v>
      </c>
      <c r="S54" s="12">
        <v>0</v>
      </c>
      <c r="U54" s="12"/>
      <c r="V54" s="12"/>
      <c r="W54" s="12"/>
      <c r="X54" s="12"/>
      <c r="Y54" s="12"/>
      <c r="AA54" s="12"/>
      <c r="AB54" s="12"/>
      <c r="AC54" s="12"/>
      <c r="AD54" s="12"/>
      <c r="AE54" s="12"/>
      <c r="AG54" s="12"/>
      <c r="AH54" s="12"/>
      <c r="AI54" s="12"/>
      <c r="AJ54" s="12"/>
      <c r="AK54" s="12"/>
    </row>
    <row r="55" spans="3:37">
      <c r="C55" s="10">
        <v>6</v>
      </c>
      <c r="D55" s="10" t="s">
        <v>654</v>
      </c>
      <c r="E55" s="428">
        <f t="shared" ref="E55:N55" si="41">tlInputWobbler6</f>
        <v>0</v>
      </c>
      <c r="F55" s="428">
        <f t="shared" si="41"/>
        <v>0</v>
      </c>
      <c r="G55" s="428">
        <f t="shared" si="41"/>
        <v>0</v>
      </c>
      <c r="H55" s="428">
        <f t="shared" si="41"/>
        <v>0</v>
      </c>
      <c r="I55" s="428">
        <f t="shared" si="41"/>
        <v>0</v>
      </c>
      <c r="J55" s="428">
        <f t="shared" si="41"/>
        <v>0</v>
      </c>
      <c r="K55" s="428">
        <f t="shared" si="41"/>
        <v>0</v>
      </c>
      <c r="L55" s="428">
        <f t="shared" si="41"/>
        <v>0</v>
      </c>
      <c r="M55" s="428">
        <f t="shared" si="41"/>
        <v>0</v>
      </c>
      <c r="N55" s="428">
        <f t="shared" si="41"/>
        <v>0</v>
      </c>
      <c r="O55" s="225" t="s">
        <v>667</v>
      </c>
      <c r="P55" s="226">
        <f>tlInputWobbler6</f>
        <v>0</v>
      </c>
      <c r="Q55" s="12" t="b">
        <v>1</v>
      </c>
      <c r="R55" s="12" t="b">
        <v>1</v>
      </c>
      <c r="S55" s="12">
        <v>0</v>
      </c>
      <c r="U55" s="12"/>
      <c r="V55" s="12"/>
      <c r="W55" s="12"/>
      <c r="X55" s="12"/>
      <c r="Y55" s="12"/>
      <c r="AA55" s="12"/>
      <c r="AB55" s="12"/>
      <c r="AC55" s="12"/>
      <c r="AD55" s="12"/>
      <c r="AE55" s="12"/>
      <c r="AG55" s="12"/>
      <c r="AH55" s="12"/>
      <c r="AI55" s="12"/>
      <c r="AJ55" s="12"/>
      <c r="AK55" s="12"/>
    </row>
    <row r="56" spans="3:37">
      <c r="C56" s="10">
        <v>7</v>
      </c>
      <c r="D56" s="10" t="s">
        <v>655</v>
      </c>
      <c r="E56" s="428">
        <f t="shared" ref="E56:N56" si="42">tlInputWobbler7</f>
        <v>0</v>
      </c>
      <c r="F56" s="428">
        <f t="shared" si="42"/>
        <v>0</v>
      </c>
      <c r="G56" s="428">
        <f t="shared" si="42"/>
        <v>0</v>
      </c>
      <c r="H56" s="428">
        <f t="shared" si="42"/>
        <v>0</v>
      </c>
      <c r="I56" s="428">
        <f t="shared" si="42"/>
        <v>0</v>
      </c>
      <c r="J56" s="428">
        <f t="shared" si="42"/>
        <v>0</v>
      </c>
      <c r="K56" s="428">
        <f t="shared" si="42"/>
        <v>0</v>
      </c>
      <c r="L56" s="428">
        <f t="shared" si="42"/>
        <v>0</v>
      </c>
      <c r="M56" s="428">
        <f t="shared" si="42"/>
        <v>0</v>
      </c>
      <c r="N56" s="428">
        <f t="shared" si="42"/>
        <v>0</v>
      </c>
      <c r="O56" s="225" t="s">
        <v>668</v>
      </c>
      <c r="P56" s="226">
        <f>tlInputWobbler7</f>
        <v>0</v>
      </c>
      <c r="Q56" s="12" t="b">
        <v>1</v>
      </c>
      <c r="R56" s="12" t="b">
        <v>1</v>
      </c>
      <c r="S56" s="12">
        <v>0</v>
      </c>
      <c r="U56" s="12"/>
      <c r="V56" s="12"/>
      <c r="W56" s="12"/>
      <c r="X56" s="12"/>
      <c r="Y56" s="12"/>
      <c r="AA56" s="12"/>
      <c r="AB56" s="12"/>
      <c r="AC56" s="12"/>
      <c r="AD56" s="12"/>
      <c r="AE56" s="12"/>
      <c r="AG56" s="12"/>
      <c r="AH56" s="12"/>
      <c r="AI56" s="12"/>
      <c r="AJ56" s="12"/>
      <c r="AK56" s="12"/>
    </row>
    <row r="57" spans="3:37">
      <c r="C57" s="10">
        <v>8</v>
      </c>
      <c r="D57" s="10" t="s">
        <v>656</v>
      </c>
      <c r="E57" s="428">
        <f t="shared" ref="E57:N57" si="43">tlInputWobbler8</f>
        <v>0</v>
      </c>
      <c r="F57" s="428">
        <f t="shared" si="43"/>
        <v>0</v>
      </c>
      <c r="G57" s="428">
        <f t="shared" si="43"/>
        <v>0</v>
      </c>
      <c r="H57" s="428">
        <f t="shared" si="43"/>
        <v>0</v>
      </c>
      <c r="I57" s="428">
        <f t="shared" si="43"/>
        <v>0</v>
      </c>
      <c r="J57" s="428">
        <f t="shared" si="43"/>
        <v>0</v>
      </c>
      <c r="K57" s="428">
        <f t="shared" si="43"/>
        <v>0</v>
      </c>
      <c r="L57" s="428">
        <f t="shared" si="43"/>
        <v>0</v>
      </c>
      <c r="M57" s="428">
        <f t="shared" si="43"/>
        <v>0</v>
      </c>
      <c r="N57" s="428">
        <f t="shared" si="43"/>
        <v>0</v>
      </c>
      <c r="O57" s="225" t="s">
        <v>669</v>
      </c>
      <c r="P57" s="226">
        <f>tlInputWobbler8</f>
        <v>0</v>
      </c>
      <c r="Q57" s="12" t="b">
        <v>1</v>
      </c>
      <c r="R57" s="12" t="b">
        <v>1</v>
      </c>
      <c r="S57" s="12">
        <v>0</v>
      </c>
      <c r="U57" s="12"/>
      <c r="V57" s="12"/>
      <c r="W57" s="12"/>
      <c r="X57" s="12"/>
      <c r="Y57" s="12"/>
      <c r="AA57" s="12"/>
      <c r="AB57" s="12"/>
      <c r="AC57" s="12"/>
      <c r="AD57" s="12"/>
      <c r="AE57" s="12"/>
      <c r="AG57" s="12"/>
      <c r="AH57" s="12"/>
      <c r="AI57" s="12"/>
      <c r="AJ57" s="12"/>
      <c r="AK57" s="12"/>
    </row>
    <row r="58" spans="3:37">
      <c r="D58" s="10" t="s">
        <v>657</v>
      </c>
      <c r="E58" s="224"/>
      <c r="F58" s="224"/>
      <c r="G58" s="224"/>
      <c r="H58" s="224"/>
      <c r="I58" s="224"/>
      <c r="J58" s="224"/>
      <c r="K58" s="224"/>
      <c r="L58" s="224"/>
      <c r="M58" s="224"/>
      <c r="N58" s="224"/>
      <c r="O58" s="225" t="s">
        <v>670</v>
      </c>
      <c r="P58" s="226"/>
      <c r="Q58" s="12"/>
      <c r="R58" s="12"/>
      <c r="S58" s="12"/>
      <c r="U58" s="12"/>
      <c r="V58" s="12"/>
      <c r="W58" s="12"/>
      <c r="X58" s="12"/>
      <c r="Y58" s="12"/>
      <c r="AA58" s="12"/>
      <c r="AB58" s="12"/>
      <c r="AC58" s="12"/>
      <c r="AD58" s="12"/>
      <c r="AE58" s="12"/>
      <c r="AG58" s="12"/>
      <c r="AH58" s="12"/>
      <c r="AI58" s="12"/>
      <c r="AJ58" s="12"/>
      <c r="AK58" s="12"/>
    </row>
    <row r="59" spans="3:37">
      <c r="D59" s="10" t="s">
        <v>658</v>
      </c>
      <c r="E59" s="224"/>
      <c r="F59" s="224"/>
      <c r="G59" s="224"/>
      <c r="H59" s="224"/>
      <c r="I59" s="224"/>
      <c r="J59" s="224"/>
      <c r="K59" s="224"/>
      <c r="L59" s="224"/>
      <c r="M59" s="224"/>
      <c r="N59" s="224"/>
      <c r="O59" s="225" t="s">
        <v>671</v>
      </c>
      <c r="P59" s="226"/>
      <c r="Q59" s="12"/>
      <c r="R59" s="12"/>
      <c r="S59" s="12"/>
      <c r="U59" s="12"/>
      <c r="V59" s="12"/>
      <c r="W59" s="12"/>
      <c r="X59" s="12"/>
      <c r="Y59" s="12"/>
      <c r="AA59" s="12"/>
      <c r="AB59" s="12"/>
      <c r="AC59" s="12"/>
      <c r="AD59" s="12"/>
      <c r="AE59" s="12"/>
      <c r="AG59" s="12"/>
      <c r="AH59" s="12"/>
      <c r="AI59" s="12"/>
      <c r="AJ59" s="12"/>
      <c r="AK59" s="12"/>
    </row>
    <row r="60" spans="3:37">
      <c r="D60" s="10" t="s">
        <v>659</v>
      </c>
      <c r="E60" s="224"/>
      <c r="F60" s="224"/>
      <c r="G60" s="224"/>
      <c r="H60" s="224"/>
      <c r="I60" s="224"/>
      <c r="J60" s="224"/>
      <c r="K60" s="224"/>
      <c r="L60" s="224"/>
      <c r="M60" s="224"/>
      <c r="N60" s="224"/>
      <c r="O60" s="225" t="s">
        <v>672</v>
      </c>
      <c r="P60" s="226"/>
      <c r="Q60" s="12"/>
      <c r="R60" s="12"/>
      <c r="S60" s="12"/>
      <c r="U60" s="12"/>
      <c r="V60" s="12"/>
      <c r="W60" s="12"/>
      <c r="X60" s="12"/>
      <c r="Y60" s="12"/>
      <c r="AA60" s="12"/>
      <c r="AB60" s="12"/>
      <c r="AC60" s="12"/>
      <c r="AD60" s="12"/>
      <c r="AE60" s="12"/>
      <c r="AG60" s="12"/>
      <c r="AH60" s="12"/>
      <c r="AI60" s="12"/>
      <c r="AJ60" s="12"/>
      <c r="AK60" s="12"/>
    </row>
    <row r="61" spans="3:37">
      <c r="D61" s="10" t="s">
        <v>660</v>
      </c>
      <c r="E61" s="224"/>
      <c r="F61" s="224"/>
      <c r="G61" s="224"/>
      <c r="H61" s="224"/>
      <c r="I61" s="224"/>
      <c r="J61" s="224"/>
      <c r="K61" s="224"/>
      <c r="L61" s="224"/>
      <c r="M61" s="224"/>
      <c r="N61" s="224"/>
      <c r="O61" s="225" t="s">
        <v>673</v>
      </c>
      <c r="P61" s="226"/>
      <c r="Q61" s="12"/>
      <c r="R61" s="12"/>
      <c r="S61" s="12"/>
      <c r="U61" s="12"/>
      <c r="V61" s="12"/>
      <c r="W61" s="12"/>
      <c r="X61" s="12"/>
      <c r="Y61" s="12"/>
      <c r="AA61" s="12"/>
      <c r="AB61" s="12"/>
      <c r="AC61" s="12"/>
      <c r="AD61" s="12"/>
      <c r="AE61" s="12"/>
      <c r="AG61" s="12"/>
      <c r="AH61" s="12"/>
      <c r="AI61" s="12"/>
      <c r="AJ61" s="12"/>
      <c r="AK61" s="12"/>
    </row>
    <row r="62" spans="3:37">
      <c r="D62" s="10" t="s">
        <v>661</v>
      </c>
      <c r="E62" s="224"/>
      <c r="F62" s="224"/>
      <c r="G62" s="224"/>
      <c r="H62" s="224"/>
      <c r="I62" s="224"/>
      <c r="J62" s="224"/>
      <c r="K62" s="224"/>
      <c r="L62" s="224"/>
      <c r="M62" s="224"/>
      <c r="N62" s="224"/>
      <c r="O62" s="225" t="s">
        <v>674</v>
      </c>
      <c r="P62" s="226"/>
      <c r="Q62" s="12"/>
      <c r="R62" s="12"/>
      <c r="S62" s="12"/>
      <c r="U62" s="12"/>
      <c r="V62" s="12"/>
      <c r="W62" s="12"/>
      <c r="X62" s="12"/>
      <c r="Y62" s="12"/>
      <c r="AA62" s="12"/>
      <c r="AB62" s="12"/>
      <c r="AC62" s="12"/>
      <c r="AD62" s="12"/>
      <c r="AE62" s="12"/>
      <c r="AG62" s="12"/>
      <c r="AH62" s="12"/>
      <c r="AI62" s="12"/>
      <c r="AJ62" s="12"/>
      <c r="AK62" s="12"/>
    </row>
    <row r="63" spans="3:37">
      <c r="D63" s="10" t="s">
        <v>662</v>
      </c>
      <c r="E63" s="224"/>
      <c r="F63" s="224"/>
      <c r="G63" s="224"/>
      <c r="H63" s="224"/>
      <c r="I63" s="224"/>
      <c r="J63" s="224"/>
      <c r="K63" s="224"/>
      <c r="L63" s="224"/>
      <c r="M63" s="224"/>
      <c r="N63" s="224"/>
      <c r="O63" s="225" t="s">
        <v>675</v>
      </c>
      <c r="P63" s="226"/>
      <c r="Q63" s="12"/>
      <c r="R63" s="12"/>
      <c r="S63" s="12"/>
      <c r="U63" s="12"/>
      <c r="V63" s="12"/>
      <c r="W63" s="12"/>
      <c r="X63" s="12"/>
      <c r="Y63" s="12"/>
      <c r="AA63" s="12"/>
      <c r="AB63" s="12"/>
      <c r="AC63" s="12"/>
      <c r="AD63" s="12"/>
      <c r="AE63" s="12"/>
      <c r="AG63" s="12"/>
      <c r="AH63" s="12"/>
      <c r="AI63" s="12"/>
      <c r="AJ63" s="12"/>
      <c r="AK63" s="12"/>
    </row>
    <row r="64" spans="3:37">
      <c r="D64" s="10" t="s">
        <v>663</v>
      </c>
      <c r="E64" s="224"/>
      <c r="F64" s="224"/>
      <c r="G64" s="224"/>
      <c r="H64" s="224"/>
      <c r="I64" s="224"/>
      <c r="J64" s="224"/>
      <c r="K64" s="224"/>
      <c r="L64" s="224"/>
      <c r="M64" s="224"/>
      <c r="N64" s="224"/>
      <c r="O64" s="225" t="s">
        <v>676</v>
      </c>
      <c r="P64" s="226"/>
      <c r="Q64" s="12"/>
      <c r="R64" s="12"/>
      <c r="S64" s="12"/>
      <c r="U64" s="12"/>
      <c r="V64" s="12"/>
      <c r="W64" s="12"/>
      <c r="X64" s="12"/>
      <c r="Y64" s="12"/>
      <c r="AA64" s="12"/>
      <c r="AB64" s="12"/>
      <c r="AC64" s="12"/>
      <c r="AD64" s="12"/>
      <c r="AE64" s="12"/>
      <c r="AG64" s="12"/>
      <c r="AH64" s="12"/>
      <c r="AI64" s="12"/>
      <c r="AJ64" s="12"/>
      <c r="AK64" s="12"/>
    </row>
    <row r="65" spans="1:37">
      <c r="A65" s="109" t="s">
        <v>2279</v>
      </c>
      <c r="E65" s="224"/>
      <c r="F65" s="224"/>
      <c r="G65" s="224"/>
      <c r="H65" s="224"/>
      <c r="I65" s="224"/>
      <c r="J65" s="224"/>
      <c r="K65" s="224"/>
      <c r="L65" s="224"/>
      <c r="M65" s="224"/>
      <c r="N65" s="224"/>
      <c r="O65" s="225"/>
      <c r="P65" s="226"/>
      <c r="Q65" s="12"/>
      <c r="R65" s="12"/>
      <c r="S65" s="12"/>
      <c r="U65" s="12"/>
      <c r="V65" s="12"/>
      <c r="W65" s="12"/>
      <c r="X65" s="12"/>
      <c r="Y65" s="12"/>
      <c r="AA65" s="12"/>
      <c r="AB65" s="12"/>
      <c r="AC65" s="12"/>
      <c r="AD65" s="12"/>
      <c r="AE65" s="12"/>
      <c r="AG65" s="12"/>
      <c r="AH65" s="12"/>
      <c r="AI65" s="12"/>
      <c r="AJ65" s="12"/>
      <c r="AK65" s="12"/>
    </row>
    <row r="66" spans="1:37" s="15" customFormat="1">
      <c r="A66" s="14" t="s">
        <v>45</v>
      </c>
      <c r="B66" s="14"/>
      <c r="E66" s="16"/>
    </row>
    <row r="67" spans="1:37">
      <c r="E67" s="10" t="s">
        <v>46</v>
      </c>
    </row>
  </sheetData>
  <conditionalFormatting sqref="Q32:Q35 Q3:Q17 Q21:R24 Q25:Q30 Q20:Q23 Q46:Q48 Q39:Q43">
    <cfRule type="cellIs" dxfId="73" priority="43" operator="equal">
      <formula>TRUE</formula>
    </cfRule>
  </conditionalFormatting>
  <conditionalFormatting sqref="R4:R17 R20:R23">
    <cfRule type="cellIs" dxfId="72" priority="42" operator="equal">
      <formula>TRUE</formula>
    </cfRule>
  </conditionalFormatting>
  <conditionalFormatting sqref="R3">
    <cfRule type="cellIs" dxfId="71" priority="41" operator="equal">
      <formula>TRUE</formula>
    </cfRule>
  </conditionalFormatting>
  <conditionalFormatting sqref="Q38 Q49:R49 Q58:R65">
    <cfRule type="cellIs" dxfId="70" priority="29" operator="equal">
      <formula>TRUE</formula>
    </cfRule>
  </conditionalFormatting>
  <conditionalFormatting sqref="Q31">
    <cfRule type="cellIs" dxfId="69" priority="27" operator="equal">
      <formula>TRUE</formula>
    </cfRule>
  </conditionalFormatting>
  <conditionalFormatting sqref="Q36:Q37">
    <cfRule type="cellIs" dxfId="68" priority="26" operator="equal">
      <formula>TRUE</formula>
    </cfRule>
  </conditionalFormatting>
  <conditionalFormatting sqref="Q12:Q13">
    <cfRule type="cellIs" dxfId="67" priority="24" operator="equal">
      <formula>TRUE</formula>
    </cfRule>
  </conditionalFormatting>
  <conditionalFormatting sqref="R12:R13">
    <cfRule type="cellIs" dxfId="66" priority="23" operator="equal">
      <formula>TRUE</formula>
    </cfRule>
  </conditionalFormatting>
  <conditionalFormatting sqref="Q14:Q15">
    <cfRule type="cellIs" dxfId="65" priority="22" operator="equal">
      <formula>TRUE</formula>
    </cfRule>
  </conditionalFormatting>
  <conditionalFormatting sqref="R14:R15">
    <cfRule type="cellIs" dxfId="64" priority="21" operator="equal">
      <formula>TRUE</formula>
    </cfRule>
  </conditionalFormatting>
  <conditionalFormatting sqref="Q16:Q17">
    <cfRule type="cellIs" dxfId="63" priority="20" operator="equal">
      <formula>TRUE</formula>
    </cfRule>
  </conditionalFormatting>
  <conditionalFormatting sqref="R16:R17">
    <cfRule type="cellIs" dxfId="62" priority="19" operator="equal">
      <formula>TRUE</formula>
    </cfRule>
  </conditionalFormatting>
  <conditionalFormatting sqref="R32:R35 R25:R30 R46:R48 R39:R43">
    <cfRule type="cellIs" dxfId="61" priority="18" operator="equal">
      <formula>TRUE</formula>
    </cfRule>
  </conditionalFormatting>
  <conditionalFormatting sqref="R38">
    <cfRule type="cellIs" dxfId="60" priority="17" operator="equal">
      <formula>TRUE</formula>
    </cfRule>
  </conditionalFormatting>
  <conditionalFormatting sqref="R31">
    <cfRule type="cellIs" dxfId="59" priority="16" operator="equal">
      <formula>TRUE</formula>
    </cfRule>
  </conditionalFormatting>
  <conditionalFormatting sqref="R36:R37">
    <cfRule type="cellIs" dxfId="58" priority="15" operator="equal">
      <formula>TRUE</formula>
    </cfRule>
  </conditionalFormatting>
  <conditionalFormatting sqref="Q45">
    <cfRule type="cellIs" dxfId="57" priority="14" operator="equal">
      <formula>TRUE</formula>
    </cfRule>
  </conditionalFormatting>
  <conditionalFormatting sqref="R45">
    <cfRule type="cellIs" dxfId="56" priority="13" operator="equal">
      <formula>TRUE</formula>
    </cfRule>
  </conditionalFormatting>
  <conditionalFormatting sqref="Q18:Q19">
    <cfRule type="cellIs" dxfId="55" priority="10" operator="equal">
      <formula>TRUE</formula>
    </cfRule>
  </conditionalFormatting>
  <conditionalFormatting sqref="R18:R19">
    <cfRule type="cellIs" dxfId="54" priority="9" operator="equal">
      <formula>TRUE</formula>
    </cfRule>
  </conditionalFormatting>
  <conditionalFormatting sqref="Q18:Q19">
    <cfRule type="cellIs" dxfId="53" priority="8" operator="equal">
      <formula>TRUE</formula>
    </cfRule>
  </conditionalFormatting>
  <conditionalFormatting sqref="R18:R19">
    <cfRule type="cellIs" dxfId="52" priority="7" operator="equal">
      <formula>TRUE</formula>
    </cfRule>
  </conditionalFormatting>
  <conditionalFormatting sqref="Q44">
    <cfRule type="cellIs" dxfId="51" priority="4" operator="equal">
      <formula>TRUE</formula>
    </cfRule>
  </conditionalFormatting>
  <conditionalFormatting sqref="R44">
    <cfRule type="cellIs" dxfId="50" priority="3" operator="equal">
      <formula>TRUE</formula>
    </cfRule>
  </conditionalFormatting>
  <conditionalFormatting sqref="Q50:Q57">
    <cfRule type="cellIs" dxfId="49" priority="2" operator="equal">
      <formula>TRUE</formula>
    </cfRule>
  </conditionalFormatting>
  <conditionalFormatting sqref="R50:R57">
    <cfRule type="cellIs" dxfId="48" priority="1" operator="equal">
      <formula>TRUE</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1"/>
  </sheetPr>
  <dimension ref="A1:O325"/>
  <sheetViews>
    <sheetView topLeftCell="A288" workbookViewId="0">
      <selection activeCell="E312" sqref="E312"/>
    </sheetView>
  </sheetViews>
  <sheetFormatPr defaultRowHeight="13.8"/>
  <cols>
    <col min="1" max="3" width="4.7265625" customWidth="1"/>
    <col min="4" max="4" width="24.7265625" customWidth="1"/>
    <col min="5" max="14" width="14.6328125" style="419" customWidth="1"/>
  </cols>
  <sheetData>
    <row r="1" spans="1:15" s="18" customFormat="1">
      <c r="A1" s="18" t="s">
        <v>232</v>
      </c>
      <c r="E1" s="415"/>
      <c r="F1" s="415"/>
      <c r="G1" s="415"/>
      <c r="H1" s="415"/>
      <c r="I1" s="415"/>
      <c r="J1" s="415"/>
      <c r="K1" s="415"/>
      <c r="L1" s="415"/>
      <c r="M1" s="415"/>
      <c r="N1" s="415"/>
    </row>
    <row r="3" spans="1:15" s="23" customFormat="1">
      <c r="A3" s="23" t="s">
        <v>435</v>
      </c>
      <c r="E3" s="416"/>
      <c r="F3" s="416"/>
      <c r="G3" s="416"/>
      <c r="H3" s="416"/>
      <c r="I3" s="416"/>
      <c r="J3" s="416"/>
      <c r="K3" s="416"/>
      <c r="L3" s="416"/>
      <c r="M3" s="416"/>
      <c r="N3" s="416"/>
    </row>
    <row r="5" spans="1:15" s="65" customFormat="1">
      <c r="E5" s="420" t="str">
        <f t="shared" ref="E5:N5" si="0">decTeamName</f>
        <v>Snowflake</v>
      </c>
      <c r="F5" s="420" t="str">
        <f t="shared" si="0"/>
        <v>Snowflake</v>
      </c>
      <c r="G5" s="420" t="str">
        <f t="shared" si="0"/>
        <v>Snowflake</v>
      </c>
      <c r="H5" s="420" t="str">
        <f t="shared" si="0"/>
        <v>Snowflake</v>
      </c>
      <c r="I5" s="420" t="str">
        <f t="shared" si="0"/>
        <v>Snowflake</v>
      </c>
      <c r="J5" s="420" t="str">
        <f t="shared" si="0"/>
        <v>Snowflake</v>
      </c>
      <c r="K5" s="420" t="str">
        <f t="shared" si="0"/>
        <v>Snowflake</v>
      </c>
      <c r="L5" s="420" t="str">
        <f t="shared" si="0"/>
        <v>Snowflake</v>
      </c>
      <c r="M5" s="420" t="str">
        <f t="shared" si="0"/>
        <v>Snowflake</v>
      </c>
      <c r="N5" s="420" t="str">
        <f t="shared" si="0"/>
        <v>Snowflake</v>
      </c>
    </row>
    <row r="6" spans="1:15" s="69" customFormat="1">
      <c r="B6" s="69" t="s">
        <v>690</v>
      </c>
      <c r="E6" s="417"/>
      <c r="F6" s="417"/>
      <c r="G6" s="417"/>
      <c r="H6" s="417"/>
      <c r="I6" s="417"/>
      <c r="J6" s="417"/>
      <c r="K6" s="417"/>
      <c r="L6" s="417"/>
      <c r="M6" s="417"/>
      <c r="N6" s="417"/>
    </row>
    <row r="7" spans="1:15" s="69" customFormat="1">
      <c r="C7" s="217" t="s">
        <v>140</v>
      </c>
      <c r="E7" s="417"/>
      <c r="F7" s="417"/>
      <c r="G7" s="417"/>
      <c r="H7" s="417"/>
      <c r="I7" s="417"/>
      <c r="J7" s="417"/>
      <c r="K7" s="417"/>
      <c r="L7" s="417"/>
      <c r="M7" s="417"/>
      <c r="N7" s="417"/>
    </row>
    <row r="8" spans="1:15" s="410" customFormat="1">
      <c r="D8" s="410" t="s">
        <v>905</v>
      </c>
      <c r="E8" s="418">
        <f t="shared" ref="E8:N8" si="1">calcQ1Rev</f>
        <v>30955843.466136772</v>
      </c>
      <c r="F8" s="418">
        <f t="shared" si="1"/>
        <v>30955843.466136772</v>
      </c>
      <c r="G8" s="418">
        <f t="shared" si="1"/>
        <v>30955843.466136772</v>
      </c>
      <c r="H8" s="418">
        <f t="shared" si="1"/>
        <v>30955843.466136772</v>
      </c>
      <c r="I8" s="418">
        <f t="shared" si="1"/>
        <v>30955843.466136772</v>
      </c>
      <c r="J8" s="418">
        <f t="shared" si="1"/>
        <v>30955843.466136772</v>
      </c>
      <c r="K8" s="418">
        <f t="shared" si="1"/>
        <v>30955843.466136772</v>
      </c>
      <c r="L8" s="418">
        <f t="shared" si="1"/>
        <v>30955843.466136772</v>
      </c>
      <c r="M8" s="418">
        <f t="shared" si="1"/>
        <v>30955843.466136772</v>
      </c>
      <c r="N8" s="418">
        <f t="shared" si="1"/>
        <v>30955843.466136772</v>
      </c>
      <c r="O8" s="410" t="s">
        <v>903</v>
      </c>
    </row>
    <row r="9" spans="1:15" s="410" customFormat="1">
      <c r="D9" s="410" t="s">
        <v>906</v>
      </c>
      <c r="E9" s="418">
        <f t="shared" ref="E9:N9" si="2">calcQ2Rev</f>
        <v>33831624.25685782</v>
      </c>
      <c r="F9" s="418">
        <f t="shared" si="2"/>
        <v>33831624.25685782</v>
      </c>
      <c r="G9" s="418">
        <f t="shared" si="2"/>
        <v>33831624.25685782</v>
      </c>
      <c r="H9" s="418">
        <f t="shared" si="2"/>
        <v>33831624.25685782</v>
      </c>
      <c r="I9" s="418">
        <f t="shared" si="2"/>
        <v>33831624.25685782</v>
      </c>
      <c r="J9" s="418">
        <f t="shared" si="2"/>
        <v>33831624.25685782</v>
      </c>
      <c r="K9" s="418">
        <f t="shared" si="2"/>
        <v>33831624.25685782</v>
      </c>
      <c r="L9" s="418">
        <f t="shared" si="2"/>
        <v>33831624.25685782</v>
      </c>
      <c r="M9" s="418">
        <f t="shared" si="2"/>
        <v>33831624.25685782</v>
      </c>
      <c r="N9" s="418">
        <f t="shared" si="2"/>
        <v>33831624.25685782</v>
      </c>
      <c r="O9" s="410" t="s">
        <v>907</v>
      </c>
    </row>
    <row r="10" spans="1:15" s="410" customFormat="1">
      <c r="D10" s="410" t="s">
        <v>908</v>
      </c>
      <c r="E10" s="418">
        <f t="shared" ref="E10:N10" si="3">calcQ3Rev</f>
        <v>38275308.995502166</v>
      </c>
      <c r="F10" s="418">
        <f t="shared" si="3"/>
        <v>38275308.995502166</v>
      </c>
      <c r="G10" s="418">
        <f t="shared" si="3"/>
        <v>38275308.995502166</v>
      </c>
      <c r="H10" s="418">
        <f t="shared" si="3"/>
        <v>38275308.995502166</v>
      </c>
      <c r="I10" s="418">
        <f t="shared" si="3"/>
        <v>38275308.995502166</v>
      </c>
      <c r="J10" s="418">
        <f t="shared" si="3"/>
        <v>38275308.995502166</v>
      </c>
      <c r="K10" s="418">
        <f t="shared" si="3"/>
        <v>38275308.995502166</v>
      </c>
      <c r="L10" s="418">
        <f t="shared" si="3"/>
        <v>38275308.995502166</v>
      </c>
      <c r="M10" s="418">
        <f t="shared" si="3"/>
        <v>38275308.995502166</v>
      </c>
      <c r="N10" s="418">
        <f t="shared" si="3"/>
        <v>38275308.995502166</v>
      </c>
      <c r="O10" s="410" t="s">
        <v>909</v>
      </c>
    </row>
    <row r="11" spans="1:15" s="410" customFormat="1">
      <c r="D11" s="410" t="s">
        <v>910</v>
      </c>
      <c r="E11" s="418">
        <f t="shared" ref="E11:N11" si="4">calcQ4Rev</f>
        <v>44809163.697226644</v>
      </c>
      <c r="F11" s="418">
        <f t="shared" si="4"/>
        <v>44809163.697226644</v>
      </c>
      <c r="G11" s="418">
        <f t="shared" si="4"/>
        <v>44809163.697226644</v>
      </c>
      <c r="H11" s="418">
        <f t="shared" si="4"/>
        <v>44809163.697226644</v>
      </c>
      <c r="I11" s="418">
        <f t="shared" si="4"/>
        <v>44809163.697226644</v>
      </c>
      <c r="J11" s="418">
        <f t="shared" si="4"/>
        <v>44809163.697226644</v>
      </c>
      <c r="K11" s="418">
        <f t="shared" si="4"/>
        <v>44809163.697226644</v>
      </c>
      <c r="L11" s="418">
        <f t="shared" si="4"/>
        <v>44809163.697226644</v>
      </c>
      <c r="M11" s="418">
        <f t="shared" si="4"/>
        <v>44809163.697226644</v>
      </c>
      <c r="N11" s="418">
        <f t="shared" si="4"/>
        <v>44809163.697226644</v>
      </c>
      <c r="O11" s="410" t="s">
        <v>911</v>
      </c>
    </row>
    <row r="12" spans="1:15">
      <c r="D12" s="217" t="s">
        <v>492</v>
      </c>
      <c r="E12" s="419">
        <f t="shared" ref="E12:N12" si="5">finQ1Rev+finQ2Rev+finQ3Rev+finQ4Rev</f>
        <v>147871940.41572341</v>
      </c>
      <c r="F12" s="419">
        <f t="shared" si="5"/>
        <v>147871940.41572341</v>
      </c>
      <c r="G12" s="419">
        <f t="shared" si="5"/>
        <v>147871940.41572341</v>
      </c>
      <c r="H12" s="419">
        <f t="shared" si="5"/>
        <v>147871940.41572341</v>
      </c>
      <c r="I12" s="419">
        <f t="shared" si="5"/>
        <v>147871940.41572341</v>
      </c>
      <c r="J12" s="419">
        <f t="shared" si="5"/>
        <v>147871940.41572341</v>
      </c>
      <c r="K12" s="419">
        <f t="shared" si="5"/>
        <v>147871940.41572341</v>
      </c>
      <c r="L12" s="419">
        <f t="shared" si="5"/>
        <v>147871940.41572341</v>
      </c>
      <c r="M12" s="419">
        <f t="shared" si="5"/>
        <v>147871940.41572341</v>
      </c>
      <c r="N12" s="419">
        <f t="shared" si="5"/>
        <v>147871940.41572341</v>
      </c>
      <c r="O12" s="410" t="s">
        <v>915</v>
      </c>
    </row>
    <row r="13" spans="1:15">
      <c r="D13" s="217"/>
      <c r="O13" s="410"/>
    </row>
    <row r="14" spans="1:15">
      <c r="C14" s="65" t="s">
        <v>434</v>
      </c>
    </row>
    <row r="15" spans="1:15">
      <c r="D15" s="410" t="s">
        <v>922</v>
      </c>
      <c r="E15" s="419">
        <f t="shared" ref="E15:N15" si="6">finQ1Rev*calcQ1COSPerc</f>
        <v>6191168.6932273544</v>
      </c>
      <c r="F15" s="419">
        <f t="shared" si="6"/>
        <v>6191168.6932273544</v>
      </c>
      <c r="G15" s="419">
        <f t="shared" si="6"/>
        <v>6191168.6932273544</v>
      </c>
      <c r="H15" s="419">
        <f t="shared" si="6"/>
        <v>6191168.6932273544</v>
      </c>
      <c r="I15" s="419">
        <f t="shared" si="6"/>
        <v>6191168.6932273544</v>
      </c>
      <c r="J15" s="419">
        <f t="shared" si="6"/>
        <v>6191168.6932273544</v>
      </c>
      <c r="K15" s="419">
        <f t="shared" si="6"/>
        <v>6191168.6932273544</v>
      </c>
      <c r="L15" s="419">
        <f t="shared" si="6"/>
        <v>6191168.6932273544</v>
      </c>
      <c r="M15" s="419">
        <f t="shared" si="6"/>
        <v>6191168.6932273544</v>
      </c>
      <c r="N15" s="419">
        <f t="shared" si="6"/>
        <v>6191168.6932273544</v>
      </c>
      <c r="O15" s="410" t="s">
        <v>923</v>
      </c>
    </row>
    <row r="16" spans="1:15">
      <c r="D16" s="410" t="s">
        <v>928</v>
      </c>
      <c r="E16" s="419">
        <f t="shared" ref="E16:N16" si="7">finQ2Rev*calcQ2COSPerc</f>
        <v>6766324.851371564</v>
      </c>
      <c r="F16" s="419">
        <f t="shared" si="7"/>
        <v>6766324.851371564</v>
      </c>
      <c r="G16" s="419">
        <f t="shared" si="7"/>
        <v>6766324.851371564</v>
      </c>
      <c r="H16" s="419">
        <f t="shared" si="7"/>
        <v>6766324.851371564</v>
      </c>
      <c r="I16" s="419">
        <f t="shared" si="7"/>
        <v>6766324.851371564</v>
      </c>
      <c r="J16" s="419">
        <f t="shared" si="7"/>
        <v>6766324.851371564</v>
      </c>
      <c r="K16" s="419">
        <f t="shared" si="7"/>
        <v>6766324.851371564</v>
      </c>
      <c r="L16" s="419">
        <f t="shared" si="7"/>
        <v>6766324.851371564</v>
      </c>
      <c r="M16" s="419">
        <f t="shared" si="7"/>
        <v>6766324.851371564</v>
      </c>
      <c r="N16" s="419">
        <f t="shared" si="7"/>
        <v>6766324.851371564</v>
      </c>
      <c r="O16" s="410" t="s">
        <v>929</v>
      </c>
    </row>
    <row r="17" spans="1:15">
      <c r="D17" s="410" t="s">
        <v>926</v>
      </c>
      <c r="E17" s="419">
        <f t="shared" ref="E17:N17" si="8">finQ3Rev*calcQ3COSPerc</f>
        <v>7655061.7991004335</v>
      </c>
      <c r="F17" s="419">
        <f t="shared" si="8"/>
        <v>7655061.7991004335</v>
      </c>
      <c r="G17" s="419">
        <f t="shared" si="8"/>
        <v>7655061.7991004335</v>
      </c>
      <c r="H17" s="419">
        <f t="shared" si="8"/>
        <v>7655061.7991004335</v>
      </c>
      <c r="I17" s="419">
        <f t="shared" si="8"/>
        <v>7655061.7991004335</v>
      </c>
      <c r="J17" s="419">
        <f t="shared" si="8"/>
        <v>7655061.7991004335</v>
      </c>
      <c r="K17" s="419">
        <f t="shared" si="8"/>
        <v>7655061.7991004335</v>
      </c>
      <c r="L17" s="419">
        <f t="shared" si="8"/>
        <v>7655061.7991004335</v>
      </c>
      <c r="M17" s="419">
        <f t="shared" si="8"/>
        <v>7655061.7991004335</v>
      </c>
      <c r="N17" s="419">
        <f t="shared" si="8"/>
        <v>7655061.7991004335</v>
      </c>
      <c r="O17" s="410" t="s">
        <v>927</v>
      </c>
    </row>
    <row r="18" spans="1:15">
      <c r="D18" s="410" t="s">
        <v>924</v>
      </c>
      <c r="E18" s="419">
        <f t="shared" ref="E18:N18" si="9">finQ4Rev*calcQ4COSPerc</f>
        <v>8961832.7394453287</v>
      </c>
      <c r="F18" s="419">
        <f t="shared" si="9"/>
        <v>8961832.7394453287</v>
      </c>
      <c r="G18" s="419">
        <f t="shared" si="9"/>
        <v>8961832.7394453287</v>
      </c>
      <c r="H18" s="419">
        <f t="shared" si="9"/>
        <v>8961832.7394453287</v>
      </c>
      <c r="I18" s="419">
        <f t="shared" si="9"/>
        <v>8961832.7394453287</v>
      </c>
      <c r="J18" s="419">
        <f t="shared" si="9"/>
        <v>8961832.7394453287</v>
      </c>
      <c r="K18" s="419">
        <f t="shared" si="9"/>
        <v>8961832.7394453287</v>
      </c>
      <c r="L18" s="419">
        <f t="shared" si="9"/>
        <v>8961832.7394453287</v>
      </c>
      <c r="M18" s="419">
        <f t="shared" si="9"/>
        <v>8961832.7394453287</v>
      </c>
      <c r="N18" s="419">
        <f t="shared" si="9"/>
        <v>8961832.7394453287</v>
      </c>
      <c r="O18" s="410" t="s">
        <v>925</v>
      </c>
    </row>
    <row r="19" spans="1:15" s="65" customFormat="1">
      <c r="D19" s="217" t="s">
        <v>930</v>
      </c>
      <c r="E19" s="420">
        <f t="shared" ref="E19:N19" si="10">finQ1COS+finQ2COS+finQ3COS+finQ4COS</f>
        <v>29574388.08314468</v>
      </c>
      <c r="F19" s="420">
        <f t="shared" si="10"/>
        <v>29574388.08314468</v>
      </c>
      <c r="G19" s="420">
        <f t="shared" si="10"/>
        <v>29574388.08314468</v>
      </c>
      <c r="H19" s="420">
        <f t="shared" si="10"/>
        <v>29574388.08314468</v>
      </c>
      <c r="I19" s="420">
        <f t="shared" si="10"/>
        <v>29574388.08314468</v>
      </c>
      <c r="J19" s="420">
        <f t="shared" si="10"/>
        <v>29574388.08314468</v>
      </c>
      <c r="K19" s="420">
        <f t="shared" si="10"/>
        <v>29574388.08314468</v>
      </c>
      <c r="L19" s="420">
        <f t="shared" si="10"/>
        <v>29574388.08314468</v>
      </c>
      <c r="M19" s="420">
        <f t="shared" si="10"/>
        <v>29574388.08314468</v>
      </c>
      <c r="N19" s="420">
        <f t="shared" si="10"/>
        <v>29574388.08314468</v>
      </c>
      <c r="O19" s="217" t="s">
        <v>931</v>
      </c>
    </row>
    <row r="21" spans="1:15">
      <c r="C21" t="s">
        <v>237</v>
      </c>
      <c r="E21" s="420">
        <f t="shared" ref="E21:N21" si="11">FinAnnualRev-finAnnualCOS</f>
        <v>118297552.33257873</v>
      </c>
      <c r="F21" s="420">
        <f t="shared" si="11"/>
        <v>118297552.33257873</v>
      </c>
      <c r="G21" s="420">
        <f t="shared" si="11"/>
        <v>118297552.33257873</v>
      </c>
      <c r="H21" s="420">
        <f t="shared" si="11"/>
        <v>118297552.33257873</v>
      </c>
      <c r="I21" s="420">
        <f t="shared" si="11"/>
        <v>118297552.33257873</v>
      </c>
      <c r="J21" s="420">
        <f t="shared" si="11"/>
        <v>118297552.33257873</v>
      </c>
      <c r="K21" s="420">
        <f t="shared" si="11"/>
        <v>118297552.33257873</v>
      </c>
      <c r="L21" s="420">
        <f t="shared" si="11"/>
        <v>118297552.33257873</v>
      </c>
      <c r="M21" s="420">
        <f t="shared" si="11"/>
        <v>118297552.33257873</v>
      </c>
      <c r="N21" s="420">
        <f t="shared" si="11"/>
        <v>118297552.33257873</v>
      </c>
      <c r="O21" s="410" t="s">
        <v>966</v>
      </c>
    </row>
    <row r="22" spans="1:15" s="295" customFormat="1">
      <c r="D22" s="421" t="s">
        <v>967</v>
      </c>
      <c r="E22" s="422">
        <f t="shared" ref="E22:N22" si="12">finAnnualGrossProfit/FinAnnualRev</f>
        <v>0.8</v>
      </c>
      <c r="F22" s="422">
        <f t="shared" si="12"/>
        <v>0.8</v>
      </c>
      <c r="G22" s="422">
        <f t="shared" si="12"/>
        <v>0.8</v>
      </c>
      <c r="H22" s="422">
        <f t="shared" si="12"/>
        <v>0.8</v>
      </c>
      <c r="I22" s="422">
        <f t="shared" si="12"/>
        <v>0.8</v>
      </c>
      <c r="J22" s="422">
        <f t="shared" si="12"/>
        <v>0.8</v>
      </c>
      <c r="K22" s="422">
        <f t="shared" si="12"/>
        <v>0.8</v>
      </c>
      <c r="L22" s="422">
        <f t="shared" si="12"/>
        <v>0.8</v>
      </c>
      <c r="M22" s="422">
        <f t="shared" si="12"/>
        <v>0.8</v>
      </c>
      <c r="N22" s="422">
        <f t="shared" si="12"/>
        <v>0.8</v>
      </c>
      <c r="O22" s="423" t="s">
        <v>968</v>
      </c>
    </row>
    <row r="23" spans="1:15" s="295" customFormat="1">
      <c r="D23" s="421"/>
      <c r="E23" s="422"/>
      <c r="F23" s="422"/>
      <c r="G23" s="422"/>
      <c r="H23" s="422"/>
      <c r="I23" s="422"/>
      <c r="J23" s="422"/>
      <c r="K23" s="422"/>
      <c r="L23" s="422"/>
      <c r="M23" s="422"/>
      <c r="N23" s="422"/>
      <c r="O23" s="423"/>
    </row>
    <row r="24" spans="1:15">
      <c r="A24" s="65" t="s">
        <v>422</v>
      </c>
    </row>
    <row r="25" spans="1:15">
      <c r="C25" t="s">
        <v>936</v>
      </c>
    </row>
    <row r="26" spans="1:15">
      <c r="D26" t="s">
        <v>937</v>
      </c>
      <c r="E26" s="419">
        <f t="shared" ref="E26:N26" si="13">calcQ1MSExp</f>
        <v>13775350.342430864</v>
      </c>
      <c r="F26" s="419">
        <f t="shared" si="13"/>
        <v>13775350.342430864</v>
      </c>
      <c r="G26" s="419">
        <f t="shared" si="13"/>
        <v>13775350.342430864</v>
      </c>
      <c r="H26" s="419">
        <f t="shared" si="13"/>
        <v>13775350.342430864</v>
      </c>
      <c r="I26" s="419">
        <f t="shared" si="13"/>
        <v>13775350.342430864</v>
      </c>
      <c r="J26" s="419">
        <f t="shared" si="13"/>
        <v>13775350.342430864</v>
      </c>
      <c r="K26" s="419">
        <f t="shared" si="13"/>
        <v>13775350.342430864</v>
      </c>
      <c r="L26" s="419">
        <f t="shared" si="13"/>
        <v>13775350.342430864</v>
      </c>
      <c r="M26" s="419">
        <f t="shared" si="13"/>
        <v>13775350.342430864</v>
      </c>
      <c r="N26" s="419">
        <f t="shared" si="13"/>
        <v>13775350.342430864</v>
      </c>
      <c r="O26" t="s">
        <v>938</v>
      </c>
    </row>
    <row r="27" spans="1:15">
      <c r="D27" t="s">
        <v>939</v>
      </c>
      <c r="E27" s="419">
        <f t="shared" ref="E27:N27" si="14">calcQ2MSExp</f>
        <v>15055072.79430173</v>
      </c>
      <c r="F27" s="419">
        <f t="shared" si="14"/>
        <v>15055072.79430173</v>
      </c>
      <c r="G27" s="419">
        <f t="shared" si="14"/>
        <v>15055072.79430173</v>
      </c>
      <c r="H27" s="419">
        <f t="shared" si="14"/>
        <v>15055072.79430173</v>
      </c>
      <c r="I27" s="419">
        <f t="shared" si="14"/>
        <v>15055072.79430173</v>
      </c>
      <c r="J27" s="419">
        <f t="shared" si="14"/>
        <v>15055072.79430173</v>
      </c>
      <c r="K27" s="419">
        <f t="shared" si="14"/>
        <v>15055072.79430173</v>
      </c>
      <c r="L27" s="419">
        <f t="shared" si="14"/>
        <v>15055072.79430173</v>
      </c>
      <c r="M27" s="419">
        <f t="shared" si="14"/>
        <v>15055072.79430173</v>
      </c>
      <c r="N27" s="419">
        <f t="shared" si="14"/>
        <v>15055072.79430173</v>
      </c>
      <c r="O27" t="s">
        <v>940</v>
      </c>
    </row>
    <row r="28" spans="1:15">
      <c r="D28" t="s">
        <v>941</v>
      </c>
      <c r="E28" s="419">
        <f t="shared" ref="E28:N28" si="15">calcQ3MSExp</f>
        <v>17032512.502998464</v>
      </c>
      <c r="F28" s="419">
        <f t="shared" si="15"/>
        <v>17032512.502998464</v>
      </c>
      <c r="G28" s="419">
        <f t="shared" si="15"/>
        <v>17032512.502998464</v>
      </c>
      <c r="H28" s="419">
        <f t="shared" si="15"/>
        <v>17032512.502998464</v>
      </c>
      <c r="I28" s="419">
        <f t="shared" si="15"/>
        <v>17032512.502998464</v>
      </c>
      <c r="J28" s="419">
        <f t="shared" si="15"/>
        <v>17032512.502998464</v>
      </c>
      <c r="K28" s="419">
        <f t="shared" si="15"/>
        <v>17032512.502998464</v>
      </c>
      <c r="L28" s="419">
        <f t="shared" si="15"/>
        <v>17032512.502998464</v>
      </c>
      <c r="M28" s="419">
        <f t="shared" si="15"/>
        <v>17032512.502998464</v>
      </c>
      <c r="N28" s="419">
        <f t="shared" si="15"/>
        <v>17032512.502998464</v>
      </c>
      <c r="O28" t="s">
        <v>942</v>
      </c>
    </row>
    <row r="29" spans="1:15">
      <c r="D29" t="s">
        <v>943</v>
      </c>
      <c r="E29" s="419">
        <f t="shared" ref="E29:N29" si="16">calcQ4MSExp</f>
        <v>19940077.845265858</v>
      </c>
      <c r="F29" s="419">
        <f t="shared" si="16"/>
        <v>19940077.845265858</v>
      </c>
      <c r="G29" s="419">
        <f t="shared" si="16"/>
        <v>19940077.845265858</v>
      </c>
      <c r="H29" s="419">
        <f t="shared" si="16"/>
        <v>19940077.845265858</v>
      </c>
      <c r="I29" s="419">
        <f t="shared" si="16"/>
        <v>19940077.845265858</v>
      </c>
      <c r="J29" s="419">
        <f t="shared" si="16"/>
        <v>19940077.845265858</v>
      </c>
      <c r="K29" s="419">
        <f t="shared" si="16"/>
        <v>19940077.845265858</v>
      </c>
      <c r="L29" s="419">
        <f t="shared" si="16"/>
        <v>19940077.845265858</v>
      </c>
      <c r="M29" s="419">
        <f t="shared" si="16"/>
        <v>19940077.845265858</v>
      </c>
      <c r="N29" s="419">
        <f t="shared" si="16"/>
        <v>19940077.845265858</v>
      </c>
      <c r="O29" t="s">
        <v>944</v>
      </c>
    </row>
    <row r="30" spans="1:15" s="65" customFormat="1">
      <c r="D30" s="65" t="s">
        <v>949</v>
      </c>
      <c r="E30" s="420">
        <f t="shared" ref="E30:N30" si="17">finQ1MSExp+finQ2MSExp+finQ3MSExp+finQ4MSExp</f>
        <v>65803013.484996915</v>
      </c>
      <c r="F30" s="420">
        <f t="shared" si="17"/>
        <v>65803013.484996915</v>
      </c>
      <c r="G30" s="420">
        <f t="shared" si="17"/>
        <v>65803013.484996915</v>
      </c>
      <c r="H30" s="420">
        <f t="shared" si="17"/>
        <v>65803013.484996915</v>
      </c>
      <c r="I30" s="420">
        <f t="shared" si="17"/>
        <v>65803013.484996915</v>
      </c>
      <c r="J30" s="420">
        <f t="shared" si="17"/>
        <v>65803013.484996915</v>
      </c>
      <c r="K30" s="420">
        <f t="shared" si="17"/>
        <v>65803013.484996915</v>
      </c>
      <c r="L30" s="420">
        <f t="shared" si="17"/>
        <v>65803013.484996915</v>
      </c>
      <c r="M30" s="420">
        <f t="shared" si="17"/>
        <v>65803013.484996915</v>
      </c>
      <c r="N30" s="420">
        <f t="shared" si="17"/>
        <v>65803013.484996915</v>
      </c>
      <c r="O30" s="65" t="s">
        <v>950</v>
      </c>
    </row>
    <row r="31" spans="1:15">
      <c r="C31" t="s">
        <v>424</v>
      </c>
    </row>
    <row r="32" spans="1:15">
      <c r="D32" t="s">
        <v>1105</v>
      </c>
      <c r="E32" s="419">
        <f t="shared" ref="E32:N32" si="18">calcQ1RDExp</f>
        <v>10308295.874223545</v>
      </c>
      <c r="F32" s="419">
        <f t="shared" si="18"/>
        <v>10308295.874223545</v>
      </c>
      <c r="G32" s="419">
        <f t="shared" si="18"/>
        <v>10308295.874223545</v>
      </c>
      <c r="H32" s="419">
        <f t="shared" si="18"/>
        <v>10308295.874223545</v>
      </c>
      <c r="I32" s="419">
        <f t="shared" si="18"/>
        <v>10308295.874223545</v>
      </c>
      <c r="J32" s="419">
        <f t="shared" si="18"/>
        <v>10308295.874223545</v>
      </c>
      <c r="K32" s="419">
        <f t="shared" si="18"/>
        <v>10308295.874223545</v>
      </c>
      <c r="L32" s="419">
        <f t="shared" si="18"/>
        <v>10308295.874223545</v>
      </c>
      <c r="M32" s="419">
        <f t="shared" si="18"/>
        <v>10308295.874223545</v>
      </c>
      <c r="N32" s="419">
        <f t="shared" si="18"/>
        <v>10308295.874223545</v>
      </c>
      <c r="O32" t="s">
        <v>951</v>
      </c>
    </row>
    <row r="33" spans="1:15">
      <c r="D33" t="s">
        <v>1106</v>
      </c>
      <c r="E33" s="419">
        <f t="shared" ref="E33:N33" si="19">calcQ2RDExp</f>
        <v>11265930.877533654</v>
      </c>
      <c r="F33" s="419">
        <f t="shared" si="19"/>
        <v>11265930.877533654</v>
      </c>
      <c r="G33" s="419">
        <f t="shared" si="19"/>
        <v>11265930.877533654</v>
      </c>
      <c r="H33" s="419">
        <f t="shared" si="19"/>
        <v>11265930.877533654</v>
      </c>
      <c r="I33" s="419">
        <f t="shared" si="19"/>
        <v>11265930.877533654</v>
      </c>
      <c r="J33" s="419">
        <f t="shared" si="19"/>
        <v>11265930.877533654</v>
      </c>
      <c r="K33" s="419">
        <f t="shared" si="19"/>
        <v>11265930.877533654</v>
      </c>
      <c r="L33" s="419">
        <f t="shared" si="19"/>
        <v>11265930.877533654</v>
      </c>
      <c r="M33" s="419">
        <f t="shared" si="19"/>
        <v>11265930.877533654</v>
      </c>
      <c r="N33" s="419">
        <f t="shared" si="19"/>
        <v>11265930.877533654</v>
      </c>
      <c r="O33" t="s">
        <v>952</v>
      </c>
    </row>
    <row r="34" spans="1:15">
      <c r="D34" t="s">
        <v>1107</v>
      </c>
      <c r="E34" s="419">
        <f t="shared" ref="E34:N34" si="20">calcQ3RDExp</f>
        <v>12745677.895502223</v>
      </c>
      <c r="F34" s="419">
        <f t="shared" si="20"/>
        <v>12745677.895502223</v>
      </c>
      <c r="G34" s="419">
        <f t="shared" si="20"/>
        <v>12745677.895502223</v>
      </c>
      <c r="H34" s="419">
        <f t="shared" si="20"/>
        <v>12745677.895502223</v>
      </c>
      <c r="I34" s="419">
        <f t="shared" si="20"/>
        <v>12745677.895502223</v>
      </c>
      <c r="J34" s="419">
        <f t="shared" si="20"/>
        <v>12745677.895502223</v>
      </c>
      <c r="K34" s="419">
        <f t="shared" si="20"/>
        <v>12745677.895502223</v>
      </c>
      <c r="L34" s="419">
        <f t="shared" si="20"/>
        <v>12745677.895502223</v>
      </c>
      <c r="M34" s="419">
        <f t="shared" si="20"/>
        <v>12745677.895502223</v>
      </c>
      <c r="N34" s="419">
        <f t="shared" si="20"/>
        <v>12745677.895502223</v>
      </c>
      <c r="O34" t="s">
        <v>953</v>
      </c>
    </row>
    <row r="35" spans="1:15">
      <c r="D35" t="s">
        <v>1108</v>
      </c>
      <c r="E35" s="419">
        <f t="shared" ref="E35:N35" si="21">calcQ4RDExp</f>
        <v>14921451.511176473</v>
      </c>
      <c r="F35" s="419">
        <f t="shared" si="21"/>
        <v>14921451.511176473</v>
      </c>
      <c r="G35" s="419">
        <f t="shared" si="21"/>
        <v>14921451.511176473</v>
      </c>
      <c r="H35" s="419">
        <f t="shared" si="21"/>
        <v>14921451.511176473</v>
      </c>
      <c r="I35" s="419">
        <f t="shared" si="21"/>
        <v>14921451.511176473</v>
      </c>
      <c r="J35" s="419">
        <f t="shared" si="21"/>
        <v>14921451.511176473</v>
      </c>
      <c r="K35" s="419">
        <f t="shared" si="21"/>
        <v>14921451.511176473</v>
      </c>
      <c r="L35" s="419">
        <f t="shared" si="21"/>
        <v>14921451.511176473</v>
      </c>
      <c r="M35" s="419">
        <f t="shared" si="21"/>
        <v>14921451.511176473</v>
      </c>
      <c r="N35" s="419">
        <f t="shared" si="21"/>
        <v>14921451.511176473</v>
      </c>
      <c r="O35" t="s">
        <v>954</v>
      </c>
    </row>
    <row r="36" spans="1:15" s="65" customFormat="1">
      <c r="D36" s="65" t="s">
        <v>1109</v>
      </c>
      <c r="E36" s="420">
        <f t="shared" ref="E36:N36" si="22">finQ1RDExp+finQ2RDExp+finQ3RDExp+finQ4RDExp</f>
        <v>49241356.158435896</v>
      </c>
      <c r="F36" s="420">
        <f t="shared" si="22"/>
        <v>49241356.158435896</v>
      </c>
      <c r="G36" s="420">
        <f t="shared" si="22"/>
        <v>49241356.158435896</v>
      </c>
      <c r="H36" s="420">
        <f t="shared" si="22"/>
        <v>49241356.158435896</v>
      </c>
      <c r="I36" s="420">
        <f t="shared" si="22"/>
        <v>49241356.158435896</v>
      </c>
      <c r="J36" s="420">
        <f t="shared" si="22"/>
        <v>49241356.158435896</v>
      </c>
      <c r="K36" s="420">
        <f t="shared" si="22"/>
        <v>49241356.158435896</v>
      </c>
      <c r="L36" s="420">
        <f t="shared" si="22"/>
        <v>49241356.158435896</v>
      </c>
      <c r="M36" s="420">
        <f t="shared" si="22"/>
        <v>49241356.158435896</v>
      </c>
      <c r="N36" s="420">
        <f t="shared" si="22"/>
        <v>49241356.158435896</v>
      </c>
      <c r="O36" s="65" t="s">
        <v>955</v>
      </c>
    </row>
    <row r="37" spans="1:15">
      <c r="C37" t="s">
        <v>403</v>
      </c>
    </row>
    <row r="38" spans="1:15">
      <c r="D38" t="s">
        <v>1100</v>
      </c>
      <c r="E38" s="419">
        <f t="shared" ref="E38:N38" si="23">calcQ1GAExp</f>
        <v>6562638.8148209956</v>
      </c>
      <c r="F38" s="419">
        <f t="shared" si="23"/>
        <v>6562638.8148209956</v>
      </c>
      <c r="G38" s="419">
        <f t="shared" si="23"/>
        <v>6562638.8148209956</v>
      </c>
      <c r="H38" s="419">
        <f t="shared" si="23"/>
        <v>6562638.8148209956</v>
      </c>
      <c r="I38" s="419">
        <f t="shared" si="23"/>
        <v>6562638.8148209956</v>
      </c>
      <c r="J38" s="419">
        <f t="shared" si="23"/>
        <v>6562638.8148209956</v>
      </c>
      <c r="K38" s="419">
        <f t="shared" si="23"/>
        <v>6562638.8148209956</v>
      </c>
      <c r="L38" s="419">
        <f t="shared" si="23"/>
        <v>6562638.8148209956</v>
      </c>
      <c r="M38" s="419">
        <f t="shared" si="23"/>
        <v>6562638.8148209956</v>
      </c>
      <c r="N38" s="419">
        <f t="shared" si="23"/>
        <v>6562638.8148209956</v>
      </c>
      <c r="O38" t="s">
        <v>956</v>
      </c>
    </row>
    <row r="39" spans="1:15">
      <c r="D39" t="s">
        <v>1101</v>
      </c>
      <c r="E39" s="419">
        <f t="shared" ref="E39:N39" si="24">calcQ2GAExp</f>
        <v>7172304.3424538579</v>
      </c>
      <c r="F39" s="419">
        <f t="shared" si="24"/>
        <v>7172304.3424538579</v>
      </c>
      <c r="G39" s="419">
        <f t="shared" si="24"/>
        <v>7172304.3424538579</v>
      </c>
      <c r="H39" s="419">
        <f t="shared" si="24"/>
        <v>7172304.3424538579</v>
      </c>
      <c r="I39" s="419">
        <f t="shared" si="24"/>
        <v>7172304.3424538579</v>
      </c>
      <c r="J39" s="419">
        <f t="shared" si="24"/>
        <v>7172304.3424538579</v>
      </c>
      <c r="K39" s="419">
        <f t="shared" si="24"/>
        <v>7172304.3424538579</v>
      </c>
      <c r="L39" s="419">
        <f t="shared" si="24"/>
        <v>7172304.3424538579</v>
      </c>
      <c r="M39" s="419">
        <f t="shared" si="24"/>
        <v>7172304.3424538579</v>
      </c>
      <c r="N39" s="419">
        <f t="shared" si="24"/>
        <v>7172304.3424538579</v>
      </c>
      <c r="O39" t="s">
        <v>957</v>
      </c>
    </row>
    <row r="40" spans="1:15">
      <c r="D40" t="s">
        <v>1102</v>
      </c>
      <c r="E40" s="419">
        <f t="shared" ref="E40:N40" si="25">calcQ3GAExp</f>
        <v>8114365.5070464592</v>
      </c>
      <c r="F40" s="419">
        <f t="shared" si="25"/>
        <v>8114365.5070464592</v>
      </c>
      <c r="G40" s="419">
        <f t="shared" si="25"/>
        <v>8114365.5070464592</v>
      </c>
      <c r="H40" s="419">
        <f t="shared" si="25"/>
        <v>8114365.5070464592</v>
      </c>
      <c r="I40" s="419">
        <f t="shared" si="25"/>
        <v>8114365.5070464592</v>
      </c>
      <c r="J40" s="419">
        <f t="shared" si="25"/>
        <v>8114365.5070464592</v>
      </c>
      <c r="K40" s="419">
        <f t="shared" si="25"/>
        <v>8114365.5070464592</v>
      </c>
      <c r="L40" s="419">
        <f t="shared" si="25"/>
        <v>8114365.5070464592</v>
      </c>
      <c r="M40" s="419">
        <f t="shared" si="25"/>
        <v>8114365.5070464592</v>
      </c>
      <c r="N40" s="419">
        <f t="shared" si="25"/>
        <v>8114365.5070464592</v>
      </c>
      <c r="O40" t="s">
        <v>958</v>
      </c>
    </row>
    <row r="41" spans="1:15">
      <c r="D41" t="s">
        <v>1103</v>
      </c>
      <c r="E41" s="419">
        <f t="shared" ref="E41:N41" si="26">calcQ4GAExp</f>
        <v>9499542.7038120478</v>
      </c>
      <c r="F41" s="419">
        <f t="shared" si="26"/>
        <v>9499542.7038120478</v>
      </c>
      <c r="G41" s="419">
        <f t="shared" si="26"/>
        <v>9499542.7038120478</v>
      </c>
      <c r="H41" s="419">
        <f t="shared" si="26"/>
        <v>9499542.7038120478</v>
      </c>
      <c r="I41" s="419">
        <f t="shared" si="26"/>
        <v>9499542.7038120478</v>
      </c>
      <c r="J41" s="419">
        <f t="shared" si="26"/>
        <v>9499542.7038120478</v>
      </c>
      <c r="K41" s="419">
        <f t="shared" si="26"/>
        <v>9499542.7038120478</v>
      </c>
      <c r="L41" s="419">
        <f t="shared" si="26"/>
        <v>9499542.7038120478</v>
      </c>
      <c r="M41" s="419">
        <f t="shared" si="26"/>
        <v>9499542.7038120478</v>
      </c>
      <c r="N41" s="419">
        <f t="shared" si="26"/>
        <v>9499542.7038120478</v>
      </c>
      <c r="O41" t="s">
        <v>959</v>
      </c>
    </row>
    <row r="42" spans="1:15" s="65" customFormat="1">
      <c r="D42" s="65" t="s">
        <v>1104</v>
      </c>
      <c r="E42" s="420">
        <f t="shared" ref="E42:N42" si="27">finQ1GAExp+finQ2GAExp+finQ3GAExp+finQ4GAExp</f>
        <v>31348851.368133359</v>
      </c>
      <c r="F42" s="420">
        <f t="shared" si="27"/>
        <v>31348851.368133359</v>
      </c>
      <c r="G42" s="420">
        <f t="shared" si="27"/>
        <v>31348851.368133359</v>
      </c>
      <c r="H42" s="420">
        <f t="shared" si="27"/>
        <v>31348851.368133359</v>
      </c>
      <c r="I42" s="420">
        <f t="shared" si="27"/>
        <v>31348851.368133359</v>
      </c>
      <c r="J42" s="420">
        <f t="shared" si="27"/>
        <v>31348851.368133359</v>
      </c>
      <c r="K42" s="420">
        <f t="shared" si="27"/>
        <v>31348851.368133359</v>
      </c>
      <c r="L42" s="420">
        <f t="shared" si="27"/>
        <v>31348851.368133359</v>
      </c>
      <c r="M42" s="420">
        <f t="shared" si="27"/>
        <v>31348851.368133359</v>
      </c>
      <c r="N42" s="420">
        <f t="shared" si="27"/>
        <v>31348851.368133359</v>
      </c>
      <c r="O42" s="65" t="s">
        <v>960</v>
      </c>
    </row>
    <row r="44" spans="1:15">
      <c r="D44" t="s">
        <v>426</v>
      </c>
      <c r="E44" s="419">
        <f t="shared" ref="E44:N44" si="28">finAnnualGrossProfit-finAnnualMSExp-finAnnualRDExp-finAnnualGAExp</f>
        <v>-28095668.678987436</v>
      </c>
      <c r="F44" s="419">
        <f t="shared" si="28"/>
        <v>-28095668.678987436</v>
      </c>
      <c r="G44" s="419">
        <f t="shared" si="28"/>
        <v>-28095668.678987436</v>
      </c>
      <c r="H44" s="419">
        <f t="shared" si="28"/>
        <v>-28095668.678987436</v>
      </c>
      <c r="I44" s="419">
        <f t="shared" si="28"/>
        <v>-28095668.678987436</v>
      </c>
      <c r="J44" s="419">
        <f t="shared" si="28"/>
        <v>-28095668.678987436</v>
      </c>
      <c r="K44" s="419">
        <f t="shared" si="28"/>
        <v>-28095668.678987436</v>
      </c>
      <c r="L44" s="419">
        <f t="shared" si="28"/>
        <v>-28095668.678987436</v>
      </c>
      <c r="M44" s="419">
        <f t="shared" si="28"/>
        <v>-28095668.678987436</v>
      </c>
      <c r="N44" s="419">
        <f t="shared" si="28"/>
        <v>-28095668.678987436</v>
      </c>
      <c r="O44" t="s">
        <v>1146</v>
      </c>
    </row>
    <row r="45" spans="1:15" s="295" customFormat="1">
      <c r="D45" s="421" t="s">
        <v>967</v>
      </c>
      <c r="E45" s="422">
        <f t="shared" ref="E45:N45" si="29">finAnnualOpProfit/FinAnnualRev</f>
        <v>-0.18999999999999992</v>
      </c>
      <c r="F45" s="422">
        <f t="shared" si="29"/>
        <v>-0.18999999999999992</v>
      </c>
      <c r="G45" s="422">
        <f t="shared" si="29"/>
        <v>-0.18999999999999992</v>
      </c>
      <c r="H45" s="422">
        <f t="shared" si="29"/>
        <v>-0.18999999999999992</v>
      </c>
      <c r="I45" s="422">
        <f t="shared" si="29"/>
        <v>-0.18999999999999992</v>
      </c>
      <c r="J45" s="422">
        <f t="shared" si="29"/>
        <v>-0.18999999999999992</v>
      </c>
      <c r="K45" s="422">
        <f t="shared" si="29"/>
        <v>-0.18999999999999992</v>
      </c>
      <c r="L45" s="422">
        <f t="shared" si="29"/>
        <v>-0.18999999999999992</v>
      </c>
      <c r="M45" s="422">
        <f t="shared" si="29"/>
        <v>-0.18999999999999992</v>
      </c>
      <c r="N45" s="422">
        <f t="shared" si="29"/>
        <v>-0.18999999999999992</v>
      </c>
      <c r="O45" s="295" t="s">
        <v>1147</v>
      </c>
    </row>
    <row r="47" spans="1:15">
      <c r="A47" t="s">
        <v>466</v>
      </c>
    </row>
    <row r="48" spans="1:15">
      <c r="C48" t="s">
        <v>467</v>
      </c>
    </row>
    <row r="49" spans="3:15">
      <c r="D49" t="s">
        <v>973</v>
      </c>
      <c r="E49" s="419">
        <f t="shared" ref="E49:N49" si="30">calcQ1HarmExp</f>
        <v>0</v>
      </c>
      <c r="F49" s="419">
        <f t="shared" si="30"/>
        <v>0</v>
      </c>
      <c r="G49" s="419">
        <f t="shared" si="30"/>
        <v>0</v>
      </c>
      <c r="H49" s="419">
        <f t="shared" si="30"/>
        <v>0</v>
      </c>
      <c r="I49" s="419">
        <f t="shared" si="30"/>
        <v>0</v>
      </c>
      <c r="J49" s="419">
        <f t="shared" si="30"/>
        <v>0</v>
      </c>
      <c r="K49" s="419">
        <f t="shared" si="30"/>
        <v>0</v>
      </c>
      <c r="L49" s="419">
        <f t="shared" si="30"/>
        <v>0</v>
      </c>
      <c r="M49" s="419">
        <f t="shared" si="30"/>
        <v>0</v>
      </c>
      <c r="N49" s="419">
        <f t="shared" si="30"/>
        <v>0</v>
      </c>
      <c r="O49" t="s">
        <v>998</v>
      </c>
    </row>
    <row r="50" spans="3:15">
      <c r="D50" t="s">
        <v>985</v>
      </c>
      <c r="E50" s="419">
        <f t="shared" ref="E50:N50" si="31">calcQ2HarmExp</f>
        <v>0</v>
      </c>
      <c r="F50" s="419">
        <f t="shared" si="31"/>
        <v>0</v>
      </c>
      <c r="G50" s="419">
        <f t="shared" si="31"/>
        <v>0</v>
      </c>
      <c r="H50" s="419">
        <f t="shared" si="31"/>
        <v>0</v>
      </c>
      <c r="I50" s="419">
        <f t="shared" si="31"/>
        <v>0</v>
      </c>
      <c r="J50" s="419">
        <f t="shared" si="31"/>
        <v>0</v>
      </c>
      <c r="K50" s="419">
        <f t="shared" si="31"/>
        <v>0</v>
      </c>
      <c r="L50" s="419">
        <f t="shared" si="31"/>
        <v>0</v>
      </c>
      <c r="M50" s="419">
        <f t="shared" si="31"/>
        <v>0</v>
      </c>
      <c r="N50" s="419">
        <f t="shared" si="31"/>
        <v>0</v>
      </c>
      <c r="O50" t="s">
        <v>999</v>
      </c>
    </row>
    <row r="51" spans="3:15">
      <c r="D51" t="s">
        <v>990</v>
      </c>
      <c r="E51" s="419">
        <f t="shared" ref="E51:N51" si="32">calcQ3HarmExp</f>
        <v>0</v>
      </c>
      <c r="F51" s="419">
        <f t="shared" si="32"/>
        <v>0</v>
      </c>
      <c r="G51" s="419">
        <f t="shared" si="32"/>
        <v>0</v>
      </c>
      <c r="H51" s="419">
        <f t="shared" si="32"/>
        <v>0</v>
      </c>
      <c r="I51" s="419">
        <f t="shared" si="32"/>
        <v>0</v>
      </c>
      <c r="J51" s="419">
        <f t="shared" si="32"/>
        <v>0</v>
      </c>
      <c r="K51" s="419">
        <f t="shared" si="32"/>
        <v>0</v>
      </c>
      <c r="L51" s="419">
        <f t="shared" si="32"/>
        <v>0</v>
      </c>
      <c r="M51" s="419">
        <f t="shared" si="32"/>
        <v>0</v>
      </c>
      <c r="N51" s="419">
        <f t="shared" si="32"/>
        <v>0</v>
      </c>
      <c r="O51" t="s">
        <v>1000</v>
      </c>
    </row>
    <row r="52" spans="3:15">
      <c r="D52" t="s">
        <v>994</v>
      </c>
      <c r="E52" s="419">
        <f t="shared" ref="E52:N52" si="33">calcQ4HarmExp</f>
        <v>0</v>
      </c>
      <c r="F52" s="419">
        <f t="shared" si="33"/>
        <v>0</v>
      </c>
      <c r="G52" s="419">
        <f t="shared" si="33"/>
        <v>0</v>
      </c>
      <c r="H52" s="419">
        <f t="shared" si="33"/>
        <v>0</v>
      </c>
      <c r="I52" s="419">
        <f t="shared" si="33"/>
        <v>0</v>
      </c>
      <c r="J52" s="419">
        <f t="shared" si="33"/>
        <v>0</v>
      </c>
      <c r="K52" s="419">
        <f t="shared" si="33"/>
        <v>0</v>
      </c>
      <c r="L52" s="419">
        <f t="shared" si="33"/>
        <v>0</v>
      </c>
      <c r="M52" s="419">
        <f t="shared" si="33"/>
        <v>0</v>
      </c>
      <c r="N52" s="419">
        <f t="shared" si="33"/>
        <v>0</v>
      </c>
      <c r="O52" t="s">
        <v>1001</v>
      </c>
    </row>
    <row r="53" spans="3:15" s="65" customFormat="1">
      <c r="D53" s="65" t="s">
        <v>1003</v>
      </c>
      <c r="E53" s="420">
        <f t="shared" ref="E53:N53" si="34">finQ1HarmExp+finQ2HarmExp+finQ3HarmExp+finQ4HarmExp</f>
        <v>0</v>
      </c>
      <c r="F53" s="420">
        <f t="shared" si="34"/>
        <v>0</v>
      </c>
      <c r="G53" s="420">
        <f t="shared" si="34"/>
        <v>0</v>
      </c>
      <c r="H53" s="420">
        <f t="shared" si="34"/>
        <v>0</v>
      </c>
      <c r="I53" s="420">
        <f t="shared" si="34"/>
        <v>0</v>
      </c>
      <c r="J53" s="420">
        <f t="shared" si="34"/>
        <v>0</v>
      </c>
      <c r="K53" s="420">
        <f t="shared" si="34"/>
        <v>0</v>
      </c>
      <c r="L53" s="420">
        <f t="shared" si="34"/>
        <v>0</v>
      </c>
      <c r="M53" s="420">
        <f t="shared" si="34"/>
        <v>0</v>
      </c>
      <c r="N53" s="420">
        <f t="shared" si="34"/>
        <v>0</v>
      </c>
      <c r="O53" s="65" t="s">
        <v>1004</v>
      </c>
    </row>
    <row r="54" spans="3:15" s="65" customFormat="1">
      <c r="C54" s="65" t="s">
        <v>401</v>
      </c>
      <c r="E54" s="420"/>
      <c r="F54" s="420"/>
      <c r="G54" s="420"/>
      <c r="H54" s="420"/>
      <c r="I54" s="420"/>
      <c r="J54" s="420"/>
      <c r="K54" s="420"/>
      <c r="L54" s="420"/>
      <c r="M54" s="420"/>
      <c r="N54" s="420"/>
    </row>
    <row r="55" spans="3:15">
      <c r="D55" t="s">
        <v>1018</v>
      </c>
      <c r="E55" s="419">
        <f t="shared" ref="E55:N55" si="35">calcQ1ITExp</f>
        <v>0</v>
      </c>
      <c r="F55" s="419">
        <f t="shared" si="35"/>
        <v>0</v>
      </c>
      <c r="G55" s="419">
        <f t="shared" si="35"/>
        <v>0</v>
      </c>
      <c r="H55" s="419">
        <f t="shared" si="35"/>
        <v>0</v>
      </c>
      <c r="I55" s="419">
        <f t="shared" si="35"/>
        <v>0</v>
      </c>
      <c r="J55" s="419">
        <f t="shared" si="35"/>
        <v>0</v>
      </c>
      <c r="K55" s="419">
        <f t="shared" si="35"/>
        <v>0</v>
      </c>
      <c r="L55" s="419">
        <f t="shared" si="35"/>
        <v>0</v>
      </c>
      <c r="M55" s="419">
        <f t="shared" si="35"/>
        <v>0</v>
      </c>
      <c r="N55" s="419">
        <f t="shared" si="35"/>
        <v>0</v>
      </c>
      <c r="O55" t="s">
        <v>1023</v>
      </c>
    </row>
    <row r="56" spans="3:15">
      <c r="D56" t="s">
        <v>1019</v>
      </c>
      <c r="E56" s="419">
        <f t="shared" ref="E56:N56" si="36">calcQ2ITExp</f>
        <v>0</v>
      </c>
      <c r="F56" s="419">
        <f t="shared" si="36"/>
        <v>0</v>
      </c>
      <c r="G56" s="419">
        <f t="shared" si="36"/>
        <v>0</v>
      </c>
      <c r="H56" s="419">
        <f t="shared" si="36"/>
        <v>0</v>
      </c>
      <c r="I56" s="419">
        <f t="shared" si="36"/>
        <v>0</v>
      </c>
      <c r="J56" s="419">
        <f t="shared" si="36"/>
        <v>0</v>
      </c>
      <c r="K56" s="419">
        <f t="shared" si="36"/>
        <v>0</v>
      </c>
      <c r="L56" s="419">
        <f t="shared" si="36"/>
        <v>0</v>
      </c>
      <c r="M56" s="419">
        <f t="shared" si="36"/>
        <v>0</v>
      </c>
      <c r="N56" s="419">
        <f t="shared" si="36"/>
        <v>0</v>
      </c>
      <c r="O56" t="s">
        <v>1024</v>
      </c>
    </row>
    <row r="57" spans="3:15">
      <c r="D57" t="s">
        <v>1020</v>
      </c>
      <c r="E57" s="419">
        <f t="shared" ref="E57:N57" si="37">calcQ3ITExp</f>
        <v>0</v>
      </c>
      <c r="F57" s="419">
        <f t="shared" si="37"/>
        <v>0</v>
      </c>
      <c r="G57" s="419">
        <f t="shared" si="37"/>
        <v>0</v>
      </c>
      <c r="H57" s="419">
        <f t="shared" si="37"/>
        <v>0</v>
      </c>
      <c r="I57" s="419">
        <f t="shared" si="37"/>
        <v>0</v>
      </c>
      <c r="J57" s="419">
        <f t="shared" si="37"/>
        <v>0</v>
      </c>
      <c r="K57" s="419">
        <f t="shared" si="37"/>
        <v>0</v>
      </c>
      <c r="L57" s="419">
        <f t="shared" si="37"/>
        <v>0</v>
      </c>
      <c r="M57" s="419">
        <f t="shared" si="37"/>
        <v>0</v>
      </c>
      <c r="N57" s="419">
        <f t="shared" si="37"/>
        <v>0</v>
      </c>
      <c r="O57" t="s">
        <v>1025</v>
      </c>
    </row>
    <row r="58" spans="3:15">
      <c r="D58" t="s">
        <v>1021</v>
      </c>
      <c r="E58" s="419">
        <f t="shared" ref="E58:N58" si="38">calcQ4ITExp</f>
        <v>0</v>
      </c>
      <c r="F58" s="419">
        <f t="shared" si="38"/>
        <v>0</v>
      </c>
      <c r="G58" s="419">
        <f t="shared" si="38"/>
        <v>0</v>
      </c>
      <c r="H58" s="419">
        <f t="shared" si="38"/>
        <v>0</v>
      </c>
      <c r="I58" s="419">
        <f t="shared" si="38"/>
        <v>0</v>
      </c>
      <c r="J58" s="419">
        <f t="shared" si="38"/>
        <v>0</v>
      </c>
      <c r="K58" s="419">
        <f t="shared" si="38"/>
        <v>0</v>
      </c>
      <c r="L58" s="419">
        <f t="shared" si="38"/>
        <v>0</v>
      </c>
      <c r="M58" s="419">
        <f t="shared" si="38"/>
        <v>0</v>
      </c>
      <c r="N58" s="419">
        <f t="shared" si="38"/>
        <v>0</v>
      </c>
      <c r="O58" t="s">
        <v>1026</v>
      </c>
    </row>
    <row r="59" spans="3:15" s="65" customFormat="1">
      <c r="D59" s="65" t="s">
        <v>1022</v>
      </c>
      <c r="E59" s="420">
        <f t="shared" ref="E59:N59" si="39">finQ1ITExp+finQ2ITExp+finQ3ITExp+finQ4ITExp</f>
        <v>0</v>
      </c>
      <c r="F59" s="420">
        <f t="shared" si="39"/>
        <v>0</v>
      </c>
      <c r="G59" s="420">
        <f t="shared" si="39"/>
        <v>0</v>
      </c>
      <c r="H59" s="420">
        <f t="shared" si="39"/>
        <v>0</v>
      </c>
      <c r="I59" s="420">
        <f t="shared" si="39"/>
        <v>0</v>
      </c>
      <c r="J59" s="420">
        <f t="shared" si="39"/>
        <v>0</v>
      </c>
      <c r="K59" s="420">
        <f t="shared" si="39"/>
        <v>0</v>
      </c>
      <c r="L59" s="420">
        <f t="shared" si="39"/>
        <v>0</v>
      </c>
      <c r="M59" s="420">
        <f t="shared" si="39"/>
        <v>0</v>
      </c>
      <c r="N59" s="420">
        <f t="shared" si="39"/>
        <v>0</v>
      </c>
      <c r="O59" s="65" t="s">
        <v>1027</v>
      </c>
    </row>
    <row r="60" spans="3:15">
      <c r="C60" t="s">
        <v>1332</v>
      </c>
    </row>
    <row r="61" spans="3:15">
      <c r="D61" t="s">
        <v>1358</v>
      </c>
      <c r="E61" s="419">
        <f t="shared" ref="E61:N61" si="40">calcQ1FullREExp</f>
        <v>0</v>
      </c>
      <c r="F61" s="419">
        <f t="shared" si="40"/>
        <v>0</v>
      </c>
      <c r="G61" s="419">
        <f t="shared" si="40"/>
        <v>0</v>
      </c>
      <c r="H61" s="419">
        <f t="shared" si="40"/>
        <v>0</v>
      </c>
      <c r="I61" s="419">
        <f t="shared" si="40"/>
        <v>0</v>
      </c>
      <c r="J61" s="419">
        <f t="shared" si="40"/>
        <v>0</v>
      </c>
      <c r="K61" s="419">
        <f t="shared" si="40"/>
        <v>0</v>
      </c>
      <c r="L61" s="419">
        <f t="shared" si="40"/>
        <v>0</v>
      </c>
      <c r="M61" s="419">
        <f t="shared" si="40"/>
        <v>0</v>
      </c>
      <c r="N61" s="419">
        <f t="shared" si="40"/>
        <v>0</v>
      </c>
      <c r="O61" t="s">
        <v>1353</v>
      </c>
    </row>
    <row r="62" spans="3:15">
      <c r="D62" t="s">
        <v>1359</v>
      </c>
      <c r="E62" s="419">
        <f t="shared" ref="E62:N62" si="41">calcQ2FullREExp</f>
        <v>0</v>
      </c>
      <c r="F62" s="419">
        <f t="shared" si="41"/>
        <v>0</v>
      </c>
      <c r="G62" s="419">
        <f t="shared" si="41"/>
        <v>0</v>
      </c>
      <c r="H62" s="419">
        <f t="shared" si="41"/>
        <v>0</v>
      </c>
      <c r="I62" s="419">
        <f t="shared" si="41"/>
        <v>0</v>
      </c>
      <c r="J62" s="419">
        <f t="shared" si="41"/>
        <v>0</v>
      </c>
      <c r="K62" s="419">
        <f t="shared" si="41"/>
        <v>0</v>
      </c>
      <c r="L62" s="419">
        <f t="shared" si="41"/>
        <v>0</v>
      </c>
      <c r="M62" s="419">
        <f t="shared" si="41"/>
        <v>0</v>
      </c>
      <c r="N62" s="419">
        <f t="shared" si="41"/>
        <v>0</v>
      </c>
      <c r="O62" t="s">
        <v>1354</v>
      </c>
    </row>
    <row r="63" spans="3:15">
      <c r="D63" t="s">
        <v>1360</v>
      </c>
      <c r="E63" s="419">
        <f t="shared" ref="E63:N63" si="42">calcQ3FullREExp</f>
        <v>0</v>
      </c>
      <c r="F63" s="419">
        <f t="shared" si="42"/>
        <v>0</v>
      </c>
      <c r="G63" s="419">
        <f t="shared" si="42"/>
        <v>0</v>
      </c>
      <c r="H63" s="419">
        <f t="shared" si="42"/>
        <v>0</v>
      </c>
      <c r="I63" s="419">
        <f t="shared" si="42"/>
        <v>0</v>
      </c>
      <c r="J63" s="419">
        <f t="shared" si="42"/>
        <v>0</v>
      </c>
      <c r="K63" s="419">
        <f t="shared" si="42"/>
        <v>0</v>
      </c>
      <c r="L63" s="419">
        <f t="shared" si="42"/>
        <v>0</v>
      </c>
      <c r="M63" s="419">
        <f t="shared" si="42"/>
        <v>0</v>
      </c>
      <c r="N63" s="419">
        <f t="shared" si="42"/>
        <v>0</v>
      </c>
      <c r="O63" t="s">
        <v>1355</v>
      </c>
    </row>
    <row r="64" spans="3:15">
      <c r="D64" t="s">
        <v>1361</v>
      </c>
      <c r="E64" s="419">
        <f t="shared" ref="E64:N64" si="43">calcQ4FullREExp</f>
        <v>0</v>
      </c>
      <c r="F64" s="419">
        <f t="shared" si="43"/>
        <v>0</v>
      </c>
      <c r="G64" s="419">
        <f t="shared" si="43"/>
        <v>0</v>
      </c>
      <c r="H64" s="419">
        <f t="shared" si="43"/>
        <v>0</v>
      </c>
      <c r="I64" s="419">
        <f t="shared" si="43"/>
        <v>0</v>
      </c>
      <c r="J64" s="419">
        <f t="shared" si="43"/>
        <v>0</v>
      </c>
      <c r="K64" s="419">
        <f t="shared" si="43"/>
        <v>0</v>
      </c>
      <c r="L64" s="419">
        <f t="shared" si="43"/>
        <v>0</v>
      </c>
      <c r="M64" s="419">
        <f t="shared" si="43"/>
        <v>0</v>
      </c>
      <c r="N64" s="419">
        <f t="shared" si="43"/>
        <v>0</v>
      </c>
      <c r="O64" t="s">
        <v>1356</v>
      </c>
    </row>
    <row r="65" spans="3:15" s="65" customFormat="1">
      <c r="D65" s="65" t="s">
        <v>1022</v>
      </c>
      <c r="E65" s="420">
        <f t="shared" ref="E65:N65" si="44">finQ1FullREExp+finQ2FullREExp+finQ3FullREExp+finQ4FullREExp</f>
        <v>0</v>
      </c>
      <c r="F65" s="420">
        <f t="shared" si="44"/>
        <v>0</v>
      </c>
      <c r="G65" s="420">
        <f t="shared" si="44"/>
        <v>0</v>
      </c>
      <c r="H65" s="420">
        <f t="shared" si="44"/>
        <v>0</v>
      </c>
      <c r="I65" s="420">
        <f t="shared" si="44"/>
        <v>0</v>
      </c>
      <c r="J65" s="420">
        <f t="shared" si="44"/>
        <v>0</v>
      </c>
      <c r="K65" s="420">
        <f t="shared" si="44"/>
        <v>0</v>
      </c>
      <c r="L65" s="420">
        <f t="shared" si="44"/>
        <v>0</v>
      </c>
      <c r="M65" s="420">
        <f t="shared" si="44"/>
        <v>0</v>
      </c>
      <c r="N65" s="420">
        <f t="shared" si="44"/>
        <v>0</v>
      </c>
      <c r="O65" s="65" t="s">
        <v>1357</v>
      </c>
    </row>
    <row r="66" spans="3:15">
      <c r="C66" t="s">
        <v>1333</v>
      </c>
    </row>
    <row r="67" spans="3:15">
      <c r="D67" t="s">
        <v>1321</v>
      </c>
      <c r="O67" t="s">
        <v>1362</v>
      </c>
    </row>
    <row r="68" spans="3:15">
      <c r="D68" t="s">
        <v>1322</v>
      </c>
      <c r="O68" t="s">
        <v>1363</v>
      </c>
    </row>
    <row r="69" spans="3:15">
      <c r="D69" t="s">
        <v>1323</v>
      </c>
      <c r="O69" t="s">
        <v>1364</v>
      </c>
    </row>
    <row r="70" spans="3:15">
      <c r="D70" t="s">
        <v>1324</v>
      </c>
      <c r="O70" t="s">
        <v>1365</v>
      </c>
    </row>
    <row r="71" spans="3:15" s="65" customFormat="1">
      <c r="D71" s="65" t="s">
        <v>1366</v>
      </c>
      <c r="E71" s="420">
        <f t="shared" ref="E71:N71" si="45">finQ1GAMigrationExp+finQ2GAMigrationExp+finQ3GAMigrationExp+finQ4GAMigrationExp</f>
        <v>0</v>
      </c>
      <c r="F71" s="420">
        <f t="shared" si="45"/>
        <v>0</v>
      </c>
      <c r="G71" s="420">
        <f t="shared" si="45"/>
        <v>0</v>
      </c>
      <c r="H71" s="420">
        <f t="shared" si="45"/>
        <v>0</v>
      </c>
      <c r="I71" s="420">
        <f t="shared" si="45"/>
        <v>0</v>
      </c>
      <c r="J71" s="420">
        <f t="shared" si="45"/>
        <v>0</v>
      </c>
      <c r="K71" s="420">
        <f t="shared" si="45"/>
        <v>0</v>
      </c>
      <c r="L71" s="420">
        <f t="shared" si="45"/>
        <v>0</v>
      </c>
      <c r="M71" s="420">
        <f t="shared" si="45"/>
        <v>0</v>
      </c>
      <c r="N71" s="420">
        <f t="shared" si="45"/>
        <v>0</v>
      </c>
      <c r="O71" s="65" t="s">
        <v>1367</v>
      </c>
    </row>
    <row r="72" spans="3:15" s="65" customFormat="1">
      <c r="C72" s="65" t="s">
        <v>1057</v>
      </c>
      <c r="E72" s="420"/>
      <c r="F72" s="420"/>
      <c r="G72" s="420"/>
      <c r="H72" s="420"/>
      <c r="I72" s="420"/>
      <c r="J72" s="420"/>
      <c r="K72" s="420"/>
      <c r="L72" s="420"/>
      <c r="M72" s="420"/>
      <c r="N72" s="420"/>
    </row>
    <row r="73" spans="3:15">
      <c r="D73" t="s">
        <v>1077</v>
      </c>
      <c r="E73" s="419">
        <f t="shared" ref="E73:N73" si="46">calcQ1TrustExp</f>
        <v>0</v>
      </c>
      <c r="F73" s="419">
        <f t="shared" si="46"/>
        <v>0</v>
      </c>
      <c r="G73" s="419">
        <f t="shared" si="46"/>
        <v>0</v>
      </c>
      <c r="H73" s="419">
        <f t="shared" si="46"/>
        <v>0</v>
      </c>
      <c r="I73" s="419">
        <f t="shared" si="46"/>
        <v>0</v>
      </c>
      <c r="J73" s="419">
        <f t="shared" si="46"/>
        <v>0</v>
      </c>
      <c r="K73" s="419">
        <f t="shared" si="46"/>
        <v>0</v>
      </c>
      <c r="L73" s="419">
        <f t="shared" si="46"/>
        <v>0</v>
      </c>
      <c r="M73" s="419">
        <f t="shared" si="46"/>
        <v>0</v>
      </c>
      <c r="N73" s="419">
        <f t="shared" si="46"/>
        <v>0</v>
      </c>
      <c r="O73" t="s">
        <v>1093</v>
      </c>
    </row>
    <row r="74" spans="3:15">
      <c r="D74" t="s">
        <v>1081</v>
      </c>
      <c r="E74" s="419">
        <f t="shared" ref="E74:N74" si="47">calcQ2TrustExp</f>
        <v>0</v>
      </c>
      <c r="F74" s="419">
        <f t="shared" si="47"/>
        <v>0</v>
      </c>
      <c r="G74" s="419">
        <f t="shared" si="47"/>
        <v>0</v>
      </c>
      <c r="H74" s="419">
        <f t="shared" si="47"/>
        <v>0</v>
      </c>
      <c r="I74" s="419">
        <f t="shared" si="47"/>
        <v>0</v>
      </c>
      <c r="J74" s="419">
        <f t="shared" si="47"/>
        <v>0</v>
      </c>
      <c r="K74" s="419">
        <f t="shared" si="47"/>
        <v>0</v>
      </c>
      <c r="L74" s="419">
        <f t="shared" si="47"/>
        <v>0</v>
      </c>
      <c r="M74" s="419">
        <f t="shared" si="47"/>
        <v>0</v>
      </c>
      <c r="N74" s="419">
        <f t="shared" si="47"/>
        <v>0</v>
      </c>
      <c r="O74" t="s">
        <v>1094</v>
      </c>
    </row>
    <row r="75" spans="3:15">
      <c r="D75" t="s">
        <v>1085</v>
      </c>
      <c r="E75" s="419">
        <f t="shared" ref="E75:N75" si="48">calcQ3TrustExp</f>
        <v>0</v>
      </c>
      <c r="F75" s="419">
        <f t="shared" si="48"/>
        <v>0</v>
      </c>
      <c r="G75" s="419">
        <f t="shared" si="48"/>
        <v>0</v>
      </c>
      <c r="H75" s="419">
        <f t="shared" si="48"/>
        <v>0</v>
      </c>
      <c r="I75" s="419">
        <f t="shared" si="48"/>
        <v>0</v>
      </c>
      <c r="J75" s="419">
        <f t="shared" si="48"/>
        <v>0</v>
      </c>
      <c r="K75" s="419">
        <f t="shared" si="48"/>
        <v>0</v>
      </c>
      <c r="L75" s="419">
        <f t="shared" si="48"/>
        <v>0</v>
      </c>
      <c r="M75" s="419">
        <f t="shared" si="48"/>
        <v>0</v>
      </c>
      <c r="N75" s="419">
        <f t="shared" si="48"/>
        <v>0</v>
      </c>
      <c r="O75" t="s">
        <v>1095</v>
      </c>
    </row>
    <row r="76" spans="3:15">
      <c r="D76" t="s">
        <v>1089</v>
      </c>
      <c r="E76" s="419">
        <f t="shared" ref="E76:N76" si="49">calcQ4TrustExp</f>
        <v>0</v>
      </c>
      <c r="F76" s="419">
        <f t="shared" si="49"/>
        <v>0</v>
      </c>
      <c r="G76" s="419">
        <f t="shared" si="49"/>
        <v>0</v>
      </c>
      <c r="H76" s="419">
        <f t="shared" si="49"/>
        <v>0</v>
      </c>
      <c r="I76" s="419">
        <f t="shared" si="49"/>
        <v>0</v>
      </c>
      <c r="J76" s="419">
        <f t="shared" si="49"/>
        <v>0</v>
      </c>
      <c r="K76" s="419">
        <f t="shared" si="49"/>
        <v>0</v>
      </c>
      <c r="L76" s="419">
        <f t="shared" si="49"/>
        <v>0</v>
      </c>
      <c r="M76" s="419">
        <f t="shared" si="49"/>
        <v>0</v>
      </c>
      <c r="N76" s="419">
        <f t="shared" si="49"/>
        <v>0</v>
      </c>
      <c r="O76" t="s">
        <v>1096</v>
      </c>
    </row>
    <row r="77" spans="3:15" s="65" customFormat="1">
      <c r="D77" s="65" t="s">
        <v>1097</v>
      </c>
      <c r="E77" s="420">
        <f t="shared" ref="E77:N77" si="50">finQ1TrustExp+finQ2TrustExp+finQ3TrustExp+finQ4TrustExp</f>
        <v>0</v>
      </c>
      <c r="F77" s="420">
        <f t="shared" si="50"/>
        <v>0</v>
      </c>
      <c r="G77" s="420">
        <f t="shared" si="50"/>
        <v>0</v>
      </c>
      <c r="H77" s="420">
        <f t="shared" si="50"/>
        <v>0</v>
      </c>
      <c r="I77" s="420">
        <f t="shared" si="50"/>
        <v>0</v>
      </c>
      <c r="J77" s="420">
        <f t="shared" si="50"/>
        <v>0</v>
      </c>
      <c r="K77" s="420">
        <f t="shared" si="50"/>
        <v>0</v>
      </c>
      <c r="L77" s="420">
        <f t="shared" si="50"/>
        <v>0</v>
      </c>
      <c r="M77" s="420">
        <f t="shared" si="50"/>
        <v>0</v>
      </c>
      <c r="N77" s="420">
        <f t="shared" si="50"/>
        <v>0</v>
      </c>
      <c r="O77" s="65" t="s">
        <v>1098</v>
      </c>
    </row>
    <row r="79" spans="3:15">
      <c r="C79" s="65" t="s">
        <v>2282</v>
      </c>
    </row>
    <row r="80" spans="3:15">
      <c r="D80" t="s">
        <v>899</v>
      </c>
      <c r="E80" s="419">
        <f t="shared" ref="E80:N80" si="51">calcQ1CSGExp</f>
        <v>0</v>
      </c>
      <c r="F80" s="419">
        <f t="shared" si="51"/>
        <v>0</v>
      </c>
      <c r="G80" s="419">
        <f t="shared" si="51"/>
        <v>0</v>
      </c>
      <c r="H80" s="419">
        <f t="shared" si="51"/>
        <v>0</v>
      </c>
      <c r="I80" s="419">
        <f t="shared" si="51"/>
        <v>0</v>
      </c>
      <c r="J80" s="419">
        <f t="shared" si="51"/>
        <v>0</v>
      </c>
      <c r="K80" s="419">
        <f t="shared" si="51"/>
        <v>0</v>
      </c>
      <c r="L80" s="419">
        <f t="shared" si="51"/>
        <v>0</v>
      </c>
      <c r="M80" s="419">
        <f t="shared" si="51"/>
        <v>0</v>
      </c>
      <c r="N80" s="419">
        <f t="shared" si="51"/>
        <v>0</v>
      </c>
      <c r="O80" t="s">
        <v>2296</v>
      </c>
    </row>
    <row r="81" spans="3:15">
      <c r="D81" t="s">
        <v>900</v>
      </c>
      <c r="E81" s="419">
        <f t="shared" ref="E81:N81" si="52">calcQ2CSGExp</f>
        <v>0</v>
      </c>
      <c r="F81" s="419">
        <f t="shared" si="52"/>
        <v>0</v>
      </c>
      <c r="G81" s="419">
        <f t="shared" si="52"/>
        <v>0</v>
      </c>
      <c r="H81" s="419">
        <f t="shared" si="52"/>
        <v>0</v>
      </c>
      <c r="I81" s="419">
        <f t="shared" si="52"/>
        <v>0</v>
      </c>
      <c r="J81" s="419">
        <f t="shared" si="52"/>
        <v>0</v>
      </c>
      <c r="K81" s="419">
        <f t="shared" si="52"/>
        <v>0</v>
      </c>
      <c r="L81" s="419">
        <f t="shared" si="52"/>
        <v>0</v>
      </c>
      <c r="M81" s="419">
        <f t="shared" si="52"/>
        <v>0</v>
      </c>
      <c r="N81" s="419">
        <f t="shared" si="52"/>
        <v>0</v>
      </c>
      <c r="O81" t="s">
        <v>2298</v>
      </c>
    </row>
    <row r="82" spans="3:15">
      <c r="D82" t="s">
        <v>901</v>
      </c>
      <c r="E82" s="419">
        <f t="shared" ref="E82:N82" si="53">calcQ3CSGExp</f>
        <v>0</v>
      </c>
      <c r="F82" s="419">
        <f t="shared" si="53"/>
        <v>0</v>
      </c>
      <c r="G82" s="419">
        <f t="shared" si="53"/>
        <v>0</v>
      </c>
      <c r="H82" s="419">
        <f t="shared" si="53"/>
        <v>0</v>
      </c>
      <c r="I82" s="419">
        <f t="shared" si="53"/>
        <v>0</v>
      </c>
      <c r="J82" s="419">
        <f t="shared" si="53"/>
        <v>0</v>
      </c>
      <c r="K82" s="419">
        <f t="shared" si="53"/>
        <v>0</v>
      </c>
      <c r="L82" s="419">
        <f t="shared" si="53"/>
        <v>0</v>
      </c>
      <c r="M82" s="419">
        <f t="shared" si="53"/>
        <v>0</v>
      </c>
      <c r="N82" s="419">
        <f t="shared" si="53"/>
        <v>0</v>
      </c>
      <c r="O82" t="s">
        <v>2299</v>
      </c>
    </row>
    <row r="83" spans="3:15">
      <c r="D83" t="s">
        <v>902</v>
      </c>
      <c r="E83" s="419">
        <f t="shared" ref="E83:N83" si="54">calcQ4CSGExp</f>
        <v>0</v>
      </c>
      <c r="F83" s="419">
        <f t="shared" si="54"/>
        <v>0</v>
      </c>
      <c r="G83" s="419">
        <f t="shared" si="54"/>
        <v>0</v>
      </c>
      <c r="H83" s="419">
        <f t="shared" si="54"/>
        <v>0</v>
      </c>
      <c r="I83" s="419">
        <f t="shared" si="54"/>
        <v>0</v>
      </c>
      <c r="J83" s="419">
        <f t="shared" si="54"/>
        <v>0</v>
      </c>
      <c r="K83" s="419">
        <f t="shared" si="54"/>
        <v>0</v>
      </c>
      <c r="L83" s="419">
        <f t="shared" si="54"/>
        <v>0</v>
      </c>
      <c r="M83" s="419">
        <f t="shared" si="54"/>
        <v>0</v>
      </c>
      <c r="N83" s="419">
        <f t="shared" si="54"/>
        <v>0</v>
      </c>
      <c r="O83" t="s">
        <v>2300</v>
      </c>
    </row>
    <row r="84" spans="3:15">
      <c r="D84" t="s">
        <v>2297</v>
      </c>
      <c r="E84" s="420">
        <f t="shared" ref="E84:N84" si="55">finQ1CSGExp+finQ2CSGExp+finQ3CSGExp+finQ4CSGExp</f>
        <v>0</v>
      </c>
      <c r="F84" s="420">
        <f t="shared" si="55"/>
        <v>0</v>
      </c>
      <c r="G84" s="420">
        <f t="shared" si="55"/>
        <v>0</v>
      </c>
      <c r="H84" s="420">
        <f t="shared" si="55"/>
        <v>0</v>
      </c>
      <c r="I84" s="420">
        <f t="shared" si="55"/>
        <v>0</v>
      </c>
      <c r="J84" s="420">
        <f t="shared" si="55"/>
        <v>0</v>
      </c>
      <c r="K84" s="420">
        <f t="shared" si="55"/>
        <v>0</v>
      </c>
      <c r="L84" s="420">
        <f t="shared" si="55"/>
        <v>0</v>
      </c>
      <c r="M84" s="420">
        <f t="shared" si="55"/>
        <v>0</v>
      </c>
      <c r="N84" s="420">
        <f t="shared" si="55"/>
        <v>0</v>
      </c>
      <c r="O84" t="s">
        <v>2301</v>
      </c>
    </row>
    <row r="86" spans="3:15">
      <c r="C86" s="65" t="s">
        <v>3079</v>
      </c>
    </row>
    <row r="87" spans="3:15">
      <c r="D87" t="s">
        <v>899</v>
      </c>
      <c r="E87" s="419">
        <f t="shared" ref="E87:N87" si="56">calcQ1BrandIntExp</f>
        <v>0</v>
      </c>
      <c r="F87" s="419">
        <f t="shared" si="56"/>
        <v>0</v>
      </c>
      <c r="G87" s="419">
        <f t="shared" si="56"/>
        <v>0</v>
      </c>
      <c r="H87" s="419">
        <f t="shared" si="56"/>
        <v>0</v>
      </c>
      <c r="I87" s="419">
        <f t="shared" si="56"/>
        <v>0</v>
      </c>
      <c r="J87" s="419">
        <f t="shared" si="56"/>
        <v>0</v>
      </c>
      <c r="K87" s="419">
        <f t="shared" si="56"/>
        <v>0</v>
      </c>
      <c r="L87" s="419">
        <f t="shared" si="56"/>
        <v>0</v>
      </c>
      <c r="M87" s="419">
        <f t="shared" si="56"/>
        <v>0</v>
      </c>
      <c r="N87" s="419">
        <f t="shared" si="56"/>
        <v>0</v>
      </c>
      <c r="O87" t="s">
        <v>3100</v>
      </c>
    </row>
    <row r="88" spans="3:15">
      <c r="D88" t="s">
        <v>900</v>
      </c>
      <c r="E88" s="419">
        <f t="shared" ref="E88:N88" si="57">calcQ2BrandIntExp</f>
        <v>0</v>
      </c>
      <c r="F88" s="419">
        <f t="shared" si="57"/>
        <v>0</v>
      </c>
      <c r="G88" s="419">
        <f t="shared" si="57"/>
        <v>0</v>
      </c>
      <c r="H88" s="419">
        <f t="shared" si="57"/>
        <v>0</v>
      </c>
      <c r="I88" s="419">
        <f t="shared" si="57"/>
        <v>0</v>
      </c>
      <c r="J88" s="419">
        <f t="shared" si="57"/>
        <v>0</v>
      </c>
      <c r="K88" s="419">
        <f t="shared" si="57"/>
        <v>0</v>
      </c>
      <c r="L88" s="419">
        <f t="shared" si="57"/>
        <v>0</v>
      </c>
      <c r="M88" s="419">
        <f t="shared" si="57"/>
        <v>0</v>
      </c>
      <c r="N88" s="419">
        <f t="shared" si="57"/>
        <v>0</v>
      </c>
      <c r="O88" t="s">
        <v>3101</v>
      </c>
    </row>
    <row r="89" spans="3:15">
      <c r="D89" t="s">
        <v>901</v>
      </c>
      <c r="E89" s="419">
        <f t="shared" ref="E89:N89" si="58">calcQ3BrandIntExp</f>
        <v>0</v>
      </c>
      <c r="F89" s="419">
        <f t="shared" si="58"/>
        <v>0</v>
      </c>
      <c r="G89" s="419">
        <f t="shared" si="58"/>
        <v>0</v>
      </c>
      <c r="H89" s="419">
        <f t="shared" si="58"/>
        <v>0</v>
      </c>
      <c r="I89" s="419">
        <f t="shared" si="58"/>
        <v>0</v>
      </c>
      <c r="J89" s="419">
        <f t="shared" si="58"/>
        <v>0</v>
      </c>
      <c r="K89" s="419">
        <f t="shared" si="58"/>
        <v>0</v>
      </c>
      <c r="L89" s="419">
        <f t="shared" si="58"/>
        <v>0</v>
      </c>
      <c r="M89" s="419">
        <f t="shared" si="58"/>
        <v>0</v>
      </c>
      <c r="N89" s="419">
        <f t="shared" si="58"/>
        <v>0</v>
      </c>
      <c r="O89" t="s">
        <v>3102</v>
      </c>
    </row>
    <row r="90" spans="3:15">
      <c r="D90" t="s">
        <v>902</v>
      </c>
      <c r="E90" s="419">
        <f t="shared" ref="E90:N90" si="59">calcQ4BrandIntExp</f>
        <v>0</v>
      </c>
      <c r="F90" s="419">
        <f t="shared" si="59"/>
        <v>0</v>
      </c>
      <c r="G90" s="419">
        <f t="shared" si="59"/>
        <v>0</v>
      </c>
      <c r="H90" s="419">
        <f t="shared" si="59"/>
        <v>0</v>
      </c>
      <c r="I90" s="419">
        <f t="shared" si="59"/>
        <v>0</v>
      </c>
      <c r="J90" s="419">
        <f t="shared" si="59"/>
        <v>0</v>
      </c>
      <c r="K90" s="419">
        <f t="shared" si="59"/>
        <v>0</v>
      </c>
      <c r="L90" s="419">
        <f t="shared" si="59"/>
        <v>0</v>
      </c>
      <c r="M90" s="419">
        <f t="shared" si="59"/>
        <v>0</v>
      </c>
      <c r="N90" s="419">
        <f t="shared" si="59"/>
        <v>0</v>
      </c>
      <c r="O90" t="s">
        <v>3103</v>
      </c>
    </row>
    <row r="91" spans="3:15">
      <c r="D91" t="s">
        <v>2297</v>
      </c>
      <c r="E91" s="420">
        <f t="shared" ref="E91:N91" si="60">finQ1BrandIntExp+finQ2BrandIntExp+finQ3BrandIntExp+finQ4BrandIntExp</f>
        <v>0</v>
      </c>
      <c r="F91" s="420">
        <f t="shared" si="60"/>
        <v>0</v>
      </c>
      <c r="G91" s="420">
        <f t="shared" si="60"/>
        <v>0</v>
      </c>
      <c r="H91" s="420">
        <f t="shared" si="60"/>
        <v>0</v>
      </c>
      <c r="I91" s="420">
        <f t="shared" si="60"/>
        <v>0</v>
      </c>
      <c r="J91" s="420">
        <f t="shared" si="60"/>
        <v>0</v>
      </c>
      <c r="K91" s="420">
        <f t="shared" si="60"/>
        <v>0</v>
      </c>
      <c r="L91" s="420">
        <f t="shared" si="60"/>
        <v>0</v>
      </c>
      <c r="M91" s="420">
        <f t="shared" si="60"/>
        <v>0</v>
      </c>
      <c r="N91" s="420">
        <f t="shared" si="60"/>
        <v>0</v>
      </c>
      <c r="O91" t="s">
        <v>3104</v>
      </c>
    </row>
    <row r="93" spans="3:15">
      <c r="C93" s="65" t="s">
        <v>2391</v>
      </c>
    </row>
    <row r="94" spans="3:15">
      <c r="D94" t="s">
        <v>899</v>
      </c>
      <c r="E94" s="419">
        <f t="shared" ref="E94:N94" si="61">calcQ1LeadPassExp</f>
        <v>0</v>
      </c>
      <c r="F94" s="419">
        <f t="shared" si="61"/>
        <v>0</v>
      </c>
      <c r="G94" s="419">
        <f t="shared" si="61"/>
        <v>0</v>
      </c>
      <c r="H94" s="419">
        <f t="shared" si="61"/>
        <v>0</v>
      </c>
      <c r="I94" s="419">
        <f t="shared" si="61"/>
        <v>0</v>
      </c>
      <c r="J94" s="419">
        <f t="shared" si="61"/>
        <v>0</v>
      </c>
      <c r="K94" s="419">
        <f t="shared" si="61"/>
        <v>0</v>
      </c>
      <c r="L94" s="419">
        <f t="shared" si="61"/>
        <v>0</v>
      </c>
      <c r="M94" s="419">
        <f t="shared" si="61"/>
        <v>0</v>
      </c>
      <c r="N94" s="419">
        <f t="shared" si="61"/>
        <v>0</v>
      </c>
      <c r="O94" t="s">
        <v>2392</v>
      </c>
    </row>
    <row r="95" spans="3:15">
      <c r="D95" t="s">
        <v>900</v>
      </c>
      <c r="E95" s="419">
        <f t="shared" ref="E95:N95" si="62">calcQ2LeadPassExp</f>
        <v>0</v>
      </c>
      <c r="F95" s="419">
        <f t="shared" si="62"/>
        <v>0</v>
      </c>
      <c r="G95" s="419">
        <f t="shared" si="62"/>
        <v>0</v>
      </c>
      <c r="H95" s="419">
        <f t="shared" si="62"/>
        <v>0</v>
      </c>
      <c r="I95" s="419">
        <f t="shared" si="62"/>
        <v>0</v>
      </c>
      <c r="J95" s="419">
        <f t="shared" si="62"/>
        <v>0</v>
      </c>
      <c r="K95" s="419">
        <f t="shared" si="62"/>
        <v>0</v>
      </c>
      <c r="L95" s="419">
        <f t="shared" si="62"/>
        <v>0</v>
      </c>
      <c r="M95" s="419">
        <f t="shared" si="62"/>
        <v>0</v>
      </c>
      <c r="N95" s="419">
        <f t="shared" si="62"/>
        <v>0</v>
      </c>
      <c r="O95" t="s">
        <v>2393</v>
      </c>
    </row>
    <row r="96" spans="3:15">
      <c r="D96" t="s">
        <v>901</v>
      </c>
      <c r="E96" s="419">
        <f t="shared" ref="E96:N96" si="63">calcQ3LeadPassExp</f>
        <v>0</v>
      </c>
      <c r="F96" s="419">
        <f t="shared" si="63"/>
        <v>0</v>
      </c>
      <c r="G96" s="419">
        <f t="shared" si="63"/>
        <v>0</v>
      </c>
      <c r="H96" s="419">
        <f t="shared" si="63"/>
        <v>0</v>
      </c>
      <c r="I96" s="419">
        <f t="shared" si="63"/>
        <v>0</v>
      </c>
      <c r="J96" s="419">
        <f t="shared" si="63"/>
        <v>0</v>
      </c>
      <c r="K96" s="419">
        <f t="shared" si="63"/>
        <v>0</v>
      </c>
      <c r="L96" s="419">
        <f t="shared" si="63"/>
        <v>0</v>
      </c>
      <c r="M96" s="419">
        <f t="shared" si="63"/>
        <v>0</v>
      </c>
      <c r="N96" s="419">
        <f t="shared" si="63"/>
        <v>0</v>
      </c>
      <c r="O96" t="s">
        <v>2394</v>
      </c>
    </row>
    <row r="97" spans="3:15">
      <c r="D97" t="s">
        <v>902</v>
      </c>
      <c r="E97" s="419">
        <f t="shared" ref="E97:N97" si="64">calcQ4LeadPassExp</f>
        <v>0</v>
      </c>
      <c r="F97" s="419">
        <f t="shared" si="64"/>
        <v>0</v>
      </c>
      <c r="G97" s="419">
        <f t="shared" si="64"/>
        <v>0</v>
      </c>
      <c r="H97" s="419">
        <f t="shared" si="64"/>
        <v>0</v>
      </c>
      <c r="I97" s="419">
        <f t="shared" si="64"/>
        <v>0</v>
      </c>
      <c r="J97" s="419">
        <f t="shared" si="64"/>
        <v>0</v>
      </c>
      <c r="K97" s="419">
        <f t="shared" si="64"/>
        <v>0</v>
      </c>
      <c r="L97" s="419">
        <f t="shared" si="64"/>
        <v>0</v>
      </c>
      <c r="M97" s="419">
        <f t="shared" si="64"/>
        <v>0</v>
      </c>
      <c r="N97" s="419">
        <f t="shared" si="64"/>
        <v>0</v>
      </c>
      <c r="O97" t="s">
        <v>2395</v>
      </c>
    </row>
    <row r="98" spans="3:15">
      <c r="D98" t="s">
        <v>2297</v>
      </c>
      <c r="E98" s="420">
        <f t="shared" ref="E98:N98" si="65">finQ1LeadPassExp+finQ2LeadPassExp+finQ3LeadPassExp+finQ4LeadPassExp</f>
        <v>0</v>
      </c>
      <c r="F98" s="420">
        <f t="shared" si="65"/>
        <v>0</v>
      </c>
      <c r="G98" s="420">
        <f t="shared" si="65"/>
        <v>0</v>
      </c>
      <c r="H98" s="420">
        <f t="shared" si="65"/>
        <v>0</v>
      </c>
      <c r="I98" s="420">
        <f t="shared" si="65"/>
        <v>0</v>
      </c>
      <c r="J98" s="420">
        <f t="shared" si="65"/>
        <v>0</v>
      </c>
      <c r="K98" s="420">
        <f t="shared" si="65"/>
        <v>0</v>
      </c>
      <c r="L98" s="420">
        <f t="shared" si="65"/>
        <v>0</v>
      </c>
      <c r="M98" s="420">
        <f t="shared" si="65"/>
        <v>0</v>
      </c>
      <c r="N98" s="420">
        <f t="shared" si="65"/>
        <v>0</v>
      </c>
      <c r="O98" t="s">
        <v>2396</v>
      </c>
    </row>
    <row r="99" spans="3:15">
      <c r="C99" t="s">
        <v>1099</v>
      </c>
    </row>
    <row r="100" spans="3:15" s="65" customFormat="1">
      <c r="C100" s="65" t="s">
        <v>1139</v>
      </c>
      <c r="E100" s="420"/>
      <c r="F100" s="420"/>
      <c r="G100" s="420"/>
      <c r="H100" s="420"/>
      <c r="I100" s="420"/>
      <c r="J100" s="420"/>
      <c r="K100" s="420"/>
      <c r="L100" s="420"/>
      <c r="M100" s="420"/>
      <c r="N100" s="420"/>
    </row>
    <row r="101" spans="3:15">
      <c r="D101" t="s">
        <v>1123</v>
      </c>
      <c r="E101" s="419">
        <f t="shared" ref="E101:N101" si="66">calcQ1Org62Exp</f>
        <v>0</v>
      </c>
      <c r="F101" s="419">
        <f t="shared" si="66"/>
        <v>0</v>
      </c>
      <c r="G101" s="419">
        <f t="shared" si="66"/>
        <v>0</v>
      </c>
      <c r="H101" s="419">
        <f t="shared" si="66"/>
        <v>0</v>
      </c>
      <c r="I101" s="419">
        <f t="shared" si="66"/>
        <v>0</v>
      </c>
      <c r="J101" s="419">
        <f t="shared" si="66"/>
        <v>0</v>
      </c>
      <c r="K101" s="419">
        <f t="shared" si="66"/>
        <v>0</v>
      </c>
      <c r="L101" s="419">
        <f t="shared" si="66"/>
        <v>0</v>
      </c>
      <c r="M101" s="419">
        <f t="shared" si="66"/>
        <v>0</v>
      </c>
      <c r="N101" s="419">
        <f t="shared" si="66"/>
        <v>0</v>
      </c>
      <c r="O101" t="s">
        <v>1140</v>
      </c>
    </row>
    <row r="102" spans="3:15">
      <c r="D102" t="s">
        <v>1127</v>
      </c>
      <c r="E102" s="419">
        <f t="shared" ref="E102:N102" si="67">calcQ2Org62Exp</f>
        <v>0</v>
      </c>
      <c r="F102" s="419">
        <f t="shared" si="67"/>
        <v>0</v>
      </c>
      <c r="G102" s="419">
        <f t="shared" si="67"/>
        <v>0</v>
      </c>
      <c r="H102" s="419">
        <f t="shared" si="67"/>
        <v>0</v>
      </c>
      <c r="I102" s="419">
        <f t="shared" si="67"/>
        <v>0</v>
      </c>
      <c r="J102" s="419">
        <f t="shared" si="67"/>
        <v>0</v>
      </c>
      <c r="K102" s="419">
        <f t="shared" si="67"/>
        <v>0</v>
      </c>
      <c r="L102" s="419">
        <f t="shared" si="67"/>
        <v>0</v>
      </c>
      <c r="M102" s="419">
        <f t="shared" si="67"/>
        <v>0</v>
      </c>
      <c r="N102" s="419">
        <f t="shared" si="67"/>
        <v>0</v>
      </c>
      <c r="O102" t="s">
        <v>1141</v>
      </c>
    </row>
    <row r="103" spans="3:15">
      <c r="D103" t="s">
        <v>1131</v>
      </c>
      <c r="E103" s="419">
        <f t="shared" ref="E103:N103" si="68">calcQ3Org62Exp</f>
        <v>0</v>
      </c>
      <c r="F103" s="419">
        <f t="shared" si="68"/>
        <v>0</v>
      </c>
      <c r="G103" s="419">
        <f t="shared" si="68"/>
        <v>0</v>
      </c>
      <c r="H103" s="419">
        <f t="shared" si="68"/>
        <v>0</v>
      </c>
      <c r="I103" s="419">
        <f t="shared" si="68"/>
        <v>0</v>
      </c>
      <c r="J103" s="419">
        <f t="shared" si="68"/>
        <v>0</v>
      </c>
      <c r="K103" s="419">
        <f t="shared" si="68"/>
        <v>0</v>
      </c>
      <c r="L103" s="419">
        <f t="shared" si="68"/>
        <v>0</v>
      </c>
      <c r="M103" s="419">
        <f t="shared" si="68"/>
        <v>0</v>
      </c>
      <c r="N103" s="419">
        <f t="shared" si="68"/>
        <v>0</v>
      </c>
      <c r="O103" t="s">
        <v>1142</v>
      </c>
    </row>
    <row r="104" spans="3:15">
      <c r="D104" t="s">
        <v>1135</v>
      </c>
      <c r="E104" s="419">
        <f t="shared" ref="E104:N104" si="69">calcQ4Org62Exp</f>
        <v>0</v>
      </c>
      <c r="F104" s="419">
        <f t="shared" si="69"/>
        <v>0</v>
      </c>
      <c r="G104" s="419">
        <f t="shared" si="69"/>
        <v>0</v>
      </c>
      <c r="H104" s="419">
        <f t="shared" si="69"/>
        <v>0</v>
      </c>
      <c r="I104" s="419">
        <f t="shared" si="69"/>
        <v>0</v>
      </c>
      <c r="J104" s="419">
        <f t="shared" si="69"/>
        <v>0</v>
      </c>
      <c r="K104" s="419">
        <f t="shared" si="69"/>
        <v>0</v>
      </c>
      <c r="L104" s="419">
        <f t="shared" si="69"/>
        <v>0</v>
      </c>
      <c r="M104" s="419">
        <f t="shared" si="69"/>
        <v>0</v>
      </c>
      <c r="N104" s="419">
        <f t="shared" si="69"/>
        <v>0</v>
      </c>
      <c r="O104" t="s">
        <v>1143</v>
      </c>
    </row>
    <row r="105" spans="3:15" s="65" customFormat="1">
      <c r="D105" s="65" t="s">
        <v>1144</v>
      </c>
      <c r="E105" s="420">
        <f t="shared" ref="E105:N105" si="70">finQ1Org62Exp+finQ2Org62Exp+finQ3Org62Exp+finQ4Org62Exp</f>
        <v>0</v>
      </c>
      <c r="F105" s="420">
        <f t="shared" si="70"/>
        <v>0</v>
      </c>
      <c r="G105" s="420">
        <f t="shared" si="70"/>
        <v>0</v>
      </c>
      <c r="H105" s="420">
        <f t="shared" si="70"/>
        <v>0</v>
      </c>
      <c r="I105" s="420">
        <f t="shared" si="70"/>
        <v>0</v>
      </c>
      <c r="J105" s="420">
        <f t="shared" si="70"/>
        <v>0</v>
      </c>
      <c r="K105" s="420">
        <f t="shared" si="70"/>
        <v>0</v>
      </c>
      <c r="L105" s="420">
        <f t="shared" si="70"/>
        <v>0</v>
      </c>
      <c r="M105" s="420">
        <f t="shared" si="70"/>
        <v>0</v>
      </c>
      <c r="N105" s="420">
        <f t="shared" si="70"/>
        <v>0</v>
      </c>
      <c r="O105" s="65" t="s">
        <v>1145</v>
      </c>
    </row>
    <row r="106" spans="3:15" s="65" customFormat="1">
      <c r="C106" s="65" t="s">
        <v>507</v>
      </c>
      <c r="E106" s="420"/>
      <c r="F106" s="420"/>
      <c r="G106" s="420"/>
      <c r="H106" s="420"/>
      <c r="I106" s="420"/>
      <c r="J106" s="420"/>
      <c r="K106" s="420"/>
      <c r="L106" s="420"/>
      <c r="M106" s="420"/>
      <c r="N106" s="420"/>
    </row>
    <row r="107" spans="3:15">
      <c r="D107" t="s">
        <v>1160</v>
      </c>
      <c r="E107" s="419">
        <f t="shared" ref="E107:N107" si="71">calcQ1StackExp</f>
        <v>0</v>
      </c>
      <c r="F107" s="419">
        <f t="shared" si="71"/>
        <v>0</v>
      </c>
      <c r="G107" s="419">
        <f t="shared" si="71"/>
        <v>0</v>
      </c>
      <c r="H107" s="419">
        <f t="shared" si="71"/>
        <v>0</v>
      </c>
      <c r="I107" s="419">
        <f t="shared" si="71"/>
        <v>0</v>
      </c>
      <c r="J107" s="419">
        <f t="shared" si="71"/>
        <v>0</v>
      </c>
      <c r="K107" s="419">
        <f t="shared" si="71"/>
        <v>0</v>
      </c>
      <c r="L107" s="419">
        <f t="shared" si="71"/>
        <v>0</v>
      </c>
      <c r="M107" s="419">
        <f t="shared" si="71"/>
        <v>0</v>
      </c>
      <c r="N107" s="419">
        <f t="shared" si="71"/>
        <v>0</v>
      </c>
      <c r="O107" t="s">
        <v>1177</v>
      </c>
    </row>
    <row r="108" spans="3:15">
      <c r="D108" t="s">
        <v>1164</v>
      </c>
      <c r="E108" s="419">
        <f t="shared" ref="E108:N108" si="72">calcQ2StackExp</f>
        <v>0</v>
      </c>
      <c r="F108" s="419">
        <f t="shared" si="72"/>
        <v>0</v>
      </c>
      <c r="G108" s="419">
        <f t="shared" si="72"/>
        <v>0</v>
      </c>
      <c r="H108" s="419">
        <f t="shared" si="72"/>
        <v>0</v>
      </c>
      <c r="I108" s="419">
        <f t="shared" si="72"/>
        <v>0</v>
      </c>
      <c r="J108" s="419">
        <f t="shared" si="72"/>
        <v>0</v>
      </c>
      <c r="K108" s="419">
        <f t="shared" si="72"/>
        <v>0</v>
      </c>
      <c r="L108" s="419">
        <f t="shared" si="72"/>
        <v>0</v>
      </c>
      <c r="M108" s="419">
        <f t="shared" si="72"/>
        <v>0</v>
      </c>
      <c r="N108" s="419">
        <f t="shared" si="72"/>
        <v>0</v>
      </c>
      <c r="O108" t="s">
        <v>1178</v>
      </c>
    </row>
    <row r="109" spans="3:15">
      <c r="D109" t="s">
        <v>1168</v>
      </c>
      <c r="E109" s="419">
        <f t="shared" ref="E109:N109" si="73">calcQ3StackExp</f>
        <v>0</v>
      </c>
      <c r="F109" s="419">
        <f t="shared" si="73"/>
        <v>0</v>
      </c>
      <c r="G109" s="419">
        <f t="shared" si="73"/>
        <v>0</v>
      </c>
      <c r="H109" s="419">
        <f t="shared" si="73"/>
        <v>0</v>
      </c>
      <c r="I109" s="419">
        <f t="shared" si="73"/>
        <v>0</v>
      </c>
      <c r="J109" s="419">
        <f t="shared" si="73"/>
        <v>0</v>
      </c>
      <c r="K109" s="419">
        <f t="shared" si="73"/>
        <v>0</v>
      </c>
      <c r="L109" s="419">
        <f t="shared" si="73"/>
        <v>0</v>
      </c>
      <c r="M109" s="419">
        <f t="shared" si="73"/>
        <v>0</v>
      </c>
      <c r="N109" s="419">
        <f t="shared" si="73"/>
        <v>0</v>
      </c>
      <c r="O109" t="s">
        <v>1179</v>
      </c>
    </row>
    <row r="110" spans="3:15">
      <c r="D110" t="s">
        <v>1172</v>
      </c>
      <c r="E110" s="419">
        <f t="shared" ref="E110:N110" si="74">calcQ4StackExp</f>
        <v>0</v>
      </c>
      <c r="F110" s="419">
        <f t="shared" si="74"/>
        <v>0</v>
      </c>
      <c r="G110" s="419">
        <f t="shared" si="74"/>
        <v>0</v>
      </c>
      <c r="H110" s="419">
        <f t="shared" si="74"/>
        <v>0</v>
      </c>
      <c r="I110" s="419">
        <f t="shared" si="74"/>
        <v>0</v>
      </c>
      <c r="J110" s="419">
        <f t="shared" si="74"/>
        <v>0</v>
      </c>
      <c r="K110" s="419">
        <f t="shared" si="74"/>
        <v>0</v>
      </c>
      <c r="L110" s="419">
        <f t="shared" si="74"/>
        <v>0</v>
      </c>
      <c r="M110" s="419">
        <f t="shared" si="74"/>
        <v>0</v>
      </c>
      <c r="N110" s="419">
        <f t="shared" si="74"/>
        <v>0</v>
      </c>
      <c r="O110" t="s">
        <v>1180</v>
      </c>
    </row>
    <row r="111" spans="3:15" s="65" customFormat="1">
      <c r="D111" s="65" t="s">
        <v>1181</v>
      </c>
      <c r="E111" s="420">
        <f t="shared" ref="E111:N111" si="75">finQ1StackExp+finQ2StackExp+finQ3StackExp+finQ4StackExp</f>
        <v>0</v>
      </c>
      <c r="F111" s="420">
        <f t="shared" si="75"/>
        <v>0</v>
      </c>
      <c r="G111" s="420">
        <f t="shared" si="75"/>
        <v>0</v>
      </c>
      <c r="H111" s="420">
        <f t="shared" si="75"/>
        <v>0</v>
      </c>
      <c r="I111" s="420">
        <f t="shared" si="75"/>
        <v>0</v>
      </c>
      <c r="J111" s="420">
        <f t="shared" si="75"/>
        <v>0</v>
      </c>
      <c r="K111" s="420">
        <f t="shared" si="75"/>
        <v>0</v>
      </c>
      <c r="L111" s="420">
        <f t="shared" si="75"/>
        <v>0</v>
      </c>
      <c r="M111" s="420">
        <f t="shared" si="75"/>
        <v>0</v>
      </c>
      <c r="N111" s="420">
        <f t="shared" si="75"/>
        <v>0</v>
      </c>
      <c r="O111" s="65" t="s">
        <v>1182</v>
      </c>
    </row>
    <row r="112" spans="3:15" s="65" customFormat="1">
      <c r="C112" s="65" t="s">
        <v>494</v>
      </c>
      <c r="E112" s="420"/>
      <c r="F112" s="420"/>
      <c r="G112" s="420"/>
      <c r="H112" s="420"/>
      <c r="I112" s="420"/>
      <c r="J112" s="420"/>
      <c r="K112" s="420"/>
      <c r="L112" s="420"/>
      <c r="M112" s="420"/>
      <c r="N112" s="420"/>
    </row>
    <row r="113" spans="3:15">
      <c r="D113" t="s">
        <v>1328</v>
      </c>
      <c r="O113" t="s">
        <v>1368</v>
      </c>
    </row>
    <row r="114" spans="3:15">
      <c r="D114" t="s">
        <v>1329</v>
      </c>
      <c r="O114" t="s">
        <v>1369</v>
      </c>
    </row>
    <row r="115" spans="3:15">
      <c r="D115" t="s">
        <v>1330</v>
      </c>
      <c r="O115" t="s">
        <v>1370</v>
      </c>
    </row>
    <row r="116" spans="3:15">
      <c r="D116" t="s">
        <v>1331</v>
      </c>
      <c r="O116" t="s">
        <v>1371</v>
      </c>
    </row>
    <row r="117" spans="3:15" s="65" customFormat="1">
      <c r="D117" s="65" t="s">
        <v>1372</v>
      </c>
      <c r="E117" s="420"/>
      <c r="F117" s="420"/>
      <c r="G117" s="420"/>
      <c r="H117" s="420"/>
      <c r="I117" s="420"/>
      <c r="J117" s="420"/>
      <c r="K117" s="420"/>
      <c r="L117" s="420"/>
      <c r="M117" s="420"/>
      <c r="N117" s="420"/>
      <c r="O117" s="65" t="s">
        <v>1373</v>
      </c>
    </row>
    <row r="118" spans="3:15" s="65" customFormat="1">
      <c r="C118" s="65" t="s">
        <v>494</v>
      </c>
      <c r="E118" s="420"/>
      <c r="F118" s="420"/>
      <c r="G118" s="420"/>
      <c r="H118" s="420"/>
      <c r="I118" s="420"/>
      <c r="J118" s="420"/>
      <c r="K118" s="420"/>
      <c r="L118" s="420"/>
      <c r="M118" s="420"/>
      <c r="N118" s="420"/>
    </row>
    <row r="119" spans="3:15">
      <c r="D119" t="s">
        <v>1673</v>
      </c>
      <c r="E119" s="419">
        <f t="shared" ref="E119:N119" si="76">calcQ1ExternalSalesExp</f>
        <v>0</v>
      </c>
      <c r="F119" s="419">
        <f t="shared" si="76"/>
        <v>0</v>
      </c>
      <c r="G119" s="419">
        <f t="shared" si="76"/>
        <v>0</v>
      </c>
      <c r="H119" s="419">
        <f t="shared" si="76"/>
        <v>0</v>
      </c>
      <c r="I119" s="419">
        <f t="shared" si="76"/>
        <v>0</v>
      </c>
      <c r="J119" s="419">
        <f t="shared" si="76"/>
        <v>0</v>
      </c>
      <c r="K119" s="419">
        <f t="shared" si="76"/>
        <v>0</v>
      </c>
      <c r="L119" s="419">
        <f t="shared" si="76"/>
        <v>0</v>
      </c>
      <c r="M119" s="419">
        <f t="shared" si="76"/>
        <v>0</v>
      </c>
      <c r="N119" s="419">
        <f t="shared" si="76"/>
        <v>0</v>
      </c>
      <c r="O119" t="s">
        <v>1706</v>
      </c>
    </row>
    <row r="120" spans="3:15">
      <c r="D120" t="s">
        <v>1677</v>
      </c>
      <c r="E120" s="419">
        <f t="shared" ref="E120:N120" si="77">calcQ2ExternalSalesExp</f>
        <v>0</v>
      </c>
      <c r="F120" s="419">
        <f t="shared" si="77"/>
        <v>0</v>
      </c>
      <c r="G120" s="419">
        <f t="shared" si="77"/>
        <v>0</v>
      </c>
      <c r="H120" s="419">
        <f t="shared" si="77"/>
        <v>0</v>
      </c>
      <c r="I120" s="419">
        <f t="shared" si="77"/>
        <v>0</v>
      </c>
      <c r="J120" s="419">
        <f t="shared" si="77"/>
        <v>0</v>
      </c>
      <c r="K120" s="419">
        <f t="shared" si="77"/>
        <v>0</v>
      </c>
      <c r="L120" s="419">
        <f t="shared" si="77"/>
        <v>0</v>
      </c>
      <c r="M120" s="419">
        <f t="shared" si="77"/>
        <v>0</v>
      </c>
      <c r="N120" s="419">
        <f t="shared" si="77"/>
        <v>0</v>
      </c>
      <c r="O120" t="s">
        <v>1707</v>
      </c>
    </row>
    <row r="121" spans="3:15">
      <c r="D121" t="s">
        <v>1681</v>
      </c>
      <c r="E121" s="419">
        <f t="shared" ref="E121:N121" si="78">calcQ3ExternalSalesExp</f>
        <v>0</v>
      </c>
      <c r="F121" s="419">
        <f t="shared" si="78"/>
        <v>0</v>
      </c>
      <c r="G121" s="419">
        <f t="shared" si="78"/>
        <v>0</v>
      </c>
      <c r="H121" s="419">
        <f t="shared" si="78"/>
        <v>0</v>
      </c>
      <c r="I121" s="419">
        <f t="shared" si="78"/>
        <v>0</v>
      </c>
      <c r="J121" s="419">
        <f t="shared" si="78"/>
        <v>0</v>
      </c>
      <c r="K121" s="419">
        <f t="shared" si="78"/>
        <v>0</v>
      </c>
      <c r="L121" s="419">
        <f t="shared" si="78"/>
        <v>0</v>
      </c>
      <c r="M121" s="419">
        <f t="shared" si="78"/>
        <v>0</v>
      </c>
      <c r="N121" s="419">
        <f t="shared" si="78"/>
        <v>0</v>
      </c>
      <c r="O121" t="s">
        <v>1708</v>
      </c>
    </row>
    <row r="122" spans="3:15">
      <c r="D122" t="s">
        <v>1685</v>
      </c>
      <c r="E122" s="419">
        <f t="shared" ref="E122:N122" si="79">calcQ4ExternalSalesExp</f>
        <v>0</v>
      </c>
      <c r="F122" s="419">
        <f t="shared" si="79"/>
        <v>0</v>
      </c>
      <c r="G122" s="419">
        <f t="shared" si="79"/>
        <v>0</v>
      </c>
      <c r="H122" s="419">
        <f t="shared" si="79"/>
        <v>0</v>
      </c>
      <c r="I122" s="419">
        <f t="shared" si="79"/>
        <v>0</v>
      </c>
      <c r="J122" s="419">
        <f t="shared" si="79"/>
        <v>0</v>
      </c>
      <c r="K122" s="419">
        <f t="shared" si="79"/>
        <v>0</v>
      </c>
      <c r="L122" s="419">
        <f t="shared" si="79"/>
        <v>0</v>
      </c>
      <c r="M122" s="419">
        <f t="shared" si="79"/>
        <v>0</v>
      </c>
      <c r="N122" s="419">
        <f t="shared" si="79"/>
        <v>0</v>
      </c>
      <c r="O122" t="s">
        <v>1709</v>
      </c>
    </row>
    <row r="123" spans="3:15" s="65" customFormat="1">
      <c r="D123" s="65" t="s">
        <v>1710</v>
      </c>
      <c r="E123" s="420">
        <f t="shared" ref="E123:N123" si="80">finQ1ExternalSalesExp+finQ2ExternalSalesExp+finQ3ExternalSalesExp+finQ4ExternalSalesExp</f>
        <v>0</v>
      </c>
      <c r="F123" s="420">
        <f t="shared" si="80"/>
        <v>0</v>
      </c>
      <c r="G123" s="420">
        <f t="shared" si="80"/>
        <v>0</v>
      </c>
      <c r="H123" s="420">
        <f t="shared" si="80"/>
        <v>0</v>
      </c>
      <c r="I123" s="420">
        <f t="shared" si="80"/>
        <v>0</v>
      </c>
      <c r="J123" s="420">
        <f t="shared" si="80"/>
        <v>0</v>
      </c>
      <c r="K123" s="420">
        <f t="shared" si="80"/>
        <v>0</v>
      </c>
      <c r="L123" s="420">
        <f t="shared" si="80"/>
        <v>0</v>
      </c>
      <c r="M123" s="420">
        <f t="shared" si="80"/>
        <v>0</v>
      </c>
      <c r="N123" s="420">
        <f t="shared" si="80"/>
        <v>0</v>
      </c>
      <c r="O123" s="65" t="s">
        <v>1711</v>
      </c>
    </row>
    <row r="124" spans="3:15" s="65" customFormat="1">
      <c r="C124" s="65" t="s">
        <v>1386</v>
      </c>
      <c r="E124" s="420"/>
      <c r="F124" s="420"/>
      <c r="G124" s="420"/>
      <c r="H124" s="420"/>
      <c r="I124" s="420"/>
      <c r="J124" s="420"/>
      <c r="K124" s="420"/>
      <c r="L124" s="420"/>
      <c r="M124" s="420"/>
      <c r="N124" s="420"/>
    </row>
    <row r="125" spans="3:15">
      <c r="D125" t="s">
        <v>1387</v>
      </c>
      <c r="E125" s="419">
        <f t="shared" ref="E125:N125" si="81">calcQ1RevWriteDownExp</f>
        <v>0</v>
      </c>
      <c r="F125" s="419">
        <f t="shared" si="81"/>
        <v>0</v>
      </c>
      <c r="G125" s="419">
        <f t="shared" si="81"/>
        <v>0</v>
      </c>
      <c r="H125" s="419">
        <f t="shared" si="81"/>
        <v>0</v>
      </c>
      <c r="I125" s="419">
        <f t="shared" si="81"/>
        <v>0</v>
      </c>
      <c r="J125" s="419">
        <f t="shared" si="81"/>
        <v>0</v>
      </c>
      <c r="K125" s="419">
        <f t="shared" si="81"/>
        <v>0</v>
      </c>
      <c r="L125" s="419">
        <f t="shared" si="81"/>
        <v>0</v>
      </c>
      <c r="M125" s="419">
        <f t="shared" si="81"/>
        <v>0</v>
      </c>
      <c r="N125" s="419">
        <f t="shared" si="81"/>
        <v>0</v>
      </c>
      <c r="O125" t="s">
        <v>1388</v>
      </c>
    </row>
    <row r="126" spans="3:15">
      <c r="D126" t="s">
        <v>1389</v>
      </c>
      <c r="E126" s="419">
        <f t="shared" ref="E126:N126" si="82">calcQ2RevWriteDownExp</f>
        <v>0</v>
      </c>
      <c r="F126" s="419">
        <f t="shared" si="82"/>
        <v>0</v>
      </c>
      <c r="G126" s="419">
        <f t="shared" si="82"/>
        <v>0</v>
      </c>
      <c r="H126" s="419">
        <f t="shared" si="82"/>
        <v>0</v>
      </c>
      <c r="I126" s="419">
        <f t="shared" si="82"/>
        <v>0</v>
      </c>
      <c r="J126" s="419">
        <f t="shared" si="82"/>
        <v>0</v>
      </c>
      <c r="K126" s="419">
        <f t="shared" si="82"/>
        <v>0</v>
      </c>
      <c r="L126" s="419">
        <f t="shared" si="82"/>
        <v>0</v>
      </c>
      <c r="M126" s="419">
        <f t="shared" si="82"/>
        <v>0</v>
      </c>
      <c r="N126" s="419">
        <f t="shared" si="82"/>
        <v>0</v>
      </c>
      <c r="O126" t="s">
        <v>1390</v>
      </c>
    </row>
    <row r="127" spans="3:15">
      <c r="D127" t="s">
        <v>1391</v>
      </c>
      <c r="E127" s="419">
        <f t="shared" ref="E127:N127" si="83">calcQ3RevWriteDownExp</f>
        <v>0</v>
      </c>
      <c r="F127" s="419">
        <f t="shared" si="83"/>
        <v>0</v>
      </c>
      <c r="G127" s="419">
        <f t="shared" si="83"/>
        <v>0</v>
      </c>
      <c r="H127" s="419">
        <f t="shared" si="83"/>
        <v>0</v>
      </c>
      <c r="I127" s="419">
        <f t="shared" si="83"/>
        <v>0</v>
      </c>
      <c r="J127" s="419">
        <f t="shared" si="83"/>
        <v>0</v>
      </c>
      <c r="K127" s="419">
        <f t="shared" si="83"/>
        <v>0</v>
      </c>
      <c r="L127" s="419">
        <f t="shared" si="83"/>
        <v>0</v>
      </c>
      <c r="M127" s="419">
        <f t="shared" si="83"/>
        <v>0</v>
      </c>
      <c r="N127" s="419">
        <f t="shared" si="83"/>
        <v>0</v>
      </c>
      <c r="O127" t="s">
        <v>1392</v>
      </c>
    </row>
    <row r="128" spans="3:15">
      <c r="D128" t="s">
        <v>1393</v>
      </c>
      <c r="E128" s="419">
        <f t="shared" ref="E128:N128" si="84">calcQ4RevWriteDownExp</f>
        <v>0</v>
      </c>
      <c r="F128" s="419">
        <f t="shared" si="84"/>
        <v>0</v>
      </c>
      <c r="G128" s="419">
        <f t="shared" si="84"/>
        <v>0</v>
      </c>
      <c r="H128" s="419">
        <f t="shared" si="84"/>
        <v>0</v>
      </c>
      <c r="I128" s="419">
        <f t="shared" si="84"/>
        <v>0</v>
      </c>
      <c r="J128" s="419">
        <f t="shared" si="84"/>
        <v>0</v>
      </c>
      <c r="K128" s="419">
        <f t="shared" si="84"/>
        <v>0</v>
      </c>
      <c r="L128" s="419">
        <f t="shared" si="84"/>
        <v>0</v>
      </c>
      <c r="M128" s="419">
        <f t="shared" si="84"/>
        <v>0</v>
      </c>
      <c r="N128" s="419">
        <f t="shared" si="84"/>
        <v>0</v>
      </c>
      <c r="O128" t="s">
        <v>1394</v>
      </c>
    </row>
    <row r="129" spans="1:15" s="65" customFormat="1">
      <c r="D129" s="65" t="s">
        <v>1395</v>
      </c>
      <c r="E129" s="420">
        <f t="shared" ref="E129:N129" si="85">finQ1RevWriteDownExp+finQ2RevWriteDownExp+finQ3RevWriteDownExp+finQ4RevWriteDownExp</f>
        <v>0</v>
      </c>
      <c r="F129" s="420">
        <f t="shared" si="85"/>
        <v>0</v>
      </c>
      <c r="G129" s="420">
        <f t="shared" si="85"/>
        <v>0</v>
      </c>
      <c r="H129" s="420">
        <f t="shared" si="85"/>
        <v>0</v>
      </c>
      <c r="I129" s="420">
        <f t="shared" si="85"/>
        <v>0</v>
      </c>
      <c r="J129" s="420">
        <f t="shared" si="85"/>
        <v>0</v>
      </c>
      <c r="K129" s="420">
        <f t="shared" si="85"/>
        <v>0</v>
      </c>
      <c r="L129" s="420">
        <f t="shared" si="85"/>
        <v>0</v>
      </c>
      <c r="M129" s="420">
        <f t="shared" si="85"/>
        <v>0</v>
      </c>
      <c r="N129" s="420">
        <f t="shared" si="85"/>
        <v>0</v>
      </c>
      <c r="O129" s="65" t="s">
        <v>1396</v>
      </c>
    </row>
    <row r="130" spans="1:15">
      <c r="A130" s="65" t="s">
        <v>1148</v>
      </c>
    </row>
    <row r="131" spans="1:15">
      <c r="D131" t="s">
        <v>426</v>
      </c>
      <c r="E131" s="419">
        <f t="shared" ref="E131:N131" si="86">finAnnualOpProfit-finAnnualHarmExp-finAnnualITExp-finAnnualTrustExp-finAnnualOrg62Exp-finAnnualStackExp-finAnnualFullREExp-finAnnualRevWriteDownExp-finAnnualExternalSalesExp-finY1CSGExp-finY1BrandIntExp-finY1LeadPassExp</f>
        <v>-28095668.678987436</v>
      </c>
      <c r="F131" s="419">
        <f t="shared" si="86"/>
        <v>-28095668.678987436</v>
      </c>
      <c r="G131" s="419">
        <f t="shared" si="86"/>
        <v>-28095668.678987436</v>
      </c>
      <c r="H131" s="419">
        <f t="shared" si="86"/>
        <v>-28095668.678987436</v>
      </c>
      <c r="I131" s="419">
        <f t="shared" si="86"/>
        <v>-28095668.678987436</v>
      </c>
      <c r="J131" s="419">
        <f t="shared" si="86"/>
        <v>-28095668.678987436</v>
      </c>
      <c r="K131" s="419">
        <f t="shared" si="86"/>
        <v>-28095668.678987436</v>
      </c>
      <c r="L131" s="419">
        <f t="shared" si="86"/>
        <v>-28095668.678987436</v>
      </c>
      <c r="M131" s="419">
        <f t="shared" si="86"/>
        <v>-28095668.678987436</v>
      </c>
      <c r="N131" s="419">
        <f t="shared" si="86"/>
        <v>-28095668.678987436</v>
      </c>
      <c r="O131" t="s">
        <v>1149</v>
      </c>
    </row>
    <row r="132" spans="1:15">
      <c r="D132" t="s">
        <v>967</v>
      </c>
      <c r="E132" s="442">
        <f t="shared" ref="E132:N132" si="87">finAnnualIntegratedOpProfit/FinAnnualRev</f>
        <v>-0.18999999999999992</v>
      </c>
      <c r="F132" s="442">
        <f t="shared" si="87"/>
        <v>-0.18999999999999992</v>
      </c>
      <c r="G132" s="442">
        <f t="shared" si="87"/>
        <v>-0.18999999999999992</v>
      </c>
      <c r="H132" s="442">
        <f t="shared" si="87"/>
        <v>-0.18999999999999992</v>
      </c>
      <c r="I132" s="442">
        <f t="shared" si="87"/>
        <v>-0.18999999999999992</v>
      </c>
      <c r="J132" s="442">
        <f t="shared" si="87"/>
        <v>-0.18999999999999992</v>
      </c>
      <c r="K132" s="442">
        <f t="shared" si="87"/>
        <v>-0.18999999999999992</v>
      </c>
      <c r="L132" s="442">
        <f t="shared" si="87"/>
        <v>-0.18999999999999992</v>
      </c>
      <c r="M132" s="442">
        <f t="shared" si="87"/>
        <v>-0.18999999999999992</v>
      </c>
      <c r="N132" s="442">
        <f t="shared" si="87"/>
        <v>-0.18999999999999992</v>
      </c>
      <c r="O132" t="s">
        <v>1150</v>
      </c>
    </row>
    <row r="134" spans="1:15">
      <c r="A134" t="s">
        <v>3728</v>
      </c>
    </row>
    <row r="135" spans="1:15">
      <c r="D135" t="s">
        <v>899</v>
      </c>
      <c r="E135" s="419">
        <f t="shared" ref="E135:N135" si="88">finQ1ITExp+finQ1FullREExp+finQ1TrustExp+finQ1CSGExp+finQ1BrandIntExp+finQ1LeadPassExp+finQ1Org62Exp+finQ1StackExp+finQ1ExternalSalesExp+finQ1RevWriteDownExp</f>
        <v>0</v>
      </c>
      <c r="F135" s="419">
        <f t="shared" si="88"/>
        <v>0</v>
      </c>
      <c r="G135" s="419">
        <f t="shared" si="88"/>
        <v>0</v>
      </c>
      <c r="H135" s="419">
        <f t="shared" si="88"/>
        <v>0</v>
      </c>
      <c r="I135" s="419">
        <f t="shared" si="88"/>
        <v>0</v>
      </c>
      <c r="J135" s="419">
        <f t="shared" si="88"/>
        <v>0</v>
      </c>
      <c r="K135" s="419">
        <f t="shared" si="88"/>
        <v>0</v>
      </c>
      <c r="L135" s="419">
        <f t="shared" si="88"/>
        <v>0</v>
      </c>
      <c r="M135" s="419">
        <f t="shared" si="88"/>
        <v>0</v>
      </c>
      <c r="N135" s="419">
        <f t="shared" si="88"/>
        <v>0</v>
      </c>
      <c r="O135" t="s">
        <v>3729</v>
      </c>
    </row>
    <row r="136" spans="1:15">
      <c r="D136" t="s">
        <v>900</v>
      </c>
      <c r="E136" s="419">
        <f t="shared" ref="E136:N136" si="89">finQ2ITExp+finQ2FullREExp+finQ2TrustExp+finQ2CSGExp+finQ2BrandIntExp+finQ2LeadPassExp+finQ2Org62Exp+finQ2StackExp+finQ2ExternalSalesExp+finQ2RevWriteDownExp</f>
        <v>0</v>
      </c>
      <c r="F136" s="419">
        <f t="shared" si="89"/>
        <v>0</v>
      </c>
      <c r="G136" s="419">
        <f t="shared" si="89"/>
        <v>0</v>
      </c>
      <c r="H136" s="419">
        <f t="shared" si="89"/>
        <v>0</v>
      </c>
      <c r="I136" s="419">
        <f t="shared" si="89"/>
        <v>0</v>
      </c>
      <c r="J136" s="419">
        <f t="shared" si="89"/>
        <v>0</v>
      </c>
      <c r="K136" s="419">
        <f t="shared" si="89"/>
        <v>0</v>
      </c>
      <c r="L136" s="419">
        <f t="shared" si="89"/>
        <v>0</v>
      </c>
      <c r="M136" s="419">
        <f t="shared" si="89"/>
        <v>0</v>
      </c>
      <c r="N136" s="419">
        <f t="shared" si="89"/>
        <v>0</v>
      </c>
      <c r="O136" t="s">
        <v>3730</v>
      </c>
    </row>
    <row r="137" spans="1:15">
      <c r="D137" t="s">
        <v>901</v>
      </c>
      <c r="E137" s="419">
        <f t="shared" ref="E137:N137" si="90">finQ3ITExp+finQ3FullREExp+finQ3TrustExp+finQ3CSGExp+finQ3BrandIntExp+finQ3LeadPassExp+finQ3Org62Exp+finQ3StackExp+finQ3ExternalSalesExp+finQ3RevWriteDownExp</f>
        <v>0</v>
      </c>
      <c r="F137" s="419">
        <f t="shared" si="90"/>
        <v>0</v>
      </c>
      <c r="G137" s="419">
        <f t="shared" si="90"/>
        <v>0</v>
      </c>
      <c r="H137" s="419">
        <f t="shared" si="90"/>
        <v>0</v>
      </c>
      <c r="I137" s="419">
        <f t="shared" si="90"/>
        <v>0</v>
      </c>
      <c r="J137" s="419">
        <f t="shared" si="90"/>
        <v>0</v>
      </c>
      <c r="K137" s="419">
        <f t="shared" si="90"/>
        <v>0</v>
      </c>
      <c r="L137" s="419">
        <f t="shared" si="90"/>
        <v>0</v>
      </c>
      <c r="M137" s="419">
        <f t="shared" si="90"/>
        <v>0</v>
      </c>
      <c r="N137" s="419">
        <f t="shared" si="90"/>
        <v>0</v>
      </c>
      <c r="O137" t="s">
        <v>3731</v>
      </c>
    </row>
    <row r="138" spans="1:15">
      <c r="D138" t="s">
        <v>902</v>
      </c>
      <c r="E138" s="419">
        <f t="shared" ref="E138:N138" si="91">finQ4ITExp+finQ4FullREExp+finQ4TrustExp+finQ4CSGExp+finQ4BrandIntExp+finQ4LeadPassExp+finQ4Org62Exp+finQ4StackExp+finQ4ExternalSalesExp+finQ4RevWriteDownExp</f>
        <v>0</v>
      </c>
      <c r="F138" s="419">
        <f t="shared" si="91"/>
        <v>0</v>
      </c>
      <c r="G138" s="419">
        <f t="shared" si="91"/>
        <v>0</v>
      </c>
      <c r="H138" s="419">
        <f t="shared" si="91"/>
        <v>0</v>
      </c>
      <c r="I138" s="419">
        <f t="shared" si="91"/>
        <v>0</v>
      </c>
      <c r="J138" s="419">
        <f t="shared" si="91"/>
        <v>0</v>
      </c>
      <c r="K138" s="419">
        <f t="shared" si="91"/>
        <v>0</v>
      </c>
      <c r="L138" s="419">
        <f t="shared" si="91"/>
        <v>0</v>
      </c>
      <c r="M138" s="419">
        <f t="shared" si="91"/>
        <v>0</v>
      </c>
      <c r="N138" s="419">
        <f t="shared" si="91"/>
        <v>0</v>
      </c>
      <c r="O138" t="s">
        <v>3732</v>
      </c>
    </row>
    <row r="139" spans="1:15" s="65" customFormat="1">
      <c r="D139" s="65" t="s">
        <v>2297</v>
      </c>
      <c r="E139" s="420">
        <f>SUM(E135:E138)</f>
        <v>0</v>
      </c>
      <c r="F139" s="420">
        <f t="shared" ref="F139:N139" si="92">SUM(F135:F138)</f>
        <v>0</v>
      </c>
      <c r="G139" s="420">
        <f t="shared" si="92"/>
        <v>0</v>
      </c>
      <c r="H139" s="420">
        <f t="shared" si="92"/>
        <v>0</v>
      </c>
      <c r="I139" s="420">
        <f t="shared" si="92"/>
        <v>0</v>
      </c>
      <c r="J139" s="420">
        <f t="shared" si="92"/>
        <v>0</v>
      </c>
      <c r="K139" s="420">
        <f t="shared" si="92"/>
        <v>0</v>
      </c>
      <c r="L139" s="420">
        <f t="shared" si="92"/>
        <v>0</v>
      </c>
      <c r="M139" s="420">
        <f t="shared" si="92"/>
        <v>0</v>
      </c>
      <c r="N139" s="420">
        <f t="shared" si="92"/>
        <v>0</v>
      </c>
      <c r="O139" s="65" t="s">
        <v>3738</v>
      </c>
    </row>
    <row r="140" spans="1:15" s="65" customFormat="1">
      <c r="E140" s="420"/>
      <c r="F140" s="420"/>
      <c r="G140" s="420"/>
      <c r="H140" s="420"/>
      <c r="I140" s="420"/>
      <c r="J140" s="420"/>
      <c r="K140" s="420"/>
      <c r="L140" s="420"/>
      <c r="M140" s="420"/>
      <c r="N140" s="420"/>
    </row>
    <row r="141" spans="1:15">
      <c r="D141" t="s">
        <v>1397</v>
      </c>
      <c r="E141" s="419">
        <f t="shared" ref="E141:N141" si="93">finY2Q1ITExp+finY2Q1FullREExp+finY2Q1TrustExp+finY2Q1CSGExp+finY2Q1BrandIntExp+finY2Q1LeadPassExp+finY2Q1Org62Exp+finY2Q1StackExp+finY2Q1ExternalSalesExp+finY2Q1RevWriteDownExp</f>
        <v>0</v>
      </c>
      <c r="F141" s="419">
        <f t="shared" si="93"/>
        <v>0</v>
      </c>
      <c r="G141" s="419">
        <f t="shared" si="93"/>
        <v>0</v>
      </c>
      <c r="H141" s="419">
        <f t="shared" si="93"/>
        <v>0</v>
      </c>
      <c r="I141" s="419">
        <f t="shared" si="93"/>
        <v>0</v>
      </c>
      <c r="J141" s="419">
        <f t="shared" si="93"/>
        <v>0</v>
      </c>
      <c r="K141" s="419">
        <f t="shared" si="93"/>
        <v>0</v>
      </c>
      <c r="L141" s="419">
        <f t="shared" si="93"/>
        <v>0</v>
      </c>
      <c r="M141" s="419">
        <f t="shared" si="93"/>
        <v>0</v>
      </c>
      <c r="N141" s="419">
        <f t="shared" si="93"/>
        <v>0</v>
      </c>
      <c r="O141" t="s">
        <v>3733</v>
      </c>
    </row>
    <row r="142" spans="1:15">
      <c r="D142" t="s">
        <v>1431</v>
      </c>
      <c r="E142" s="419">
        <f t="shared" ref="E142:N142" si="94">finY2Q2ITExp+finY2Q2FullREExp+finY2Q2TrustExp+finY2Q2CSGExp+finY2Q2BrandIntExp+finY2Q2LeadPassExp+finY2Q2Org62Exp+finY2Q2StackExp+finY2Q2ExternalSalesExp+finY2Q2RevWriteDownExp</f>
        <v>0</v>
      </c>
      <c r="F142" s="419">
        <f t="shared" si="94"/>
        <v>0</v>
      </c>
      <c r="G142" s="419">
        <f t="shared" si="94"/>
        <v>0</v>
      </c>
      <c r="H142" s="419">
        <f t="shared" si="94"/>
        <v>0</v>
      </c>
      <c r="I142" s="419">
        <f t="shared" si="94"/>
        <v>0</v>
      </c>
      <c r="J142" s="419">
        <f t="shared" si="94"/>
        <v>0</v>
      </c>
      <c r="K142" s="419">
        <f t="shared" si="94"/>
        <v>0</v>
      </c>
      <c r="L142" s="419">
        <f t="shared" si="94"/>
        <v>0</v>
      </c>
      <c r="M142" s="419">
        <f t="shared" si="94"/>
        <v>0</v>
      </c>
      <c r="N142" s="419">
        <f t="shared" si="94"/>
        <v>0</v>
      </c>
      <c r="O142" t="s">
        <v>3734</v>
      </c>
    </row>
    <row r="143" spans="1:15">
      <c r="D143" t="s">
        <v>1465</v>
      </c>
      <c r="E143" s="419">
        <f t="shared" ref="E143:N143" si="95">finY2Q3ITExp+finY2Q3FullREExp+finY2Q3TrustExp+finY2Q3CSGExp+finY2Q3BrandIntExp+finY2Q3LeadPassExp+finY2Q3Org62Exp+finY2Q3StackExp+finY2Q3ExternalSalesExp+finY2Q3RevWriteDownExp</f>
        <v>0</v>
      </c>
      <c r="F143" s="419">
        <f t="shared" si="95"/>
        <v>0</v>
      </c>
      <c r="G143" s="419">
        <f t="shared" si="95"/>
        <v>0</v>
      </c>
      <c r="H143" s="419">
        <f t="shared" si="95"/>
        <v>0</v>
      </c>
      <c r="I143" s="419">
        <f t="shared" si="95"/>
        <v>0</v>
      </c>
      <c r="J143" s="419">
        <f t="shared" si="95"/>
        <v>0</v>
      </c>
      <c r="K143" s="419">
        <f t="shared" si="95"/>
        <v>0</v>
      </c>
      <c r="L143" s="419">
        <f t="shared" si="95"/>
        <v>0</v>
      </c>
      <c r="M143" s="419">
        <f t="shared" si="95"/>
        <v>0</v>
      </c>
      <c r="N143" s="419">
        <f t="shared" si="95"/>
        <v>0</v>
      </c>
      <c r="O143" t="s">
        <v>3735</v>
      </c>
    </row>
    <row r="144" spans="1:15">
      <c r="D144" t="s">
        <v>1499</v>
      </c>
      <c r="E144" s="419">
        <f t="shared" ref="E144:N144" si="96">finY2Q4ITExp+finY2Q4FullREExp+finY2Q4TrustExp+finY2Q4CSGExp+finY2Q4BrandIntExp+finY2Q4LeadPassExp+finY2Q4Org62Exp+finY2Q4StackExp+finY2Q4ExternalSalesExp+finY2Q4RevWriteDownExp</f>
        <v>0</v>
      </c>
      <c r="F144" s="419">
        <f t="shared" si="96"/>
        <v>0</v>
      </c>
      <c r="G144" s="419">
        <f t="shared" si="96"/>
        <v>0</v>
      </c>
      <c r="H144" s="419">
        <f t="shared" si="96"/>
        <v>0</v>
      </c>
      <c r="I144" s="419">
        <f t="shared" si="96"/>
        <v>0</v>
      </c>
      <c r="J144" s="419">
        <f t="shared" si="96"/>
        <v>0</v>
      </c>
      <c r="K144" s="419">
        <f t="shared" si="96"/>
        <v>0</v>
      </c>
      <c r="L144" s="419">
        <f t="shared" si="96"/>
        <v>0</v>
      </c>
      <c r="M144" s="419">
        <f t="shared" si="96"/>
        <v>0</v>
      </c>
      <c r="N144" s="419">
        <f t="shared" si="96"/>
        <v>0</v>
      </c>
      <c r="O144" t="s">
        <v>3736</v>
      </c>
    </row>
    <row r="145" spans="2:15" s="65" customFormat="1">
      <c r="D145" s="65" t="s">
        <v>2297</v>
      </c>
      <c r="E145" s="420">
        <f>SUM(E141:E144)</f>
        <v>0</v>
      </c>
      <c r="F145" s="420">
        <f t="shared" ref="F145" si="97">SUM(F141:F144)</f>
        <v>0</v>
      </c>
      <c r="G145" s="420">
        <f t="shared" ref="G145" si="98">SUM(G141:G144)</f>
        <v>0</v>
      </c>
      <c r="H145" s="420">
        <f t="shared" ref="H145" si="99">SUM(H141:H144)</f>
        <v>0</v>
      </c>
      <c r="I145" s="420">
        <f t="shared" ref="I145" si="100">SUM(I141:I144)</f>
        <v>0</v>
      </c>
      <c r="J145" s="420">
        <f t="shared" ref="J145" si="101">SUM(J141:J144)</f>
        <v>0</v>
      </c>
      <c r="K145" s="420">
        <f t="shared" ref="K145" si="102">SUM(K141:K144)</f>
        <v>0</v>
      </c>
      <c r="L145" s="420">
        <f t="shared" ref="L145" si="103">SUM(L141:L144)</f>
        <v>0</v>
      </c>
      <c r="M145" s="420">
        <f t="shared" ref="M145" si="104">SUM(M141:M144)</f>
        <v>0</v>
      </c>
      <c r="N145" s="420">
        <f t="shared" ref="N145" si="105">SUM(N141:N144)</f>
        <v>0</v>
      </c>
      <c r="O145" s="65" t="s">
        <v>3737</v>
      </c>
    </row>
    <row r="148" spans="2:15" s="69" customFormat="1">
      <c r="B148" s="69" t="s">
        <v>690</v>
      </c>
      <c r="E148" s="417"/>
      <c r="F148" s="417"/>
      <c r="G148" s="417"/>
      <c r="H148" s="417"/>
      <c r="I148" s="417"/>
      <c r="J148" s="417"/>
      <c r="K148" s="417"/>
      <c r="L148" s="417"/>
      <c r="M148" s="417"/>
      <c r="N148" s="417"/>
    </row>
    <row r="149" spans="2:15" s="69" customFormat="1">
      <c r="C149" s="217" t="s">
        <v>140</v>
      </c>
      <c r="E149" s="417"/>
      <c r="F149" s="417"/>
      <c r="G149" s="417"/>
      <c r="H149" s="417"/>
      <c r="I149" s="417"/>
      <c r="J149" s="417"/>
      <c r="K149" s="417"/>
      <c r="L149" s="417"/>
      <c r="M149" s="417"/>
      <c r="N149" s="417"/>
    </row>
    <row r="150" spans="2:15" s="410" customFormat="1">
      <c r="D150" s="410" t="s">
        <v>1544</v>
      </c>
      <c r="E150" s="418">
        <f t="shared" ref="E150:N150" si="106">calcY2Q1Rev</f>
        <v>47751016.926157117</v>
      </c>
      <c r="F150" s="418">
        <f t="shared" si="106"/>
        <v>47751016.926157117</v>
      </c>
      <c r="G150" s="418">
        <f t="shared" si="106"/>
        <v>47751016.926157117</v>
      </c>
      <c r="H150" s="418">
        <f t="shared" si="106"/>
        <v>47751016.926157117</v>
      </c>
      <c r="I150" s="418">
        <f t="shared" si="106"/>
        <v>47751016.926157117</v>
      </c>
      <c r="J150" s="418">
        <f t="shared" si="106"/>
        <v>47751016.926157117</v>
      </c>
      <c r="K150" s="418">
        <f t="shared" si="106"/>
        <v>47751016.926157117</v>
      </c>
      <c r="L150" s="418">
        <f t="shared" si="106"/>
        <v>47751016.926157117</v>
      </c>
      <c r="M150" s="418">
        <f t="shared" si="106"/>
        <v>47751016.926157117</v>
      </c>
      <c r="N150" s="418">
        <f t="shared" si="106"/>
        <v>47751016.926157117</v>
      </c>
      <c r="O150" s="410" t="s">
        <v>1545</v>
      </c>
    </row>
    <row r="151" spans="2:15" s="410" customFormat="1">
      <c r="D151" s="410" t="s">
        <v>1565</v>
      </c>
      <c r="E151" s="418">
        <f t="shared" ref="E151:N151" si="107">calcY2Q2Rev</f>
        <v>51348833.619274132</v>
      </c>
      <c r="F151" s="418">
        <f t="shared" si="107"/>
        <v>51348833.619274132</v>
      </c>
      <c r="G151" s="418">
        <f t="shared" si="107"/>
        <v>51348833.619274132</v>
      </c>
      <c r="H151" s="418">
        <f t="shared" si="107"/>
        <v>51348833.619274132</v>
      </c>
      <c r="I151" s="418">
        <f t="shared" si="107"/>
        <v>51348833.619274132</v>
      </c>
      <c r="J151" s="418">
        <f t="shared" si="107"/>
        <v>51348833.619274132</v>
      </c>
      <c r="K151" s="418">
        <f t="shared" si="107"/>
        <v>51348833.619274132</v>
      </c>
      <c r="L151" s="418">
        <f t="shared" si="107"/>
        <v>51348833.619274132</v>
      </c>
      <c r="M151" s="418">
        <f t="shared" si="107"/>
        <v>51348833.619274132</v>
      </c>
      <c r="N151" s="418">
        <f t="shared" si="107"/>
        <v>51348833.619274132</v>
      </c>
      <c r="O151" s="410" t="s">
        <v>1566</v>
      </c>
    </row>
    <row r="152" spans="2:15" s="410" customFormat="1">
      <c r="D152" s="410" t="s">
        <v>1586</v>
      </c>
      <c r="E152" s="418">
        <f t="shared" ref="E152:N152" si="108">calcY2Q3Rev</f>
        <v>56908390.58385019</v>
      </c>
      <c r="F152" s="418">
        <f t="shared" si="108"/>
        <v>56908390.58385019</v>
      </c>
      <c r="G152" s="418">
        <f t="shared" si="108"/>
        <v>56908390.58385019</v>
      </c>
      <c r="H152" s="418">
        <f t="shared" si="108"/>
        <v>56908390.58385019</v>
      </c>
      <c r="I152" s="418">
        <f t="shared" si="108"/>
        <v>56908390.58385019</v>
      </c>
      <c r="J152" s="418">
        <f t="shared" si="108"/>
        <v>56908390.58385019</v>
      </c>
      <c r="K152" s="418">
        <f t="shared" si="108"/>
        <v>56908390.58385019</v>
      </c>
      <c r="L152" s="418">
        <f t="shared" si="108"/>
        <v>56908390.58385019</v>
      </c>
      <c r="M152" s="418">
        <f t="shared" si="108"/>
        <v>56908390.58385019</v>
      </c>
      <c r="N152" s="418">
        <f t="shared" si="108"/>
        <v>56908390.58385019</v>
      </c>
      <c r="O152" s="410" t="s">
        <v>1587</v>
      </c>
    </row>
    <row r="153" spans="2:15" s="410" customFormat="1">
      <c r="D153" s="410" t="s">
        <v>1607</v>
      </c>
      <c r="E153" s="418">
        <f t="shared" ref="E153:N153" si="109">calcY2Q4Rev</f>
        <v>65083231.854531035</v>
      </c>
      <c r="F153" s="418">
        <f t="shared" si="109"/>
        <v>65083231.854531035</v>
      </c>
      <c r="G153" s="418">
        <f t="shared" si="109"/>
        <v>65083231.854531035</v>
      </c>
      <c r="H153" s="418">
        <f t="shared" si="109"/>
        <v>65083231.854531035</v>
      </c>
      <c r="I153" s="418">
        <f t="shared" si="109"/>
        <v>65083231.854531035</v>
      </c>
      <c r="J153" s="418">
        <f t="shared" si="109"/>
        <v>65083231.854531035</v>
      </c>
      <c r="K153" s="418">
        <f t="shared" si="109"/>
        <v>65083231.854531035</v>
      </c>
      <c r="L153" s="418">
        <f t="shared" si="109"/>
        <v>65083231.854531035</v>
      </c>
      <c r="M153" s="418">
        <f t="shared" si="109"/>
        <v>65083231.854531035</v>
      </c>
      <c r="N153" s="418">
        <f t="shared" si="109"/>
        <v>65083231.854531035</v>
      </c>
      <c r="O153" s="410" t="s">
        <v>1608</v>
      </c>
    </row>
    <row r="154" spans="2:15">
      <c r="D154" s="217" t="s">
        <v>492</v>
      </c>
      <c r="E154" s="419">
        <f t="shared" ref="E154:N154" si="110">finY2Q1Rev+finY2Q2Rev+finY2Q3Rev+finY2Q4Rev</f>
        <v>221091472.98381251</v>
      </c>
      <c r="F154" s="419">
        <f t="shared" si="110"/>
        <v>221091472.98381251</v>
      </c>
      <c r="G154" s="419">
        <f t="shared" si="110"/>
        <v>221091472.98381251</v>
      </c>
      <c r="H154" s="419">
        <f t="shared" si="110"/>
        <v>221091472.98381251</v>
      </c>
      <c r="I154" s="419">
        <f t="shared" si="110"/>
        <v>221091472.98381251</v>
      </c>
      <c r="J154" s="419">
        <f t="shared" si="110"/>
        <v>221091472.98381251</v>
      </c>
      <c r="K154" s="419">
        <f t="shared" si="110"/>
        <v>221091472.98381251</v>
      </c>
      <c r="L154" s="419">
        <f t="shared" si="110"/>
        <v>221091472.98381251</v>
      </c>
      <c r="M154" s="419">
        <f t="shared" si="110"/>
        <v>221091472.98381251</v>
      </c>
      <c r="N154" s="419">
        <f t="shared" si="110"/>
        <v>221091472.98381251</v>
      </c>
      <c r="O154" s="410" t="s">
        <v>1628</v>
      </c>
    </row>
    <row r="155" spans="2:15">
      <c r="D155" s="217"/>
      <c r="F155" s="777"/>
      <c r="O155" s="410"/>
    </row>
    <row r="156" spans="2:15">
      <c r="C156" s="65" t="s">
        <v>434</v>
      </c>
    </row>
    <row r="157" spans="2:15">
      <c r="D157" s="410" t="s">
        <v>1546</v>
      </c>
      <c r="E157" s="419">
        <f t="shared" ref="E157:N157" si="111">finY2Q1Rev*calcY2Q1COSPerc</f>
        <v>9550203.3852314241</v>
      </c>
      <c r="F157" s="419">
        <f t="shared" si="111"/>
        <v>9550203.3852314241</v>
      </c>
      <c r="G157" s="419">
        <f t="shared" si="111"/>
        <v>9550203.3852314241</v>
      </c>
      <c r="H157" s="419">
        <f t="shared" si="111"/>
        <v>9550203.3852314241</v>
      </c>
      <c r="I157" s="419">
        <f t="shared" si="111"/>
        <v>9550203.3852314241</v>
      </c>
      <c r="J157" s="419">
        <f t="shared" si="111"/>
        <v>9550203.3852314241</v>
      </c>
      <c r="K157" s="419">
        <f t="shared" si="111"/>
        <v>9550203.3852314241</v>
      </c>
      <c r="L157" s="419">
        <f t="shared" si="111"/>
        <v>9550203.3852314241</v>
      </c>
      <c r="M157" s="419">
        <f t="shared" si="111"/>
        <v>9550203.3852314241</v>
      </c>
      <c r="N157" s="419">
        <f t="shared" si="111"/>
        <v>9550203.3852314241</v>
      </c>
      <c r="O157" s="410" t="s">
        <v>1547</v>
      </c>
    </row>
    <row r="158" spans="2:15">
      <c r="D158" s="410" t="s">
        <v>1567</v>
      </c>
      <c r="E158" s="419">
        <f t="shared" ref="E158:N158" si="112">finY2Q2Rev*calcY2Q2COSPerc</f>
        <v>10269766.723854827</v>
      </c>
      <c r="F158" s="419">
        <f t="shared" si="112"/>
        <v>10269766.723854827</v>
      </c>
      <c r="G158" s="419">
        <f t="shared" si="112"/>
        <v>10269766.723854827</v>
      </c>
      <c r="H158" s="419">
        <f t="shared" si="112"/>
        <v>10269766.723854827</v>
      </c>
      <c r="I158" s="419">
        <f t="shared" si="112"/>
        <v>10269766.723854827</v>
      </c>
      <c r="J158" s="419">
        <f t="shared" si="112"/>
        <v>10269766.723854827</v>
      </c>
      <c r="K158" s="419">
        <f t="shared" si="112"/>
        <v>10269766.723854827</v>
      </c>
      <c r="L158" s="419">
        <f t="shared" si="112"/>
        <v>10269766.723854827</v>
      </c>
      <c r="M158" s="419">
        <f t="shared" si="112"/>
        <v>10269766.723854827</v>
      </c>
      <c r="N158" s="419">
        <f t="shared" si="112"/>
        <v>10269766.723854827</v>
      </c>
      <c r="O158" s="410" t="s">
        <v>1568</v>
      </c>
    </row>
    <row r="159" spans="2:15">
      <c r="D159" s="410" t="s">
        <v>1588</v>
      </c>
      <c r="E159" s="419">
        <f t="shared" ref="E159:N159" si="113">finY2Q3Rev*calcY2Q3COSPerc</f>
        <v>11381678.116770038</v>
      </c>
      <c r="F159" s="419">
        <f t="shared" si="113"/>
        <v>11381678.116770038</v>
      </c>
      <c r="G159" s="419">
        <f t="shared" si="113"/>
        <v>11381678.116770038</v>
      </c>
      <c r="H159" s="419">
        <f t="shared" si="113"/>
        <v>11381678.116770038</v>
      </c>
      <c r="I159" s="419">
        <f t="shared" si="113"/>
        <v>11381678.116770038</v>
      </c>
      <c r="J159" s="419">
        <f t="shared" si="113"/>
        <v>11381678.116770038</v>
      </c>
      <c r="K159" s="419">
        <f t="shared" si="113"/>
        <v>11381678.116770038</v>
      </c>
      <c r="L159" s="419">
        <f t="shared" si="113"/>
        <v>11381678.116770038</v>
      </c>
      <c r="M159" s="419">
        <f t="shared" si="113"/>
        <v>11381678.116770038</v>
      </c>
      <c r="N159" s="419">
        <f t="shared" si="113"/>
        <v>11381678.116770038</v>
      </c>
      <c r="O159" s="410" t="s">
        <v>1589</v>
      </c>
    </row>
    <row r="160" spans="2:15">
      <c r="D160" s="410" t="s">
        <v>1609</v>
      </c>
      <c r="E160" s="419">
        <f t="shared" ref="E160:N160" si="114">finY2Q4Rev*calcY2Q4COSPerc</f>
        <v>13016646.370906208</v>
      </c>
      <c r="F160" s="419">
        <f t="shared" si="114"/>
        <v>13016646.370906208</v>
      </c>
      <c r="G160" s="419">
        <f t="shared" si="114"/>
        <v>13016646.370906208</v>
      </c>
      <c r="H160" s="419">
        <f t="shared" si="114"/>
        <v>13016646.370906208</v>
      </c>
      <c r="I160" s="419">
        <f t="shared" si="114"/>
        <v>13016646.370906208</v>
      </c>
      <c r="J160" s="419">
        <f t="shared" si="114"/>
        <v>13016646.370906208</v>
      </c>
      <c r="K160" s="419">
        <f t="shared" si="114"/>
        <v>13016646.370906208</v>
      </c>
      <c r="L160" s="419">
        <f t="shared" si="114"/>
        <v>13016646.370906208</v>
      </c>
      <c r="M160" s="419">
        <f t="shared" si="114"/>
        <v>13016646.370906208</v>
      </c>
      <c r="N160" s="419">
        <f t="shared" si="114"/>
        <v>13016646.370906208</v>
      </c>
      <c r="O160" s="410" t="s">
        <v>1610</v>
      </c>
    </row>
    <row r="161" spans="1:15" s="65" customFormat="1">
      <c r="D161" s="217" t="s">
        <v>930</v>
      </c>
      <c r="E161" s="420">
        <f t="shared" ref="E161:N161" si="115">finY2Q1COS+finY2Q2COS+finY2Q3COS+finY2Q4COS</f>
        <v>44218294.596762493</v>
      </c>
      <c r="F161" s="420">
        <f t="shared" si="115"/>
        <v>44218294.596762493</v>
      </c>
      <c r="G161" s="420">
        <f t="shared" si="115"/>
        <v>44218294.596762493</v>
      </c>
      <c r="H161" s="420">
        <f t="shared" si="115"/>
        <v>44218294.596762493</v>
      </c>
      <c r="I161" s="420">
        <f t="shared" si="115"/>
        <v>44218294.596762493</v>
      </c>
      <c r="J161" s="420">
        <f t="shared" si="115"/>
        <v>44218294.596762493</v>
      </c>
      <c r="K161" s="420">
        <f t="shared" si="115"/>
        <v>44218294.596762493</v>
      </c>
      <c r="L161" s="420">
        <f t="shared" si="115"/>
        <v>44218294.596762493</v>
      </c>
      <c r="M161" s="420">
        <f t="shared" si="115"/>
        <v>44218294.596762493</v>
      </c>
      <c r="N161" s="420">
        <f t="shared" si="115"/>
        <v>44218294.596762493</v>
      </c>
      <c r="O161" s="217" t="s">
        <v>1645</v>
      </c>
    </row>
    <row r="163" spans="1:15">
      <c r="C163" t="s">
        <v>237</v>
      </c>
      <c r="E163" s="420">
        <f t="shared" ref="E163:N163" si="116">FinY2AnnualRev-finY2AnnualCOS</f>
        <v>176873178.38705003</v>
      </c>
      <c r="F163" s="420">
        <f t="shared" si="116"/>
        <v>176873178.38705003</v>
      </c>
      <c r="G163" s="420">
        <f t="shared" si="116"/>
        <v>176873178.38705003</v>
      </c>
      <c r="H163" s="420">
        <f t="shared" si="116"/>
        <v>176873178.38705003</v>
      </c>
      <c r="I163" s="420">
        <f t="shared" si="116"/>
        <v>176873178.38705003</v>
      </c>
      <c r="J163" s="420">
        <f t="shared" si="116"/>
        <v>176873178.38705003</v>
      </c>
      <c r="K163" s="420">
        <f t="shared" si="116"/>
        <v>176873178.38705003</v>
      </c>
      <c r="L163" s="420">
        <f t="shared" si="116"/>
        <v>176873178.38705003</v>
      </c>
      <c r="M163" s="420">
        <f t="shared" si="116"/>
        <v>176873178.38705003</v>
      </c>
      <c r="N163" s="420">
        <f t="shared" si="116"/>
        <v>176873178.38705003</v>
      </c>
      <c r="O163" s="410" t="s">
        <v>2150</v>
      </c>
    </row>
    <row r="164" spans="1:15" s="295" customFormat="1">
      <c r="D164" s="421" t="s">
        <v>967</v>
      </c>
      <c r="E164" s="422">
        <f t="shared" ref="E164:N164" si="117">finAnnualGrossProfit/FinAnnualRev</f>
        <v>0.8</v>
      </c>
      <c r="F164" s="422">
        <f t="shared" si="117"/>
        <v>0.8</v>
      </c>
      <c r="G164" s="422">
        <f t="shared" si="117"/>
        <v>0.8</v>
      </c>
      <c r="H164" s="422">
        <f t="shared" si="117"/>
        <v>0.8</v>
      </c>
      <c r="I164" s="422">
        <f t="shared" si="117"/>
        <v>0.8</v>
      </c>
      <c r="J164" s="422">
        <f t="shared" si="117"/>
        <v>0.8</v>
      </c>
      <c r="K164" s="422">
        <f t="shared" si="117"/>
        <v>0.8</v>
      </c>
      <c r="L164" s="422">
        <f t="shared" si="117"/>
        <v>0.8</v>
      </c>
      <c r="M164" s="422">
        <f t="shared" si="117"/>
        <v>0.8</v>
      </c>
      <c r="N164" s="422">
        <f t="shared" si="117"/>
        <v>0.8</v>
      </c>
      <c r="O164" s="423" t="s">
        <v>2151</v>
      </c>
    </row>
    <row r="165" spans="1:15" s="295" customFormat="1">
      <c r="D165" s="421"/>
      <c r="E165" s="422"/>
      <c r="F165" s="422"/>
      <c r="G165" s="422"/>
      <c r="H165" s="422"/>
      <c r="I165" s="422"/>
      <c r="J165" s="422"/>
      <c r="K165" s="422"/>
      <c r="L165" s="422"/>
      <c r="M165" s="422"/>
      <c r="N165" s="422"/>
      <c r="O165" s="423"/>
    </row>
    <row r="166" spans="1:15">
      <c r="A166" s="65" t="s">
        <v>422</v>
      </c>
    </row>
    <row r="167" spans="1:15">
      <c r="C167" t="s">
        <v>936</v>
      </c>
    </row>
    <row r="168" spans="1:15">
      <c r="D168" t="s">
        <v>1548</v>
      </c>
      <c r="E168" s="419">
        <f t="shared" ref="E168:N168" si="118">calcY2Q1MSExp</f>
        <v>20938532.520494912</v>
      </c>
      <c r="F168" s="419">
        <f t="shared" si="118"/>
        <v>20938532.520494912</v>
      </c>
      <c r="G168" s="419">
        <f t="shared" si="118"/>
        <v>20938532.520494912</v>
      </c>
      <c r="H168" s="419">
        <f t="shared" si="118"/>
        <v>20938532.520494912</v>
      </c>
      <c r="I168" s="419">
        <f t="shared" si="118"/>
        <v>20938532.520494912</v>
      </c>
      <c r="J168" s="419">
        <f t="shared" si="118"/>
        <v>20938532.520494912</v>
      </c>
      <c r="K168" s="419">
        <f t="shared" si="118"/>
        <v>20938532.520494912</v>
      </c>
      <c r="L168" s="419">
        <f t="shared" si="118"/>
        <v>20938532.520494912</v>
      </c>
      <c r="M168" s="419">
        <f t="shared" si="118"/>
        <v>20938532.520494912</v>
      </c>
      <c r="N168" s="419">
        <f t="shared" si="118"/>
        <v>20938532.520494912</v>
      </c>
      <c r="O168" t="s">
        <v>1549</v>
      </c>
    </row>
    <row r="169" spans="1:15">
      <c r="D169" t="s">
        <v>1569</v>
      </c>
      <c r="E169" s="419">
        <f t="shared" ref="E169:N169" si="119">calcY2Q2MSExp</f>
        <v>22432058.463509578</v>
      </c>
      <c r="F169" s="419">
        <f t="shared" si="119"/>
        <v>22432058.463509578</v>
      </c>
      <c r="G169" s="419">
        <f t="shared" si="119"/>
        <v>22432058.463509578</v>
      </c>
      <c r="H169" s="419">
        <f t="shared" si="119"/>
        <v>22432058.463509578</v>
      </c>
      <c r="I169" s="419">
        <f t="shared" si="119"/>
        <v>22432058.463509578</v>
      </c>
      <c r="J169" s="419">
        <f t="shared" si="119"/>
        <v>22432058.463509578</v>
      </c>
      <c r="K169" s="419">
        <f t="shared" si="119"/>
        <v>22432058.463509578</v>
      </c>
      <c r="L169" s="419">
        <f t="shared" si="119"/>
        <v>22432058.463509578</v>
      </c>
      <c r="M169" s="419">
        <f t="shared" si="119"/>
        <v>22432058.463509578</v>
      </c>
      <c r="N169" s="419">
        <f t="shared" si="119"/>
        <v>22432058.463509578</v>
      </c>
      <c r="O169" t="s">
        <v>1570</v>
      </c>
    </row>
    <row r="170" spans="1:15">
      <c r="D170" t="s">
        <v>1590</v>
      </c>
      <c r="E170" s="419">
        <f t="shared" ref="E170:N170" si="120">calcY2Q3MSExp</f>
        <v>24867468.254377756</v>
      </c>
      <c r="F170" s="419">
        <f t="shared" si="120"/>
        <v>24867468.254377756</v>
      </c>
      <c r="G170" s="419">
        <f t="shared" si="120"/>
        <v>24867468.254377756</v>
      </c>
      <c r="H170" s="419">
        <f t="shared" si="120"/>
        <v>24867468.254377756</v>
      </c>
      <c r="I170" s="419">
        <f t="shared" si="120"/>
        <v>24867468.254377756</v>
      </c>
      <c r="J170" s="419">
        <f t="shared" si="120"/>
        <v>24867468.254377756</v>
      </c>
      <c r="K170" s="419">
        <f t="shared" si="120"/>
        <v>24867468.254377756</v>
      </c>
      <c r="L170" s="419">
        <f t="shared" si="120"/>
        <v>24867468.254377756</v>
      </c>
      <c r="M170" s="419">
        <f t="shared" si="120"/>
        <v>24867468.254377756</v>
      </c>
      <c r="N170" s="419">
        <f t="shared" si="120"/>
        <v>24867468.254377756</v>
      </c>
      <c r="O170" t="s">
        <v>1591</v>
      </c>
    </row>
    <row r="171" spans="1:15">
      <c r="D171" t="s">
        <v>1611</v>
      </c>
      <c r="E171" s="419">
        <f t="shared" ref="E171:N171" si="121">calcY2Q4MSExp</f>
        <v>28514311.318730175</v>
      </c>
      <c r="F171" s="419">
        <f t="shared" si="121"/>
        <v>28514311.318730175</v>
      </c>
      <c r="G171" s="419">
        <f t="shared" si="121"/>
        <v>28514311.318730175</v>
      </c>
      <c r="H171" s="419">
        <f t="shared" si="121"/>
        <v>28514311.318730175</v>
      </c>
      <c r="I171" s="419">
        <f t="shared" si="121"/>
        <v>28514311.318730175</v>
      </c>
      <c r="J171" s="419">
        <f t="shared" si="121"/>
        <v>28514311.318730175</v>
      </c>
      <c r="K171" s="419">
        <f t="shared" si="121"/>
        <v>28514311.318730175</v>
      </c>
      <c r="L171" s="419">
        <f t="shared" si="121"/>
        <v>28514311.318730175</v>
      </c>
      <c r="M171" s="419">
        <f t="shared" si="121"/>
        <v>28514311.318730175</v>
      </c>
      <c r="N171" s="419">
        <f t="shared" si="121"/>
        <v>28514311.318730175</v>
      </c>
      <c r="O171" t="s">
        <v>1612</v>
      </c>
    </row>
    <row r="172" spans="1:15" s="65" customFormat="1">
      <c r="D172" s="65" t="s">
        <v>949</v>
      </c>
      <c r="E172" s="420">
        <f t="shared" ref="E172:N172" si="122">finY2Q1MSExp+finY2Q2MSExp+finY2Q3MSExp+finY2Q4MSExp</f>
        <v>96752370.557112426</v>
      </c>
      <c r="F172" s="420">
        <f t="shared" si="122"/>
        <v>96752370.557112426</v>
      </c>
      <c r="G172" s="420">
        <f t="shared" si="122"/>
        <v>96752370.557112426</v>
      </c>
      <c r="H172" s="420">
        <f t="shared" si="122"/>
        <v>96752370.557112426</v>
      </c>
      <c r="I172" s="420">
        <f t="shared" si="122"/>
        <v>96752370.557112426</v>
      </c>
      <c r="J172" s="420">
        <f t="shared" si="122"/>
        <v>96752370.557112426</v>
      </c>
      <c r="K172" s="420">
        <f t="shared" si="122"/>
        <v>96752370.557112426</v>
      </c>
      <c r="L172" s="420">
        <f t="shared" si="122"/>
        <v>96752370.557112426</v>
      </c>
      <c r="M172" s="420">
        <f t="shared" si="122"/>
        <v>96752370.557112426</v>
      </c>
      <c r="N172" s="420">
        <f t="shared" si="122"/>
        <v>96752370.557112426</v>
      </c>
      <c r="O172" s="65" t="s">
        <v>1629</v>
      </c>
    </row>
    <row r="173" spans="1:15">
      <c r="C173" t="s">
        <v>424</v>
      </c>
    </row>
    <row r="174" spans="1:15">
      <c r="D174" t="s">
        <v>1550</v>
      </c>
      <c r="E174" s="419">
        <f t="shared" ref="E174:N174" si="123">calcY2Q1RDExp</f>
        <v>15668609.728819789</v>
      </c>
      <c r="F174" s="419">
        <f t="shared" si="123"/>
        <v>15668609.728819789</v>
      </c>
      <c r="G174" s="419">
        <f t="shared" si="123"/>
        <v>15668609.728819789</v>
      </c>
      <c r="H174" s="419">
        <f t="shared" si="123"/>
        <v>15668609.728819789</v>
      </c>
      <c r="I174" s="419">
        <f t="shared" si="123"/>
        <v>15668609.728819789</v>
      </c>
      <c r="J174" s="419">
        <f t="shared" si="123"/>
        <v>15668609.728819789</v>
      </c>
      <c r="K174" s="419">
        <f t="shared" si="123"/>
        <v>15668609.728819789</v>
      </c>
      <c r="L174" s="419">
        <f t="shared" si="123"/>
        <v>15668609.728819789</v>
      </c>
      <c r="M174" s="419">
        <f t="shared" si="123"/>
        <v>15668609.728819789</v>
      </c>
      <c r="N174" s="419">
        <f t="shared" si="123"/>
        <v>15668609.728819789</v>
      </c>
      <c r="O174" t="s">
        <v>1551</v>
      </c>
    </row>
    <row r="175" spans="1:15">
      <c r="D175" t="s">
        <v>1571</v>
      </c>
      <c r="E175" s="419">
        <f t="shared" ref="E175:N175" si="124">calcY2Q2RDExp</f>
        <v>16786237.007525142</v>
      </c>
      <c r="F175" s="419">
        <f t="shared" si="124"/>
        <v>16786237.007525142</v>
      </c>
      <c r="G175" s="419">
        <f t="shared" si="124"/>
        <v>16786237.007525142</v>
      </c>
      <c r="H175" s="419">
        <f t="shared" si="124"/>
        <v>16786237.007525142</v>
      </c>
      <c r="I175" s="419">
        <f t="shared" si="124"/>
        <v>16786237.007525142</v>
      </c>
      <c r="J175" s="419">
        <f t="shared" si="124"/>
        <v>16786237.007525142</v>
      </c>
      <c r="K175" s="419">
        <f t="shared" si="124"/>
        <v>16786237.007525142</v>
      </c>
      <c r="L175" s="419">
        <f t="shared" si="124"/>
        <v>16786237.007525142</v>
      </c>
      <c r="M175" s="419">
        <f t="shared" si="124"/>
        <v>16786237.007525142</v>
      </c>
      <c r="N175" s="419">
        <f t="shared" si="124"/>
        <v>16786237.007525142</v>
      </c>
      <c r="O175" t="s">
        <v>1572</v>
      </c>
    </row>
    <row r="176" spans="1:15">
      <c r="D176" t="s">
        <v>1592</v>
      </c>
      <c r="E176" s="419">
        <f t="shared" ref="E176:N176" si="125">calcY2Q3RDExp</f>
        <v>18608689.727433246</v>
      </c>
      <c r="F176" s="419">
        <f t="shared" si="125"/>
        <v>18608689.727433246</v>
      </c>
      <c r="G176" s="419">
        <f t="shared" si="125"/>
        <v>18608689.727433246</v>
      </c>
      <c r="H176" s="419">
        <f t="shared" si="125"/>
        <v>18608689.727433246</v>
      </c>
      <c r="I176" s="419">
        <f t="shared" si="125"/>
        <v>18608689.727433246</v>
      </c>
      <c r="J176" s="419">
        <f t="shared" si="125"/>
        <v>18608689.727433246</v>
      </c>
      <c r="K176" s="419">
        <f t="shared" si="125"/>
        <v>18608689.727433246</v>
      </c>
      <c r="L176" s="419">
        <f t="shared" si="125"/>
        <v>18608689.727433246</v>
      </c>
      <c r="M176" s="419">
        <f t="shared" si="125"/>
        <v>18608689.727433246</v>
      </c>
      <c r="N176" s="419">
        <f t="shared" si="125"/>
        <v>18608689.727433246</v>
      </c>
      <c r="O176" t="s">
        <v>1593</v>
      </c>
    </row>
    <row r="177" spans="1:15">
      <c r="D177" t="s">
        <v>1613</v>
      </c>
      <c r="E177" s="419">
        <f t="shared" ref="E177:N177" si="126">calcY2Q4RDExp</f>
        <v>21337675.660982355</v>
      </c>
      <c r="F177" s="419">
        <f t="shared" si="126"/>
        <v>21337675.660982355</v>
      </c>
      <c r="G177" s="419">
        <f t="shared" si="126"/>
        <v>21337675.660982355</v>
      </c>
      <c r="H177" s="419">
        <f t="shared" si="126"/>
        <v>21337675.660982355</v>
      </c>
      <c r="I177" s="419">
        <f t="shared" si="126"/>
        <v>21337675.660982355</v>
      </c>
      <c r="J177" s="419">
        <f t="shared" si="126"/>
        <v>21337675.660982355</v>
      </c>
      <c r="K177" s="419">
        <f t="shared" si="126"/>
        <v>21337675.660982355</v>
      </c>
      <c r="L177" s="419">
        <f t="shared" si="126"/>
        <v>21337675.660982355</v>
      </c>
      <c r="M177" s="419">
        <f t="shared" si="126"/>
        <v>21337675.660982355</v>
      </c>
      <c r="N177" s="419">
        <f t="shared" si="126"/>
        <v>21337675.660982355</v>
      </c>
      <c r="O177" t="s">
        <v>1614</v>
      </c>
    </row>
    <row r="178" spans="1:15" s="65" customFormat="1">
      <c r="D178" s="65" t="s">
        <v>1109</v>
      </c>
      <c r="E178" s="420">
        <f t="shared" ref="E178:N178" si="127">finY2Q1RDExp+finY2Q2RDExp+finY2Q3RDExp+finY2Q4RDExp</f>
        <v>72401212.124760538</v>
      </c>
      <c r="F178" s="420">
        <f t="shared" si="127"/>
        <v>72401212.124760538</v>
      </c>
      <c r="G178" s="420">
        <f t="shared" si="127"/>
        <v>72401212.124760538</v>
      </c>
      <c r="H178" s="420">
        <f t="shared" si="127"/>
        <v>72401212.124760538</v>
      </c>
      <c r="I178" s="420">
        <f t="shared" si="127"/>
        <v>72401212.124760538</v>
      </c>
      <c r="J178" s="420">
        <f t="shared" si="127"/>
        <v>72401212.124760538</v>
      </c>
      <c r="K178" s="420">
        <f t="shared" si="127"/>
        <v>72401212.124760538</v>
      </c>
      <c r="L178" s="420">
        <f t="shared" si="127"/>
        <v>72401212.124760538</v>
      </c>
      <c r="M178" s="420">
        <f t="shared" si="127"/>
        <v>72401212.124760538</v>
      </c>
      <c r="N178" s="420">
        <f t="shared" si="127"/>
        <v>72401212.124760538</v>
      </c>
      <c r="O178" s="65" t="s">
        <v>1630</v>
      </c>
    </row>
    <row r="179" spans="1:15">
      <c r="C179" t="s">
        <v>403</v>
      </c>
    </row>
    <row r="180" spans="1:15">
      <c r="D180" t="s">
        <v>1552</v>
      </c>
      <c r="E180" s="419">
        <f t="shared" ref="E180:N180" si="128">calcY2Q1GAExp</f>
        <v>9975210.9985279143</v>
      </c>
      <c r="F180" s="419">
        <f t="shared" si="128"/>
        <v>9975210.9985279143</v>
      </c>
      <c r="G180" s="419">
        <f t="shared" si="128"/>
        <v>9975210.9985279143</v>
      </c>
      <c r="H180" s="419">
        <f t="shared" si="128"/>
        <v>9975210.9985279143</v>
      </c>
      <c r="I180" s="419">
        <f t="shared" si="128"/>
        <v>9975210.9985279143</v>
      </c>
      <c r="J180" s="419">
        <f t="shared" si="128"/>
        <v>9975210.9985279143</v>
      </c>
      <c r="K180" s="419">
        <f t="shared" si="128"/>
        <v>9975210.9985279143</v>
      </c>
      <c r="L180" s="419">
        <f t="shared" si="128"/>
        <v>9975210.9985279143</v>
      </c>
      <c r="M180" s="419">
        <f t="shared" si="128"/>
        <v>9975210.9985279143</v>
      </c>
      <c r="N180" s="419">
        <f t="shared" si="128"/>
        <v>9975210.9985279143</v>
      </c>
      <c r="O180" t="s">
        <v>1553</v>
      </c>
    </row>
    <row r="181" spans="1:15">
      <c r="D181" t="s">
        <v>1573</v>
      </c>
      <c r="E181" s="419">
        <f t="shared" ref="E181:N181" si="129">calcY2Q2GAExp</f>
        <v>10686733.470256248</v>
      </c>
      <c r="F181" s="419">
        <f t="shared" si="129"/>
        <v>10686733.470256248</v>
      </c>
      <c r="G181" s="419">
        <f t="shared" si="129"/>
        <v>10686733.470256248</v>
      </c>
      <c r="H181" s="419">
        <f t="shared" si="129"/>
        <v>10686733.470256248</v>
      </c>
      <c r="I181" s="419">
        <f t="shared" si="129"/>
        <v>10686733.470256248</v>
      </c>
      <c r="J181" s="419">
        <f t="shared" si="129"/>
        <v>10686733.470256248</v>
      </c>
      <c r="K181" s="419">
        <f t="shared" si="129"/>
        <v>10686733.470256248</v>
      </c>
      <c r="L181" s="419">
        <f t="shared" si="129"/>
        <v>10686733.470256248</v>
      </c>
      <c r="M181" s="419">
        <f t="shared" si="129"/>
        <v>10686733.470256248</v>
      </c>
      <c r="N181" s="419">
        <f t="shared" si="129"/>
        <v>10686733.470256248</v>
      </c>
      <c r="O181" t="s">
        <v>1574</v>
      </c>
    </row>
    <row r="182" spans="1:15">
      <c r="D182" t="s">
        <v>1594</v>
      </c>
      <c r="E182" s="419">
        <f t="shared" ref="E182:N182" si="130">calcY2Q3GAExp</f>
        <v>11846973.64028783</v>
      </c>
      <c r="F182" s="419">
        <f t="shared" si="130"/>
        <v>11846973.64028783</v>
      </c>
      <c r="G182" s="419">
        <f t="shared" si="130"/>
        <v>11846973.64028783</v>
      </c>
      <c r="H182" s="419">
        <f t="shared" si="130"/>
        <v>11846973.64028783</v>
      </c>
      <c r="I182" s="419">
        <f t="shared" si="130"/>
        <v>11846973.64028783</v>
      </c>
      <c r="J182" s="419">
        <f t="shared" si="130"/>
        <v>11846973.64028783</v>
      </c>
      <c r="K182" s="419">
        <f t="shared" si="130"/>
        <v>11846973.64028783</v>
      </c>
      <c r="L182" s="419">
        <f t="shared" si="130"/>
        <v>11846973.64028783</v>
      </c>
      <c r="M182" s="419">
        <f t="shared" si="130"/>
        <v>11846973.64028783</v>
      </c>
      <c r="N182" s="419">
        <f t="shared" si="130"/>
        <v>11846973.64028783</v>
      </c>
      <c r="O182" t="s">
        <v>1595</v>
      </c>
    </row>
    <row r="183" spans="1:15">
      <c r="D183" t="s">
        <v>1615</v>
      </c>
      <c r="E183" s="419">
        <f t="shared" ref="E183:N183" si="131">calcY2Q4GAExp</f>
        <v>13584346.066451227</v>
      </c>
      <c r="F183" s="419">
        <f t="shared" si="131"/>
        <v>13584346.066451227</v>
      </c>
      <c r="G183" s="419">
        <f t="shared" si="131"/>
        <v>13584346.066451227</v>
      </c>
      <c r="H183" s="419">
        <f t="shared" si="131"/>
        <v>13584346.066451227</v>
      </c>
      <c r="I183" s="419">
        <f t="shared" si="131"/>
        <v>13584346.066451227</v>
      </c>
      <c r="J183" s="419">
        <f t="shared" si="131"/>
        <v>13584346.066451227</v>
      </c>
      <c r="K183" s="419">
        <f t="shared" si="131"/>
        <v>13584346.066451227</v>
      </c>
      <c r="L183" s="419">
        <f t="shared" si="131"/>
        <v>13584346.066451227</v>
      </c>
      <c r="M183" s="419">
        <f t="shared" si="131"/>
        <v>13584346.066451227</v>
      </c>
      <c r="N183" s="419">
        <f t="shared" si="131"/>
        <v>13584346.066451227</v>
      </c>
      <c r="O183" t="s">
        <v>1616</v>
      </c>
    </row>
    <row r="184" spans="1:15" s="65" customFormat="1">
      <c r="D184" s="65" t="s">
        <v>1104</v>
      </c>
      <c r="E184" s="420">
        <f t="shared" ref="E184:N184" si="132">finY2Q1GAExp+finY2Q2GAExp+finY2Q3GAExp+finY2Q4GAExp</f>
        <v>46093264.175523221</v>
      </c>
      <c r="F184" s="420">
        <f t="shared" si="132"/>
        <v>46093264.175523221</v>
      </c>
      <c r="G184" s="420">
        <f t="shared" si="132"/>
        <v>46093264.175523221</v>
      </c>
      <c r="H184" s="420">
        <f t="shared" si="132"/>
        <v>46093264.175523221</v>
      </c>
      <c r="I184" s="420">
        <f t="shared" si="132"/>
        <v>46093264.175523221</v>
      </c>
      <c r="J184" s="420">
        <f t="shared" si="132"/>
        <v>46093264.175523221</v>
      </c>
      <c r="K184" s="420">
        <f t="shared" si="132"/>
        <v>46093264.175523221</v>
      </c>
      <c r="L184" s="420">
        <f t="shared" si="132"/>
        <v>46093264.175523221</v>
      </c>
      <c r="M184" s="420">
        <f t="shared" si="132"/>
        <v>46093264.175523221</v>
      </c>
      <c r="N184" s="420">
        <f t="shared" si="132"/>
        <v>46093264.175523221</v>
      </c>
      <c r="O184" s="65" t="s">
        <v>1631</v>
      </c>
    </row>
    <row r="186" spans="1:15">
      <c r="D186" t="s">
        <v>426</v>
      </c>
      <c r="E186" s="419">
        <f t="shared" ref="E186:N186" si="133">finY2AnnualGrossProfit-finY2AnnualMSExp-finY2AnnualRDExp-finY2AnnualGAExp</f>
        <v>-38373668.470346153</v>
      </c>
      <c r="F186" s="419">
        <f t="shared" si="133"/>
        <v>-38373668.470346153</v>
      </c>
      <c r="G186" s="419">
        <f t="shared" si="133"/>
        <v>-38373668.470346153</v>
      </c>
      <c r="H186" s="419">
        <f t="shared" si="133"/>
        <v>-38373668.470346153</v>
      </c>
      <c r="I186" s="419">
        <f t="shared" si="133"/>
        <v>-38373668.470346153</v>
      </c>
      <c r="J186" s="419">
        <f t="shared" si="133"/>
        <v>-38373668.470346153</v>
      </c>
      <c r="K186" s="419">
        <f t="shared" si="133"/>
        <v>-38373668.470346153</v>
      </c>
      <c r="L186" s="419">
        <f t="shared" si="133"/>
        <v>-38373668.470346153</v>
      </c>
      <c r="M186" s="419">
        <f t="shared" si="133"/>
        <v>-38373668.470346153</v>
      </c>
      <c r="N186" s="419">
        <f t="shared" si="133"/>
        <v>-38373668.470346153</v>
      </c>
      <c r="O186" t="s">
        <v>1632</v>
      </c>
    </row>
    <row r="187" spans="1:15" s="295" customFormat="1">
      <c r="D187" s="421" t="s">
        <v>967</v>
      </c>
      <c r="E187" s="422">
        <f t="shared" ref="E187:N187" si="134">finY2AnnualOpProfit/FinY2AnnualRev</f>
        <v>-0.17356466964764275</v>
      </c>
      <c r="F187" s="422">
        <f t="shared" si="134"/>
        <v>-0.17356466964764275</v>
      </c>
      <c r="G187" s="422">
        <f t="shared" si="134"/>
        <v>-0.17356466964764275</v>
      </c>
      <c r="H187" s="422">
        <f t="shared" si="134"/>
        <v>-0.17356466964764275</v>
      </c>
      <c r="I187" s="422">
        <f t="shared" si="134"/>
        <v>-0.17356466964764275</v>
      </c>
      <c r="J187" s="422">
        <f t="shared" si="134"/>
        <v>-0.17356466964764275</v>
      </c>
      <c r="K187" s="422">
        <f t="shared" si="134"/>
        <v>-0.17356466964764275</v>
      </c>
      <c r="L187" s="422">
        <f t="shared" si="134"/>
        <v>-0.17356466964764275</v>
      </c>
      <c r="M187" s="422">
        <f t="shared" si="134"/>
        <v>-0.17356466964764275</v>
      </c>
      <c r="N187" s="422">
        <f t="shared" si="134"/>
        <v>-0.17356466964764275</v>
      </c>
      <c r="O187" s="295" t="s">
        <v>1633</v>
      </c>
    </row>
    <row r="189" spans="1:15">
      <c r="A189" t="s">
        <v>466</v>
      </c>
    </row>
    <row r="190" spans="1:15">
      <c r="C190" t="s">
        <v>467</v>
      </c>
    </row>
    <row r="191" spans="1:15">
      <c r="D191" t="s">
        <v>1403</v>
      </c>
      <c r="E191" s="419">
        <f t="shared" ref="E191:N191" si="135">calcY2Q1HarmExp</f>
        <v>0</v>
      </c>
      <c r="F191" s="419">
        <f t="shared" si="135"/>
        <v>0</v>
      </c>
      <c r="G191" s="419">
        <f t="shared" si="135"/>
        <v>0</v>
      </c>
      <c r="H191" s="419">
        <f t="shared" si="135"/>
        <v>0</v>
      </c>
      <c r="I191" s="419">
        <f t="shared" si="135"/>
        <v>0</v>
      </c>
      <c r="J191" s="419">
        <f t="shared" si="135"/>
        <v>0</v>
      </c>
      <c r="K191" s="419">
        <f t="shared" si="135"/>
        <v>0</v>
      </c>
      <c r="L191" s="419">
        <f t="shared" si="135"/>
        <v>0</v>
      </c>
      <c r="M191" s="419">
        <f t="shared" si="135"/>
        <v>0</v>
      </c>
      <c r="N191" s="419">
        <f t="shared" si="135"/>
        <v>0</v>
      </c>
      <c r="O191" t="s">
        <v>1554</v>
      </c>
    </row>
    <row r="192" spans="1:15">
      <c r="D192" t="s">
        <v>1437</v>
      </c>
      <c r="E192" s="419">
        <f t="shared" ref="E192:N192" si="136">calcY2Q2HarmExp</f>
        <v>0</v>
      </c>
      <c r="F192" s="419">
        <f t="shared" si="136"/>
        <v>0</v>
      </c>
      <c r="G192" s="419">
        <f t="shared" si="136"/>
        <v>0</v>
      </c>
      <c r="H192" s="419">
        <f t="shared" si="136"/>
        <v>0</v>
      </c>
      <c r="I192" s="419">
        <f t="shared" si="136"/>
        <v>0</v>
      </c>
      <c r="J192" s="419">
        <f t="shared" si="136"/>
        <v>0</v>
      </c>
      <c r="K192" s="419">
        <f t="shared" si="136"/>
        <v>0</v>
      </c>
      <c r="L192" s="419">
        <f t="shared" si="136"/>
        <v>0</v>
      </c>
      <c r="M192" s="419">
        <f t="shared" si="136"/>
        <v>0</v>
      </c>
      <c r="N192" s="419">
        <f t="shared" si="136"/>
        <v>0</v>
      </c>
      <c r="O192" t="s">
        <v>1575</v>
      </c>
    </row>
    <row r="193" spans="3:15">
      <c r="D193" t="s">
        <v>1471</v>
      </c>
      <c r="E193" s="419">
        <f t="shared" ref="E193:N193" si="137">calcY2Q3HarmExp</f>
        <v>0</v>
      </c>
      <c r="F193" s="419">
        <f t="shared" si="137"/>
        <v>0</v>
      </c>
      <c r="G193" s="419">
        <f t="shared" si="137"/>
        <v>0</v>
      </c>
      <c r="H193" s="419">
        <f t="shared" si="137"/>
        <v>0</v>
      </c>
      <c r="I193" s="419">
        <f t="shared" si="137"/>
        <v>0</v>
      </c>
      <c r="J193" s="419">
        <f t="shared" si="137"/>
        <v>0</v>
      </c>
      <c r="K193" s="419">
        <f t="shared" si="137"/>
        <v>0</v>
      </c>
      <c r="L193" s="419">
        <f t="shared" si="137"/>
        <v>0</v>
      </c>
      <c r="M193" s="419">
        <f t="shared" si="137"/>
        <v>0</v>
      </c>
      <c r="N193" s="419">
        <f t="shared" si="137"/>
        <v>0</v>
      </c>
      <c r="O193" t="s">
        <v>1596</v>
      </c>
    </row>
    <row r="194" spans="3:15">
      <c r="D194" t="s">
        <v>1505</v>
      </c>
      <c r="E194" s="419">
        <f t="shared" ref="E194:N194" si="138">calcY2Q4HarmExp</f>
        <v>0</v>
      </c>
      <c r="F194" s="419">
        <f t="shared" si="138"/>
        <v>0</v>
      </c>
      <c r="G194" s="419">
        <f t="shared" si="138"/>
        <v>0</v>
      </c>
      <c r="H194" s="419">
        <f t="shared" si="138"/>
        <v>0</v>
      </c>
      <c r="I194" s="419">
        <f t="shared" si="138"/>
        <v>0</v>
      </c>
      <c r="J194" s="419">
        <f t="shared" si="138"/>
        <v>0</v>
      </c>
      <c r="K194" s="419">
        <f t="shared" si="138"/>
        <v>0</v>
      </c>
      <c r="L194" s="419">
        <f t="shared" si="138"/>
        <v>0</v>
      </c>
      <c r="M194" s="419">
        <f t="shared" si="138"/>
        <v>0</v>
      </c>
      <c r="N194" s="419">
        <f t="shared" si="138"/>
        <v>0</v>
      </c>
      <c r="O194" t="s">
        <v>1617</v>
      </c>
    </row>
    <row r="195" spans="3:15" s="65" customFormat="1">
      <c r="D195" s="65" t="s">
        <v>1003</v>
      </c>
      <c r="E195" s="420">
        <f t="shared" ref="E195:N195" si="139">finY2Q1HarmExp+finY2Q2HarmExp+finY2Q3HarmExp+finY2Q4HarmExp</f>
        <v>0</v>
      </c>
      <c r="F195" s="420">
        <f t="shared" si="139"/>
        <v>0</v>
      </c>
      <c r="G195" s="420">
        <f t="shared" si="139"/>
        <v>0</v>
      </c>
      <c r="H195" s="420">
        <f t="shared" si="139"/>
        <v>0</v>
      </c>
      <c r="I195" s="420">
        <f t="shared" si="139"/>
        <v>0</v>
      </c>
      <c r="J195" s="420">
        <f t="shared" si="139"/>
        <v>0</v>
      </c>
      <c r="K195" s="420">
        <f t="shared" si="139"/>
        <v>0</v>
      </c>
      <c r="L195" s="420">
        <f t="shared" si="139"/>
        <v>0</v>
      </c>
      <c r="M195" s="420">
        <f t="shared" si="139"/>
        <v>0</v>
      </c>
      <c r="N195" s="420">
        <f t="shared" si="139"/>
        <v>0</v>
      </c>
      <c r="O195" s="65" t="s">
        <v>1634</v>
      </c>
    </row>
    <row r="196" spans="3:15" s="65" customFormat="1">
      <c r="C196" s="65" t="s">
        <v>401</v>
      </c>
      <c r="E196" s="420"/>
      <c r="F196" s="420"/>
      <c r="G196" s="420"/>
      <c r="H196" s="420"/>
      <c r="I196" s="420"/>
      <c r="J196" s="420"/>
      <c r="K196" s="420"/>
      <c r="L196" s="420"/>
      <c r="M196" s="420"/>
      <c r="N196" s="420"/>
    </row>
    <row r="197" spans="3:15">
      <c r="D197" t="s">
        <v>1407</v>
      </c>
      <c r="E197" s="419">
        <f t="shared" ref="E197:N197" si="140">calcY2Q1ITExp</f>
        <v>0</v>
      </c>
      <c r="F197" s="419">
        <f t="shared" si="140"/>
        <v>0</v>
      </c>
      <c r="G197" s="419">
        <f t="shared" si="140"/>
        <v>0</v>
      </c>
      <c r="H197" s="419">
        <f t="shared" si="140"/>
        <v>0</v>
      </c>
      <c r="I197" s="419">
        <f t="shared" si="140"/>
        <v>0</v>
      </c>
      <c r="J197" s="419">
        <f t="shared" si="140"/>
        <v>0</v>
      </c>
      <c r="K197" s="419">
        <f t="shared" si="140"/>
        <v>0</v>
      </c>
      <c r="L197" s="419">
        <f t="shared" si="140"/>
        <v>0</v>
      </c>
      <c r="M197" s="419">
        <f t="shared" si="140"/>
        <v>0</v>
      </c>
      <c r="N197" s="419">
        <f t="shared" si="140"/>
        <v>0</v>
      </c>
      <c r="O197" t="s">
        <v>1555</v>
      </c>
    </row>
    <row r="198" spans="3:15">
      <c r="D198" t="s">
        <v>1441</v>
      </c>
      <c r="E198" s="419">
        <f t="shared" ref="E198:N198" si="141">calcY2Q2ITExp</f>
        <v>0</v>
      </c>
      <c r="F198" s="419">
        <f t="shared" si="141"/>
        <v>0</v>
      </c>
      <c r="G198" s="419">
        <f t="shared" si="141"/>
        <v>0</v>
      </c>
      <c r="H198" s="419">
        <f t="shared" si="141"/>
        <v>0</v>
      </c>
      <c r="I198" s="419">
        <f t="shared" si="141"/>
        <v>0</v>
      </c>
      <c r="J198" s="419">
        <f t="shared" si="141"/>
        <v>0</v>
      </c>
      <c r="K198" s="419">
        <f t="shared" si="141"/>
        <v>0</v>
      </c>
      <c r="L198" s="419">
        <f t="shared" si="141"/>
        <v>0</v>
      </c>
      <c r="M198" s="419">
        <f t="shared" si="141"/>
        <v>0</v>
      </c>
      <c r="N198" s="419">
        <f t="shared" si="141"/>
        <v>0</v>
      </c>
      <c r="O198" t="s">
        <v>1576</v>
      </c>
    </row>
    <row r="199" spans="3:15">
      <c r="D199" t="s">
        <v>1475</v>
      </c>
      <c r="E199" s="419">
        <f t="shared" ref="E199:N199" si="142">calcY2Q3ITExp</f>
        <v>0</v>
      </c>
      <c r="F199" s="419">
        <f t="shared" si="142"/>
        <v>0</v>
      </c>
      <c r="G199" s="419">
        <f t="shared" si="142"/>
        <v>0</v>
      </c>
      <c r="H199" s="419">
        <f t="shared" si="142"/>
        <v>0</v>
      </c>
      <c r="I199" s="419">
        <f t="shared" si="142"/>
        <v>0</v>
      </c>
      <c r="J199" s="419">
        <f t="shared" si="142"/>
        <v>0</v>
      </c>
      <c r="K199" s="419">
        <f t="shared" si="142"/>
        <v>0</v>
      </c>
      <c r="L199" s="419">
        <f t="shared" si="142"/>
        <v>0</v>
      </c>
      <c r="M199" s="419">
        <f t="shared" si="142"/>
        <v>0</v>
      </c>
      <c r="N199" s="419">
        <f t="shared" si="142"/>
        <v>0</v>
      </c>
      <c r="O199" t="s">
        <v>1597</v>
      </c>
    </row>
    <row r="200" spans="3:15">
      <c r="D200" t="s">
        <v>1509</v>
      </c>
      <c r="E200" s="419">
        <f t="shared" ref="E200:N200" si="143">calcY2Q4ITExp</f>
        <v>0</v>
      </c>
      <c r="F200" s="419">
        <f t="shared" si="143"/>
        <v>0</v>
      </c>
      <c r="G200" s="419">
        <f t="shared" si="143"/>
        <v>0</v>
      </c>
      <c r="H200" s="419">
        <f t="shared" si="143"/>
        <v>0</v>
      </c>
      <c r="I200" s="419">
        <f t="shared" si="143"/>
        <v>0</v>
      </c>
      <c r="J200" s="419">
        <f t="shared" si="143"/>
        <v>0</v>
      </c>
      <c r="K200" s="419">
        <f t="shared" si="143"/>
        <v>0</v>
      </c>
      <c r="L200" s="419">
        <f t="shared" si="143"/>
        <v>0</v>
      </c>
      <c r="M200" s="419">
        <f t="shared" si="143"/>
        <v>0</v>
      </c>
      <c r="N200" s="419">
        <f t="shared" si="143"/>
        <v>0</v>
      </c>
      <c r="O200" t="s">
        <v>1618</v>
      </c>
    </row>
    <row r="201" spans="3:15" s="65" customFormat="1">
      <c r="D201" s="65" t="s">
        <v>1022</v>
      </c>
      <c r="E201" s="420">
        <f t="shared" ref="E201:N201" si="144">finY2Q1ITExp+finY2Q2ITExp+finY2Q3ITExp+finY2Q4ITExp</f>
        <v>0</v>
      </c>
      <c r="F201" s="420">
        <f t="shared" si="144"/>
        <v>0</v>
      </c>
      <c r="G201" s="420">
        <f t="shared" si="144"/>
        <v>0</v>
      </c>
      <c r="H201" s="420">
        <f t="shared" si="144"/>
        <v>0</v>
      </c>
      <c r="I201" s="420">
        <f t="shared" si="144"/>
        <v>0</v>
      </c>
      <c r="J201" s="420">
        <f t="shared" si="144"/>
        <v>0</v>
      </c>
      <c r="K201" s="420">
        <f t="shared" si="144"/>
        <v>0</v>
      </c>
      <c r="L201" s="420">
        <f t="shared" si="144"/>
        <v>0</v>
      </c>
      <c r="M201" s="420">
        <f t="shared" si="144"/>
        <v>0</v>
      </c>
      <c r="N201" s="420">
        <f t="shared" si="144"/>
        <v>0</v>
      </c>
      <c r="O201" s="65" t="s">
        <v>1635</v>
      </c>
    </row>
    <row r="202" spans="3:15">
      <c r="C202" t="s">
        <v>1332</v>
      </c>
    </row>
    <row r="203" spans="3:15">
      <c r="D203" t="s">
        <v>1556</v>
      </c>
      <c r="E203" s="419">
        <f t="shared" ref="E203:N203" si="145">calcY2Q1FullREExp</f>
        <v>0</v>
      </c>
      <c r="F203" s="419">
        <f t="shared" si="145"/>
        <v>0</v>
      </c>
      <c r="G203" s="419">
        <f t="shared" si="145"/>
        <v>0</v>
      </c>
      <c r="H203" s="419">
        <f t="shared" si="145"/>
        <v>0</v>
      </c>
      <c r="I203" s="419">
        <f t="shared" si="145"/>
        <v>0</v>
      </c>
      <c r="J203" s="419">
        <f t="shared" si="145"/>
        <v>0</v>
      </c>
      <c r="K203" s="419">
        <f t="shared" si="145"/>
        <v>0</v>
      </c>
      <c r="L203" s="419">
        <f t="shared" si="145"/>
        <v>0</v>
      </c>
      <c r="M203" s="419">
        <f t="shared" si="145"/>
        <v>0</v>
      </c>
      <c r="N203" s="419">
        <f t="shared" si="145"/>
        <v>0</v>
      </c>
      <c r="O203" t="s">
        <v>1557</v>
      </c>
    </row>
    <row r="204" spans="3:15">
      <c r="D204" t="s">
        <v>1577</v>
      </c>
      <c r="E204" s="419">
        <f t="shared" ref="E204:N204" si="146">calcY2Q2FullREExp</f>
        <v>0</v>
      </c>
      <c r="F204" s="419">
        <f t="shared" si="146"/>
        <v>0</v>
      </c>
      <c r="G204" s="419">
        <f t="shared" si="146"/>
        <v>0</v>
      </c>
      <c r="H204" s="419">
        <f t="shared" si="146"/>
        <v>0</v>
      </c>
      <c r="I204" s="419">
        <f t="shared" si="146"/>
        <v>0</v>
      </c>
      <c r="J204" s="419">
        <f t="shared" si="146"/>
        <v>0</v>
      </c>
      <c r="K204" s="419">
        <f t="shared" si="146"/>
        <v>0</v>
      </c>
      <c r="L204" s="419">
        <f t="shared" si="146"/>
        <v>0</v>
      </c>
      <c r="M204" s="419">
        <f t="shared" si="146"/>
        <v>0</v>
      </c>
      <c r="N204" s="419">
        <f t="shared" si="146"/>
        <v>0</v>
      </c>
      <c r="O204" t="s">
        <v>1578</v>
      </c>
    </row>
    <row r="205" spans="3:15">
      <c r="D205" t="s">
        <v>1598</v>
      </c>
      <c r="E205" s="419">
        <f t="shared" ref="E205:N205" si="147">calcY2Q3FullREExp</f>
        <v>0</v>
      </c>
      <c r="F205" s="419">
        <f t="shared" si="147"/>
        <v>0</v>
      </c>
      <c r="G205" s="419">
        <f t="shared" si="147"/>
        <v>0</v>
      </c>
      <c r="H205" s="419">
        <f t="shared" si="147"/>
        <v>0</v>
      </c>
      <c r="I205" s="419">
        <f t="shared" si="147"/>
        <v>0</v>
      </c>
      <c r="J205" s="419">
        <f t="shared" si="147"/>
        <v>0</v>
      </c>
      <c r="K205" s="419">
        <f t="shared" si="147"/>
        <v>0</v>
      </c>
      <c r="L205" s="419">
        <f t="shared" si="147"/>
        <v>0</v>
      </c>
      <c r="M205" s="419">
        <f t="shared" si="147"/>
        <v>0</v>
      </c>
      <c r="N205" s="419">
        <f t="shared" si="147"/>
        <v>0</v>
      </c>
      <c r="O205" t="s">
        <v>1599</v>
      </c>
    </row>
    <row r="206" spans="3:15">
      <c r="D206" t="s">
        <v>1619</v>
      </c>
      <c r="E206" s="419">
        <f t="shared" ref="E206:N206" si="148">calcY2Q4FullREExp</f>
        <v>0</v>
      </c>
      <c r="F206" s="419">
        <f t="shared" si="148"/>
        <v>0</v>
      </c>
      <c r="G206" s="419">
        <f t="shared" si="148"/>
        <v>0</v>
      </c>
      <c r="H206" s="419">
        <f t="shared" si="148"/>
        <v>0</v>
      </c>
      <c r="I206" s="419">
        <f t="shared" si="148"/>
        <v>0</v>
      </c>
      <c r="J206" s="419">
        <f t="shared" si="148"/>
        <v>0</v>
      </c>
      <c r="K206" s="419">
        <f t="shared" si="148"/>
        <v>0</v>
      </c>
      <c r="L206" s="419">
        <f t="shared" si="148"/>
        <v>0</v>
      </c>
      <c r="M206" s="419">
        <f t="shared" si="148"/>
        <v>0</v>
      </c>
      <c r="N206" s="419">
        <f t="shared" si="148"/>
        <v>0</v>
      </c>
      <c r="O206" t="s">
        <v>1620</v>
      </c>
    </row>
    <row r="207" spans="3:15" s="65" customFormat="1">
      <c r="D207" s="65" t="s">
        <v>1022</v>
      </c>
      <c r="E207" s="420">
        <f t="shared" ref="E207:N207" si="149">finY2Q1FullREExp+finY2Q2FullREExp+finY2Q3FullREExp+finY2Q4FullREExp</f>
        <v>0</v>
      </c>
      <c r="F207" s="420">
        <f t="shared" si="149"/>
        <v>0</v>
      </c>
      <c r="G207" s="420">
        <f t="shared" si="149"/>
        <v>0</v>
      </c>
      <c r="H207" s="420">
        <f t="shared" si="149"/>
        <v>0</v>
      </c>
      <c r="I207" s="420">
        <f t="shared" si="149"/>
        <v>0</v>
      </c>
      <c r="J207" s="420">
        <f t="shared" si="149"/>
        <v>0</v>
      </c>
      <c r="K207" s="420">
        <f t="shared" si="149"/>
        <v>0</v>
      </c>
      <c r="L207" s="420">
        <f t="shared" si="149"/>
        <v>0</v>
      </c>
      <c r="M207" s="420">
        <f t="shared" si="149"/>
        <v>0</v>
      </c>
      <c r="N207" s="420">
        <f t="shared" si="149"/>
        <v>0</v>
      </c>
      <c r="O207" s="65" t="s">
        <v>1636</v>
      </c>
    </row>
    <row r="208" spans="3:15">
      <c r="C208" t="s">
        <v>1333</v>
      </c>
    </row>
    <row r="209" spans="3:15">
      <c r="D209" t="s">
        <v>1411</v>
      </c>
      <c r="O209" t="s">
        <v>1558</v>
      </c>
    </row>
    <row r="210" spans="3:15">
      <c r="D210" t="s">
        <v>1445</v>
      </c>
      <c r="O210" t="s">
        <v>1579</v>
      </c>
    </row>
    <row r="211" spans="3:15">
      <c r="D211" t="s">
        <v>1479</v>
      </c>
      <c r="O211" t="s">
        <v>1600</v>
      </c>
    </row>
    <row r="212" spans="3:15">
      <c r="D212" t="s">
        <v>1513</v>
      </c>
      <c r="O212" t="s">
        <v>1621</v>
      </c>
    </row>
    <row r="213" spans="3:15" s="65" customFormat="1">
      <c r="D213" s="65" t="s">
        <v>1366</v>
      </c>
      <c r="E213" s="420"/>
      <c r="F213" s="420"/>
      <c r="G213" s="420"/>
      <c r="H213" s="420"/>
      <c r="I213" s="420"/>
      <c r="J213" s="420"/>
      <c r="K213" s="420"/>
      <c r="L213" s="420"/>
      <c r="M213" s="420"/>
      <c r="N213" s="420"/>
      <c r="O213" s="65" t="s">
        <v>1637</v>
      </c>
    </row>
    <row r="214" spans="3:15" s="65" customFormat="1">
      <c r="C214" s="65" t="s">
        <v>1057</v>
      </c>
      <c r="E214" s="420"/>
      <c r="F214" s="420"/>
      <c r="G214" s="420"/>
      <c r="H214" s="420"/>
      <c r="I214" s="420"/>
      <c r="J214" s="420"/>
      <c r="K214" s="420"/>
      <c r="L214" s="420"/>
      <c r="M214" s="420"/>
      <c r="N214" s="420"/>
    </row>
    <row r="215" spans="3:15">
      <c r="D215" t="s">
        <v>1416</v>
      </c>
      <c r="E215" s="419">
        <f t="shared" ref="E215:N215" si="150">calcY2Q1TrustExp</f>
        <v>0</v>
      </c>
      <c r="F215" s="419">
        <f t="shared" si="150"/>
        <v>0</v>
      </c>
      <c r="G215" s="419">
        <f t="shared" si="150"/>
        <v>0</v>
      </c>
      <c r="H215" s="419">
        <f t="shared" si="150"/>
        <v>0</v>
      </c>
      <c r="I215" s="419">
        <f t="shared" si="150"/>
        <v>0</v>
      </c>
      <c r="J215" s="419">
        <f t="shared" si="150"/>
        <v>0</v>
      </c>
      <c r="K215" s="419">
        <f t="shared" si="150"/>
        <v>0</v>
      </c>
      <c r="L215" s="419">
        <f t="shared" si="150"/>
        <v>0</v>
      </c>
      <c r="M215" s="419">
        <f t="shared" si="150"/>
        <v>0</v>
      </c>
      <c r="N215" s="419">
        <f t="shared" si="150"/>
        <v>0</v>
      </c>
      <c r="O215" t="s">
        <v>1559</v>
      </c>
    </row>
    <row r="216" spans="3:15">
      <c r="D216" t="s">
        <v>1450</v>
      </c>
      <c r="E216" s="419">
        <f t="shared" ref="E216:N216" si="151">calcY2Q2TrustExp</f>
        <v>0</v>
      </c>
      <c r="F216" s="419">
        <f t="shared" si="151"/>
        <v>0</v>
      </c>
      <c r="G216" s="419">
        <f t="shared" si="151"/>
        <v>0</v>
      </c>
      <c r="H216" s="419">
        <f t="shared" si="151"/>
        <v>0</v>
      </c>
      <c r="I216" s="419">
        <f t="shared" si="151"/>
        <v>0</v>
      </c>
      <c r="J216" s="419">
        <f t="shared" si="151"/>
        <v>0</v>
      </c>
      <c r="K216" s="419">
        <f t="shared" si="151"/>
        <v>0</v>
      </c>
      <c r="L216" s="419">
        <f t="shared" si="151"/>
        <v>0</v>
      </c>
      <c r="M216" s="419">
        <f t="shared" si="151"/>
        <v>0</v>
      </c>
      <c r="N216" s="419">
        <f t="shared" si="151"/>
        <v>0</v>
      </c>
      <c r="O216" t="s">
        <v>1580</v>
      </c>
    </row>
    <row r="217" spans="3:15">
      <c r="D217" t="s">
        <v>1484</v>
      </c>
      <c r="E217" s="419">
        <f t="shared" ref="E217:N217" si="152">calcY2Q3TrustExp</f>
        <v>0</v>
      </c>
      <c r="F217" s="419">
        <f t="shared" si="152"/>
        <v>0</v>
      </c>
      <c r="G217" s="419">
        <f t="shared" si="152"/>
        <v>0</v>
      </c>
      <c r="H217" s="419">
        <f t="shared" si="152"/>
        <v>0</v>
      </c>
      <c r="I217" s="419">
        <f t="shared" si="152"/>
        <v>0</v>
      </c>
      <c r="J217" s="419">
        <f t="shared" si="152"/>
        <v>0</v>
      </c>
      <c r="K217" s="419">
        <f t="shared" si="152"/>
        <v>0</v>
      </c>
      <c r="L217" s="419">
        <f t="shared" si="152"/>
        <v>0</v>
      </c>
      <c r="M217" s="419">
        <f t="shared" si="152"/>
        <v>0</v>
      </c>
      <c r="N217" s="419">
        <f t="shared" si="152"/>
        <v>0</v>
      </c>
      <c r="O217" t="s">
        <v>1601</v>
      </c>
    </row>
    <row r="218" spans="3:15">
      <c r="D218" t="s">
        <v>1518</v>
      </c>
      <c r="E218" s="419">
        <f t="shared" ref="E218:N218" si="153">calcY2Q4TrustExp</f>
        <v>0</v>
      </c>
      <c r="F218" s="419">
        <f t="shared" si="153"/>
        <v>0</v>
      </c>
      <c r="G218" s="419">
        <f t="shared" si="153"/>
        <v>0</v>
      </c>
      <c r="H218" s="419">
        <f t="shared" si="153"/>
        <v>0</v>
      </c>
      <c r="I218" s="419">
        <f t="shared" si="153"/>
        <v>0</v>
      </c>
      <c r="J218" s="419">
        <f t="shared" si="153"/>
        <v>0</v>
      </c>
      <c r="K218" s="419">
        <f t="shared" si="153"/>
        <v>0</v>
      </c>
      <c r="L218" s="419">
        <f t="shared" si="153"/>
        <v>0</v>
      </c>
      <c r="M218" s="419">
        <f t="shared" si="153"/>
        <v>0</v>
      </c>
      <c r="N218" s="419">
        <f t="shared" si="153"/>
        <v>0</v>
      </c>
      <c r="O218" t="s">
        <v>1622</v>
      </c>
    </row>
    <row r="219" spans="3:15" s="65" customFormat="1">
      <c r="D219" s="65" t="s">
        <v>1097</v>
      </c>
      <c r="E219" s="420">
        <f t="shared" ref="E219:N219" si="154">finY2Q1TrustExp+finY2Q2TrustExp+finY2Q3TrustExp+finY2Q4TrustExp</f>
        <v>0</v>
      </c>
      <c r="F219" s="420">
        <f t="shared" si="154"/>
        <v>0</v>
      </c>
      <c r="G219" s="420">
        <f t="shared" si="154"/>
        <v>0</v>
      </c>
      <c r="H219" s="420">
        <f t="shared" si="154"/>
        <v>0</v>
      </c>
      <c r="I219" s="420">
        <f t="shared" si="154"/>
        <v>0</v>
      </c>
      <c r="J219" s="420">
        <f t="shared" si="154"/>
        <v>0</v>
      </c>
      <c r="K219" s="420">
        <f t="shared" si="154"/>
        <v>0</v>
      </c>
      <c r="L219" s="420">
        <f t="shared" si="154"/>
        <v>0</v>
      </c>
      <c r="M219" s="420">
        <f t="shared" si="154"/>
        <v>0</v>
      </c>
      <c r="N219" s="420">
        <f t="shared" si="154"/>
        <v>0</v>
      </c>
      <c r="O219" s="65" t="s">
        <v>1638</v>
      </c>
    </row>
    <row r="221" spans="3:15">
      <c r="C221" t="s">
        <v>1099</v>
      </c>
    </row>
    <row r="222" spans="3:15" s="65" customFormat="1">
      <c r="C222" s="65" t="s">
        <v>1139</v>
      </c>
      <c r="E222" s="420"/>
      <c r="F222" s="420"/>
      <c r="G222" s="420"/>
      <c r="H222" s="420"/>
      <c r="I222" s="420"/>
      <c r="J222" s="420"/>
      <c r="K222" s="420"/>
      <c r="L222" s="420"/>
      <c r="M222" s="420"/>
      <c r="N222" s="420"/>
    </row>
    <row r="223" spans="3:15">
      <c r="D223" t="s">
        <v>1420</v>
      </c>
      <c r="E223" s="419">
        <f t="shared" ref="E223:N223" si="155">calcY2Q1Org62Exp</f>
        <v>0</v>
      </c>
      <c r="F223" s="419">
        <f t="shared" si="155"/>
        <v>0</v>
      </c>
      <c r="G223" s="419">
        <f t="shared" si="155"/>
        <v>0</v>
      </c>
      <c r="H223" s="419">
        <f t="shared" si="155"/>
        <v>0</v>
      </c>
      <c r="I223" s="419">
        <f t="shared" si="155"/>
        <v>0</v>
      </c>
      <c r="J223" s="419">
        <f t="shared" si="155"/>
        <v>0</v>
      </c>
      <c r="K223" s="419">
        <f t="shared" si="155"/>
        <v>0</v>
      </c>
      <c r="L223" s="419">
        <f t="shared" si="155"/>
        <v>0</v>
      </c>
      <c r="M223" s="419">
        <f t="shared" si="155"/>
        <v>0</v>
      </c>
      <c r="N223" s="419">
        <f t="shared" si="155"/>
        <v>0</v>
      </c>
      <c r="O223" t="s">
        <v>1560</v>
      </c>
    </row>
    <row r="224" spans="3:15">
      <c r="D224" t="s">
        <v>1454</v>
      </c>
      <c r="E224" s="419">
        <f t="shared" ref="E224:N224" si="156">calcY2Q2Org62Exp</f>
        <v>0</v>
      </c>
      <c r="F224" s="419">
        <f t="shared" si="156"/>
        <v>0</v>
      </c>
      <c r="G224" s="419">
        <f t="shared" si="156"/>
        <v>0</v>
      </c>
      <c r="H224" s="419">
        <f t="shared" si="156"/>
        <v>0</v>
      </c>
      <c r="I224" s="419">
        <f t="shared" si="156"/>
        <v>0</v>
      </c>
      <c r="J224" s="419">
        <f t="shared" si="156"/>
        <v>0</v>
      </c>
      <c r="K224" s="419">
        <f t="shared" si="156"/>
        <v>0</v>
      </c>
      <c r="L224" s="419">
        <f t="shared" si="156"/>
        <v>0</v>
      </c>
      <c r="M224" s="419">
        <f t="shared" si="156"/>
        <v>0</v>
      </c>
      <c r="N224" s="419">
        <f t="shared" si="156"/>
        <v>0</v>
      </c>
      <c r="O224" t="s">
        <v>1581</v>
      </c>
    </row>
    <row r="225" spans="3:15">
      <c r="D225" t="s">
        <v>1488</v>
      </c>
      <c r="E225" s="419">
        <f t="shared" ref="E225:N225" si="157">calcY2Q3Org62Exp</f>
        <v>0</v>
      </c>
      <c r="F225" s="419">
        <f t="shared" si="157"/>
        <v>0</v>
      </c>
      <c r="G225" s="419">
        <f t="shared" si="157"/>
        <v>0</v>
      </c>
      <c r="H225" s="419">
        <f t="shared" si="157"/>
        <v>0</v>
      </c>
      <c r="I225" s="419">
        <f t="shared" si="157"/>
        <v>0</v>
      </c>
      <c r="J225" s="419">
        <f t="shared" si="157"/>
        <v>0</v>
      </c>
      <c r="K225" s="419">
        <f t="shared" si="157"/>
        <v>0</v>
      </c>
      <c r="L225" s="419">
        <f t="shared" si="157"/>
        <v>0</v>
      </c>
      <c r="M225" s="419">
        <f t="shared" si="157"/>
        <v>0</v>
      </c>
      <c r="N225" s="419">
        <f t="shared" si="157"/>
        <v>0</v>
      </c>
      <c r="O225" t="s">
        <v>1602</v>
      </c>
    </row>
    <row r="226" spans="3:15">
      <c r="D226" t="s">
        <v>1522</v>
      </c>
      <c r="E226" s="419">
        <f t="shared" ref="E226:N226" si="158">calcY2Q4Org62Exp</f>
        <v>0</v>
      </c>
      <c r="F226" s="419">
        <f t="shared" si="158"/>
        <v>0</v>
      </c>
      <c r="G226" s="419">
        <f t="shared" si="158"/>
        <v>0</v>
      </c>
      <c r="H226" s="419">
        <f t="shared" si="158"/>
        <v>0</v>
      </c>
      <c r="I226" s="419">
        <f t="shared" si="158"/>
        <v>0</v>
      </c>
      <c r="J226" s="419">
        <f t="shared" si="158"/>
        <v>0</v>
      </c>
      <c r="K226" s="419">
        <f t="shared" si="158"/>
        <v>0</v>
      </c>
      <c r="L226" s="419">
        <f t="shared" si="158"/>
        <v>0</v>
      </c>
      <c r="M226" s="419">
        <f t="shared" si="158"/>
        <v>0</v>
      </c>
      <c r="N226" s="419">
        <f t="shared" si="158"/>
        <v>0</v>
      </c>
      <c r="O226" t="s">
        <v>1623</v>
      </c>
    </row>
    <row r="227" spans="3:15" s="65" customFormat="1">
      <c r="D227" s="65" t="s">
        <v>1144</v>
      </c>
      <c r="E227" s="420">
        <f t="shared" ref="E227:N227" si="159">finY2Q1Org62Exp+finY2Q2Org62Exp+finY2Q3Org62Exp+finY2Q4Org62Exp</f>
        <v>0</v>
      </c>
      <c r="F227" s="420">
        <f t="shared" si="159"/>
        <v>0</v>
      </c>
      <c r="G227" s="420">
        <f t="shared" si="159"/>
        <v>0</v>
      </c>
      <c r="H227" s="420">
        <f t="shared" si="159"/>
        <v>0</v>
      </c>
      <c r="I227" s="420">
        <f t="shared" si="159"/>
        <v>0</v>
      </c>
      <c r="J227" s="420">
        <f t="shared" si="159"/>
        <v>0</v>
      </c>
      <c r="K227" s="420">
        <f t="shared" si="159"/>
        <v>0</v>
      </c>
      <c r="L227" s="420">
        <f t="shared" si="159"/>
        <v>0</v>
      </c>
      <c r="M227" s="420">
        <f t="shared" si="159"/>
        <v>0</v>
      </c>
      <c r="N227" s="420">
        <f t="shared" si="159"/>
        <v>0</v>
      </c>
      <c r="O227" s="65" t="s">
        <v>1639</v>
      </c>
    </row>
    <row r="228" spans="3:15" s="65" customFormat="1">
      <c r="C228" s="65" t="s">
        <v>507</v>
      </c>
      <c r="E228" s="420"/>
      <c r="F228" s="420"/>
      <c r="G228" s="420"/>
      <c r="H228" s="420"/>
      <c r="I228" s="420"/>
      <c r="J228" s="420"/>
      <c r="K228" s="420"/>
      <c r="L228" s="420"/>
      <c r="M228" s="420"/>
      <c r="N228" s="420"/>
    </row>
    <row r="229" spans="3:15">
      <c r="D229" t="s">
        <v>1424</v>
      </c>
      <c r="E229" s="419">
        <f t="shared" ref="E229:N229" si="160">calcY2Q1StackExp</f>
        <v>0</v>
      </c>
      <c r="F229" s="419">
        <f t="shared" si="160"/>
        <v>0</v>
      </c>
      <c r="G229" s="419">
        <f t="shared" si="160"/>
        <v>0</v>
      </c>
      <c r="H229" s="419">
        <f t="shared" si="160"/>
        <v>0</v>
      </c>
      <c r="I229" s="419">
        <f t="shared" si="160"/>
        <v>0</v>
      </c>
      <c r="J229" s="419">
        <f t="shared" si="160"/>
        <v>0</v>
      </c>
      <c r="K229" s="419">
        <f t="shared" si="160"/>
        <v>0</v>
      </c>
      <c r="L229" s="419">
        <f t="shared" si="160"/>
        <v>0</v>
      </c>
      <c r="M229" s="419">
        <f t="shared" si="160"/>
        <v>0</v>
      </c>
      <c r="N229" s="419">
        <f t="shared" si="160"/>
        <v>0</v>
      </c>
      <c r="O229" t="s">
        <v>1561</v>
      </c>
    </row>
    <row r="230" spans="3:15">
      <c r="D230" t="s">
        <v>1458</v>
      </c>
      <c r="E230" s="419">
        <f t="shared" ref="E230:N230" si="161">calcY2Q2StackExp</f>
        <v>0</v>
      </c>
      <c r="F230" s="419">
        <f t="shared" si="161"/>
        <v>0</v>
      </c>
      <c r="G230" s="419">
        <f t="shared" si="161"/>
        <v>0</v>
      </c>
      <c r="H230" s="419">
        <f t="shared" si="161"/>
        <v>0</v>
      </c>
      <c r="I230" s="419">
        <f t="shared" si="161"/>
        <v>0</v>
      </c>
      <c r="J230" s="419">
        <f t="shared" si="161"/>
        <v>0</v>
      </c>
      <c r="K230" s="419">
        <f t="shared" si="161"/>
        <v>0</v>
      </c>
      <c r="L230" s="419">
        <f t="shared" si="161"/>
        <v>0</v>
      </c>
      <c r="M230" s="419">
        <f t="shared" si="161"/>
        <v>0</v>
      </c>
      <c r="N230" s="419">
        <f t="shared" si="161"/>
        <v>0</v>
      </c>
      <c r="O230" t="s">
        <v>1582</v>
      </c>
    </row>
    <row r="231" spans="3:15">
      <c r="D231" t="s">
        <v>1492</v>
      </c>
      <c r="E231" s="419">
        <f t="shared" ref="E231:N231" si="162">calcY2Q3StackExp</f>
        <v>0</v>
      </c>
      <c r="F231" s="419">
        <f t="shared" si="162"/>
        <v>0</v>
      </c>
      <c r="G231" s="419">
        <f t="shared" si="162"/>
        <v>0</v>
      </c>
      <c r="H231" s="419">
        <f t="shared" si="162"/>
        <v>0</v>
      </c>
      <c r="I231" s="419">
        <f t="shared" si="162"/>
        <v>0</v>
      </c>
      <c r="J231" s="419">
        <f t="shared" si="162"/>
        <v>0</v>
      </c>
      <c r="K231" s="419">
        <f t="shared" si="162"/>
        <v>0</v>
      </c>
      <c r="L231" s="419">
        <f t="shared" si="162"/>
        <v>0</v>
      </c>
      <c r="M231" s="419">
        <f t="shared" si="162"/>
        <v>0</v>
      </c>
      <c r="N231" s="419">
        <f t="shared" si="162"/>
        <v>0</v>
      </c>
      <c r="O231" t="s">
        <v>1603</v>
      </c>
    </row>
    <row r="232" spans="3:15">
      <c r="D232" t="s">
        <v>1526</v>
      </c>
      <c r="E232" s="419">
        <f t="shared" ref="E232:N232" si="163">calcY2Q4StackExp</f>
        <v>0</v>
      </c>
      <c r="F232" s="419">
        <f t="shared" si="163"/>
        <v>0</v>
      </c>
      <c r="G232" s="419">
        <f t="shared" si="163"/>
        <v>0</v>
      </c>
      <c r="H232" s="419">
        <f t="shared" si="163"/>
        <v>0</v>
      </c>
      <c r="I232" s="419">
        <f t="shared" si="163"/>
        <v>0</v>
      </c>
      <c r="J232" s="419">
        <f t="shared" si="163"/>
        <v>0</v>
      </c>
      <c r="K232" s="419">
        <f t="shared" si="163"/>
        <v>0</v>
      </c>
      <c r="L232" s="419">
        <f t="shared" si="163"/>
        <v>0</v>
      </c>
      <c r="M232" s="419">
        <f t="shared" si="163"/>
        <v>0</v>
      </c>
      <c r="N232" s="419">
        <f t="shared" si="163"/>
        <v>0</v>
      </c>
      <c r="O232" t="s">
        <v>1624</v>
      </c>
    </row>
    <row r="233" spans="3:15" s="65" customFormat="1">
      <c r="D233" s="65" t="s">
        <v>1181</v>
      </c>
      <c r="E233" s="420">
        <f t="shared" ref="E233:N233" si="164">finY2Q1StackExp+finY2Q2StackExp+finY2Q3StackExp+finY2Q4StackExp</f>
        <v>0</v>
      </c>
      <c r="F233" s="420">
        <f t="shared" si="164"/>
        <v>0</v>
      </c>
      <c r="G233" s="420">
        <f t="shared" si="164"/>
        <v>0</v>
      </c>
      <c r="H233" s="420">
        <f t="shared" si="164"/>
        <v>0</v>
      </c>
      <c r="I233" s="420">
        <f t="shared" si="164"/>
        <v>0</v>
      </c>
      <c r="J233" s="420">
        <f t="shared" si="164"/>
        <v>0</v>
      </c>
      <c r="K233" s="420">
        <f t="shared" si="164"/>
        <v>0</v>
      </c>
      <c r="L233" s="420">
        <f t="shared" si="164"/>
        <v>0</v>
      </c>
      <c r="M233" s="420">
        <f t="shared" si="164"/>
        <v>0</v>
      </c>
      <c r="N233" s="420">
        <f t="shared" si="164"/>
        <v>0</v>
      </c>
      <c r="O233" s="65" t="s">
        <v>1640</v>
      </c>
    </row>
    <row r="234" spans="3:15" s="65" customFormat="1">
      <c r="C234" s="65" t="s">
        <v>2336</v>
      </c>
      <c r="E234" s="420"/>
      <c r="F234" s="420"/>
      <c r="G234" s="420"/>
      <c r="H234" s="420"/>
      <c r="I234" s="420"/>
      <c r="J234" s="420"/>
      <c r="K234" s="420"/>
      <c r="L234" s="420"/>
      <c r="M234" s="420"/>
      <c r="N234" s="420"/>
    </row>
    <row r="235" spans="3:15">
      <c r="D235" t="s">
        <v>2320</v>
      </c>
      <c r="E235" s="419">
        <f t="shared" ref="E235:N235" si="165">calcY2Q1CSGExp</f>
        <v>0</v>
      </c>
      <c r="F235" s="419">
        <f t="shared" si="165"/>
        <v>0</v>
      </c>
      <c r="G235" s="419">
        <f t="shared" si="165"/>
        <v>0</v>
      </c>
      <c r="H235" s="419">
        <f t="shared" si="165"/>
        <v>0</v>
      </c>
      <c r="I235" s="419">
        <f t="shared" si="165"/>
        <v>0</v>
      </c>
      <c r="J235" s="419">
        <f t="shared" si="165"/>
        <v>0</v>
      </c>
      <c r="K235" s="419">
        <f t="shared" si="165"/>
        <v>0</v>
      </c>
      <c r="L235" s="419">
        <f t="shared" si="165"/>
        <v>0</v>
      </c>
      <c r="M235" s="419">
        <f t="shared" si="165"/>
        <v>0</v>
      </c>
      <c r="N235" s="419">
        <f t="shared" si="165"/>
        <v>0</v>
      </c>
      <c r="O235" t="s">
        <v>2337</v>
      </c>
    </row>
    <row r="236" spans="3:15">
      <c r="D236" t="s">
        <v>2324</v>
      </c>
      <c r="E236" s="419">
        <f t="shared" ref="E236:N236" si="166">calcY2Q2CSGExp</f>
        <v>0</v>
      </c>
      <c r="F236" s="419">
        <f t="shared" si="166"/>
        <v>0</v>
      </c>
      <c r="G236" s="419">
        <f t="shared" si="166"/>
        <v>0</v>
      </c>
      <c r="H236" s="419">
        <f t="shared" si="166"/>
        <v>0</v>
      </c>
      <c r="I236" s="419">
        <f t="shared" si="166"/>
        <v>0</v>
      </c>
      <c r="J236" s="419">
        <f t="shared" si="166"/>
        <v>0</v>
      </c>
      <c r="K236" s="419">
        <f t="shared" si="166"/>
        <v>0</v>
      </c>
      <c r="L236" s="419">
        <f t="shared" si="166"/>
        <v>0</v>
      </c>
      <c r="M236" s="419">
        <f t="shared" si="166"/>
        <v>0</v>
      </c>
      <c r="N236" s="419">
        <f t="shared" si="166"/>
        <v>0</v>
      </c>
      <c r="O236" t="s">
        <v>2338</v>
      </c>
    </row>
    <row r="237" spans="3:15">
      <c r="D237" t="s">
        <v>2328</v>
      </c>
      <c r="E237" s="419">
        <f t="shared" ref="E237:N237" si="167">calcY2Q3CSGExp</f>
        <v>0</v>
      </c>
      <c r="F237" s="419">
        <f t="shared" si="167"/>
        <v>0</v>
      </c>
      <c r="G237" s="419">
        <f t="shared" si="167"/>
        <v>0</v>
      </c>
      <c r="H237" s="419">
        <f t="shared" si="167"/>
        <v>0</v>
      </c>
      <c r="I237" s="419">
        <f t="shared" si="167"/>
        <v>0</v>
      </c>
      <c r="J237" s="419">
        <f t="shared" si="167"/>
        <v>0</v>
      </c>
      <c r="K237" s="419">
        <f t="shared" si="167"/>
        <v>0</v>
      </c>
      <c r="L237" s="419">
        <f t="shared" si="167"/>
        <v>0</v>
      </c>
      <c r="M237" s="419">
        <f t="shared" si="167"/>
        <v>0</v>
      </c>
      <c r="N237" s="419">
        <f t="shared" si="167"/>
        <v>0</v>
      </c>
      <c r="O237" t="s">
        <v>2339</v>
      </c>
    </row>
    <row r="238" spans="3:15">
      <c r="D238" t="s">
        <v>2332</v>
      </c>
      <c r="E238" s="419">
        <f t="shared" ref="E238:N238" si="168">calcY2Q4CSGExp</f>
        <v>0</v>
      </c>
      <c r="F238" s="419">
        <f t="shared" si="168"/>
        <v>0</v>
      </c>
      <c r="G238" s="419">
        <f t="shared" si="168"/>
        <v>0</v>
      </c>
      <c r="H238" s="419">
        <f t="shared" si="168"/>
        <v>0</v>
      </c>
      <c r="I238" s="419">
        <f t="shared" si="168"/>
        <v>0</v>
      </c>
      <c r="J238" s="419">
        <f t="shared" si="168"/>
        <v>0</v>
      </c>
      <c r="K238" s="419">
        <f t="shared" si="168"/>
        <v>0</v>
      </c>
      <c r="L238" s="419">
        <f t="shared" si="168"/>
        <v>0</v>
      </c>
      <c r="M238" s="419">
        <f t="shared" si="168"/>
        <v>0</v>
      </c>
      <c r="N238" s="419">
        <f t="shared" si="168"/>
        <v>0</v>
      </c>
      <c r="O238" t="s">
        <v>2340</v>
      </c>
    </row>
    <row r="239" spans="3:15" s="65" customFormat="1">
      <c r="D239" s="65" t="s">
        <v>2341</v>
      </c>
      <c r="E239" s="420">
        <f t="shared" ref="E239:N239" si="169">finY2Q1CSGExp+finY2Q2CSGExp+finY2Q3CSGExp+finY2Q4CSGExp</f>
        <v>0</v>
      </c>
      <c r="F239" s="420">
        <f t="shared" si="169"/>
        <v>0</v>
      </c>
      <c r="G239" s="420">
        <f t="shared" si="169"/>
        <v>0</v>
      </c>
      <c r="H239" s="420">
        <f t="shared" si="169"/>
        <v>0</v>
      </c>
      <c r="I239" s="420">
        <f t="shared" si="169"/>
        <v>0</v>
      </c>
      <c r="J239" s="420">
        <f t="shared" si="169"/>
        <v>0</v>
      </c>
      <c r="K239" s="420">
        <f t="shared" si="169"/>
        <v>0</v>
      </c>
      <c r="L239" s="420">
        <f t="shared" si="169"/>
        <v>0</v>
      </c>
      <c r="M239" s="420">
        <f t="shared" si="169"/>
        <v>0</v>
      </c>
      <c r="N239" s="420">
        <f t="shared" si="169"/>
        <v>0</v>
      </c>
      <c r="O239" s="65" t="s">
        <v>2342</v>
      </c>
    </row>
    <row r="240" spans="3:15" s="65" customFormat="1">
      <c r="C240" s="65" t="s">
        <v>3079</v>
      </c>
      <c r="E240" s="420"/>
      <c r="F240" s="420"/>
      <c r="G240" s="420"/>
      <c r="H240" s="420"/>
      <c r="I240" s="420"/>
      <c r="J240" s="420"/>
      <c r="K240" s="420"/>
      <c r="L240" s="420"/>
      <c r="M240" s="420"/>
      <c r="N240" s="420"/>
    </row>
    <row r="241" spans="3:15">
      <c r="D241" t="s">
        <v>3122</v>
      </c>
      <c r="E241" s="419">
        <f t="shared" ref="E241:N241" si="170">calcY2Q1BrandIntExp</f>
        <v>0</v>
      </c>
      <c r="F241" s="419">
        <f t="shared" si="170"/>
        <v>0</v>
      </c>
      <c r="G241" s="419">
        <f t="shared" si="170"/>
        <v>0</v>
      </c>
      <c r="H241" s="419">
        <f t="shared" si="170"/>
        <v>0</v>
      </c>
      <c r="I241" s="419">
        <f t="shared" si="170"/>
        <v>0</v>
      </c>
      <c r="J241" s="419">
        <f t="shared" si="170"/>
        <v>0</v>
      </c>
      <c r="K241" s="419">
        <f t="shared" si="170"/>
        <v>0</v>
      </c>
      <c r="L241" s="419">
        <f t="shared" si="170"/>
        <v>0</v>
      </c>
      <c r="M241" s="419">
        <f t="shared" si="170"/>
        <v>0</v>
      </c>
      <c r="N241" s="419">
        <f t="shared" si="170"/>
        <v>0</v>
      </c>
      <c r="O241" t="s">
        <v>3105</v>
      </c>
    </row>
    <row r="242" spans="3:15">
      <c r="D242" t="s">
        <v>3124</v>
      </c>
      <c r="E242" s="419">
        <f t="shared" ref="E242:N242" si="171">calcY2Q2BrandIntExp</f>
        <v>0</v>
      </c>
      <c r="F242" s="419">
        <f t="shared" si="171"/>
        <v>0</v>
      </c>
      <c r="G242" s="419">
        <f t="shared" si="171"/>
        <v>0</v>
      </c>
      <c r="H242" s="419">
        <f t="shared" si="171"/>
        <v>0</v>
      </c>
      <c r="I242" s="419">
        <f t="shared" si="171"/>
        <v>0</v>
      </c>
      <c r="J242" s="419">
        <f t="shared" si="171"/>
        <v>0</v>
      </c>
      <c r="K242" s="419">
        <f t="shared" si="171"/>
        <v>0</v>
      </c>
      <c r="L242" s="419">
        <f t="shared" si="171"/>
        <v>0</v>
      </c>
      <c r="M242" s="419">
        <f t="shared" si="171"/>
        <v>0</v>
      </c>
      <c r="N242" s="419">
        <f t="shared" si="171"/>
        <v>0</v>
      </c>
      <c r="O242" t="s">
        <v>3106</v>
      </c>
    </row>
    <row r="243" spans="3:15">
      <c r="D243" t="s">
        <v>3126</v>
      </c>
      <c r="E243" s="419">
        <f t="shared" ref="E243:N243" si="172">calcY2Q3BrandIntExp</f>
        <v>0</v>
      </c>
      <c r="F243" s="419">
        <f t="shared" si="172"/>
        <v>0</v>
      </c>
      <c r="G243" s="419">
        <f t="shared" si="172"/>
        <v>0</v>
      </c>
      <c r="H243" s="419">
        <f t="shared" si="172"/>
        <v>0</v>
      </c>
      <c r="I243" s="419">
        <f t="shared" si="172"/>
        <v>0</v>
      </c>
      <c r="J243" s="419">
        <f t="shared" si="172"/>
        <v>0</v>
      </c>
      <c r="K243" s="419">
        <f t="shared" si="172"/>
        <v>0</v>
      </c>
      <c r="L243" s="419">
        <f t="shared" si="172"/>
        <v>0</v>
      </c>
      <c r="M243" s="419">
        <f t="shared" si="172"/>
        <v>0</v>
      </c>
      <c r="N243" s="419">
        <f t="shared" si="172"/>
        <v>0</v>
      </c>
      <c r="O243" t="s">
        <v>3107</v>
      </c>
    </row>
    <row r="244" spans="3:15">
      <c r="D244" t="s">
        <v>3128</v>
      </c>
      <c r="E244" s="419">
        <f t="shared" ref="E244:N244" si="173">calcY2Q4BrandIntExp</f>
        <v>0</v>
      </c>
      <c r="F244" s="419">
        <f t="shared" si="173"/>
        <v>0</v>
      </c>
      <c r="G244" s="419">
        <f t="shared" si="173"/>
        <v>0</v>
      </c>
      <c r="H244" s="419">
        <f t="shared" si="173"/>
        <v>0</v>
      </c>
      <c r="I244" s="419">
        <f t="shared" si="173"/>
        <v>0</v>
      </c>
      <c r="J244" s="419">
        <f t="shared" si="173"/>
        <v>0</v>
      </c>
      <c r="K244" s="419">
        <f t="shared" si="173"/>
        <v>0</v>
      </c>
      <c r="L244" s="419">
        <f t="shared" si="173"/>
        <v>0</v>
      </c>
      <c r="M244" s="419">
        <f t="shared" si="173"/>
        <v>0</v>
      </c>
      <c r="N244" s="419">
        <f t="shared" si="173"/>
        <v>0</v>
      </c>
      <c r="O244" t="s">
        <v>3108</v>
      </c>
    </row>
    <row r="245" spans="3:15" s="65" customFormat="1">
      <c r="D245" s="65" t="s">
        <v>2341</v>
      </c>
      <c r="E245" s="420">
        <f t="shared" ref="E245:N245" si="174">finY2Q1BrandIntExp+finY2Q2BrandIntExp+finY2Q3BrandIntExp+finY2Q4BrandIntExp</f>
        <v>0</v>
      </c>
      <c r="F245" s="420">
        <f t="shared" si="174"/>
        <v>0</v>
      </c>
      <c r="G245" s="420">
        <f t="shared" si="174"/>
        <v>0</v>
      </c>
      <c r="H245" s="420">
        <f t="shared" si="174"/>
        <v>0</v>
      </c>
      <c r="I245" s="420">
        <f t="shared" si="174"/>
        <v>0</v>
      </c>
      <c r="J245" s="420">
        <f t="shared" si="174"/>
        <v>0</v>
      </c>
      <c r="K245" s="420">
        <f t="shared" si="174"/>
        <v>0</v>
      </c>
      <c r="L245" s="420">
        <f t="shared" si="174"/>
        <v>0</v>
      </c>
      <c r="M245" s="420">
        <f t="shared" si="174"/>
        <v>0</v>
      </c>
      <c r="N245" s="420">
        <f t="shared" si="174"/>
        <v>0</v>
      </c>
      <c r="O245" s="65" t="s">
        <v>3109</v>
      </c>
    </row>
    <row r="246" spans="3:15" s="65" customFormat="1">
      <c r="C246" s="65" t="s">
        <v>2397</v>
      </c>
      <c r="E246" s="420"/>
      <c r="F246" s="420"/>
      <c r="G246" s="420"/>
      <c r="H246" s="420"/>
      <c r="I246" s="420"/>
      <c r="J246" s="420"/>
      <c r="K246" s="420"/>
      <c r="L246" s="420"/>
      <c r="M246" s="420"/>
      <c r="N246" s="420"/>
    </row>
    <row r="247" spans="3:15">
      <c r="D247" t="s">
        <v>2374</v>
      </c>
      <c r="E247" s="419">
        <f t="shared" ref="E247:N247" si="175">calcY2Q1LeadPassExp</f>
        <v>0</v>
      </c>
      <c r="F247" s="419">
        <f t="shared" si="175"/>
        <v>0</v>
      </c>
      <c r="G247" s="419">
        <f t="shared" si="175"/>
        <v>0</v>
      </c>
      <c r="H247" s="419">
        <f t="shared" si="175"/>
        <v>0</v>
      </c>
      <c r="I247" s="419">
        <f t="shared" si="175"/>
        <v>0</v>
      </c>
      <c r="J247" s="419">
        <f t="shared" si="175"/>
        <v>0</v>
      </c>
      <c r="K247" s="419">
        <f t="shared" si="175"/>
        <v>0</v>
      </c>
      <c r="L247" s="419">
        <f t="shared" si="175"/>
        <v>0</v>
      </c>
      <c r="M247" s="419">
        <f t="shared" si="175"/>
        <v>0</v>
      </c>
      <c r="N247" s="419">
        <f t="shared" si="175"/>
        <v>0</v>
      </c>
      <c r="O247" t="s">
        <v>2398</v>
      </c>
    </row>
    <row r="248" spans="3:15">
      <c r="D248" t="s">
        <v>2378</v>
      </c>
      <c r="E248" s="419">
        <f t="shared" ref="E248:N248" si="176">calcY2Q2LeadPassExp</f>
        <v>0</v>
      </c>
      <c r="F248" s="419">
        <f t="shared" si="176"/>
        <v>0</v>
      </c>
      <c r="G248" s="419">
        <f t="shared" si="176"/>
        <v>0</v>
      </c>
      <c r="H248" s="419">
        <f t="shared" si="176"/>
        <v>0</v>
      </c>
      <c r="I248" s="419">
        <f t="shared" si="176"/>
        <v>0</v>
      </c>
      <c r="J248" s="419">
        <f t="shared" si="176"/>
        <v>0</v>
      </c>
      <c r="K248" s="419">
        <f t="shared" si="176"/>
        <v>0</v>
      </c>
      <c r="L248" s="419">
        <f t="shared" si="176"/>
        <v>0</v>
      </c>
      <c r="M248" s="419">
        <f t="shared" si="176"/>
        <v>0</v>
      </c>
      <c r="N248" s="419">
        <f t="shared" si="176"/>
        <v>0</v>
      </c>
      <c r="O248" t="s">
        <v>2399</v>
      </c>
    </row>
    <row r="249" spans="3:15">
      <c r="D249" t="s">
        <v>2382</v>
      </c>
      <c r="E249" s="419">
        <f t="shared" ref="E249:N249" si="177">calcY2Q3LeadPassExp</f>
        <v>0</v>
      </c>
      <c r="F249" s="419">
        <f t="shared" si="177"/>
        <v>0</v>
      </c>
      <c r="G249" s="419">
        <f t="shared" si="177"/>
        <v>0</v>
      </c>
      <c r="H249" s="419">
        <f t="shared" si="177"/>
        <v>0</v>
      </c>
      <c r="I249" s="419">
        <f t="shared" si="177"/>
        <v>0</v>
      </c>
      <c r="J249" s="419">
        <f t="shared" si="177"/>
        <v>0</v>
      </c>
      <c r="K249" s="419">
        <f t="shared" si="177"/>
        <v>0</v>
      </c>
      <c r="L249" s="419">
        <f t="shared" si="177"/>
        <v>0</v>
      </c>
      <c r="M249" s="419">
        <f t="shared" si="177"/>
        <v>0</v>
      </c>
      <c r="N249" s="419">
        <f t="shared" si="177"/>
        <v>0</v>
      </c>
      <c r="O249" t="s">
        <v>2400</v>
      </c>
    </row>
    <row r="250" spans="3:15">
      <c r="D250" t="s">
        <v>2386</v>
      </c>
      <c r="E250" s="419">
        <f t="shared" ref="E250:N250" si="178">calcY2Q4LeadPassExp</f>
        <v>0</v>
      </c>
      <c r="F250" s="419">
        <f t="shared" si="178"/>
        <v>0</v>
      </c>
      <c r="G250" s="419">
        <f t="shared" si="178"/>
        <v>0</v>
      </c>
      <c r="H250" s="419">
        <f t="shared" si="178"/>
        <v>0</v>
      </c>
      <c r="I250" s="419">
        <f t="shared" si="178"/>
        <v>0</v>
      </c>
      <c r="J250" s="419">
        <f t="shared" si="178"/>
        <v>0</v>
      </c>
      <c r="K250" s="419">
        <f t="shared" si="178"/>
        <v>0</v>
      </c>
      <c r="L250" s="419">
        <f t="shared" si="178"/>
        <v>0</v>
      </c>
      <c r="M250" s="419">
        <f t="shared" si="178"/>
        <v>0</v>
      </c>
      <c r="N250" s="419">
        <f t="shared" si="178"/>
        <v>0</v>
      </c>
      <c r="O250" t="s">
        <v>2401</v>
      </c>
    </row>
    <row r="251" spans="3:15" s="65" customFormat="1">
      <c r="D251" s="65" t="s">
        <v>2402</v>
      </c>
      <c r="E251" s="420">
        <f t="shared" ref="E251:N251" si="179">finY2Q1LeadPassExp+finY2Q2LeadPassExp+finY2Q3LeadPassExp+finY2Q4LeadPassExp</f>
        <v>0</v>
      </c>
      <c r="F251" s="420">
        <f t="shared" si="179"/>
        <v>0</v>
      </c>
      <c r="G251" s="420">
        <f t="shared" si="179"/>
        <v>0</v>
      </c>
      <c r="H251" s="420">
        <f t="shared" si="179"/>
        <v>0</v>
      </c>
      <c r="I251" s="420">
        <f t="shared" si="179"/>
        <v>0</v>
      </c>
      <c r="J251" s="420">
        <f t="shared" si="179"/>
        <v>0</v>
      </c>
      <c r="K251" s="420">
        <f t="shared" si="179"/>
        <v>0</v>
      </c>
      <c r="L251" s="420">
        <f t="shared" si="179"/>
        <v>0</v>
      </c>
      <c r="M251" s="420">
        <f t="shared" si="179"/>
        <v>0</v>
      </c>
      <c r="N251" s="420">
        <f t="shared" si="179"/>
        <v>0</v>
      </c>
      <c r="O251" s="65" t="s">
        <v>2403</v>
      </c>
    </row>
    <row r="252" spans="3:15" s="65" customFormat="1">
      <c r="C252" s="65" t="s">
        <v>494</v>
      </c>
      <c r="E252" s="420"/>
      <c r="F252" s="420"/>
      <c r="G252" s="420"/>
      <c r="H252" s="420"/>
      <c r="I252" s="420"/>
      <c r="J252" s="420"/>
      <c r="K252" s="420"/>
      <c r="L252" s="420"/>
      <c r="M252" s="420"/>
      <c r="N252" s="420"/>
    </row>
    <row r="253" spans="3:15">
      <c r="D253" t="s">
        <v>1428</v>
      </c>
      <c r="O253" t="s">
        <v>1562</v>
      </c>
    </row>
    <row r="254" spans="3:15">
      <c r="D254" t="s">
        <v>1462</v>
      </c>
      <c r="O254" t="s">
        <v>1583</v>
      </c>
    </row>
    <row r="255" spans="3:15">
      <c r="D255" t="s">
        <v>1496</v>
      </c>
      <c r="O255" t="s">
        <v>1604</v>
      </c>
    </row>
    <row r="256" spans="3:15">
      <c r="D256" t="s">
        <v>1530</v>
      </c>
      <c r="O256" t="s">
        <v>1625</v>
      </c>
    </row>
    <row r="257" spans="1:15" s="65" customFormat="1">
      <c r="D257" s="65" t="s">
        <v>1372</v>
      </c>
      <c r="E257" s="420"/>
      <c r="F257" s="420"/>
      <c r="G257" s="420"/>
      <c r="H257" s="420"/>
      <c r="I257" s="420"/>
      <c r="J257" s="420"/>
      <c r="K257" s="420"/>
      <c r="L257" s="420"/>
      <c r="M257" s="420"/>
      <c r="N257" s="420"/>
      <c r="O257" s="65" t="s">
        <v>1641</v>
      </c>
    </row>
    <row r="258" spans="1:15" s="65" customFormat="1">
      <c r="C258" s="65" t="s">
        <v>494</v>
      </c>
      <c r="E258" s="420"/>
      <c r="F258" s="420"/>
      <c r="G258" s="420"/>
      <c r="H258" s="420"/>
      <c r="I258" s="420"/>
      <c r="J258" s="420"/>
      <c r="K258" s="420"/>
      <c r="L258" s="420"/>
      <c r="M258" s="420"/>
      <c r="N258" s="420"/>
    </row>
    <row r="259" spans="1:15">
      <c r="D259" t="s">
        <v>1689</v>
      </c>
      <c r="E259" s="419">
        <f t="shared" ref="E259:N259" si="180">calcY2Q1ExternalSalesExp</f>
        <v>0</v>
      </c>
      <c r="F259" s="419">
        <f t="shared" si="180"/>
        <v>0</v>
      </c>
      <c r="G259" s="419">
        <f t="shared" si="180"/>
        <v>0</v>
      </c>
      <c r="H259" s="419">
        <f t="shared" si="180"/>
        <v>0</v>
      </c>
      <c r="I259" s="419">
        <f t="shared" si="180"/>
        <v>0</v>
      </c>
      <c r="J259" s="419">
        <f t="shared" si="180"/>
        <v>0</v>
      </c>
      <c r="K259" s="419">
        <f t="shared" si="180"/>
        <v>0</v>
      </c>
      <c r="L259" s="419">
        <f t="shared" si="180"/>
        <v>0</v>
      </c>
      <c r="M259" s="419">
        <f t="shared" si="180"/>
        <v>0</v>
      </c>
      <c r="N259" s="419">
        <f t="shared" si="180"/>
        <v>0</v>
      </c>
      <c r="O259" t="s">
        <v>1712</v>
      </c>
    </row>
    <row r="260" spans="1:15">
      <c r="D260" t="s">
        <v>1693</v>
      </c>
      <c r="E260" s="419">
        <f t="shared" ref="E260:N260" si="181">calcY2Q2ExternalSalesExp</f>
        <v>0</v>
      </c>
      <c r="F260" s="419">
        <f t="shared" si="181"/>
        <v>0</v>
      </c>
      <c r="G260" s="419">
        <f t="shared" si="181"/>
        <v>0</v>
      </c>
      <c r="H260" s="419">
        <f t="shared" si="181"/>
        <v>0</v>
      </c>
      <c r="I260" s="419">
        <f t="shared" si="181"/>
        <v>0</v>
      </c>
      <c r="J260" s="419">
        <f t="shared" si="181"/>
        <v>0</v>
      </c>
      <c r="K260" s="419">
        <f t="shared" si="181"/>
        <v>0</v>
      </c>
      <c r="L260" s="419">
        <f t="shared" si="181"/>
        <v>0</v>
      </c>
      <c r="M260" s="419">
        <f t="shared" si="181"/>
        <v>0</v>
      </c>
      <c r="N260" s="419">
        <f t="shared" si="181"/>
        <v>0</v>
      </c>
      <c r="O260" t="s">
        <v>1713</v>
      </c>
    </row>
    <row r="261" spans="1:15">
      <c r="D261" t="s">
        <v>1697</v>
      </c>
      <c r="E261" s="419">
        <f t="shared" ref="E261:N261" si="182">calcY2Q3ExternalSalesExp</f>
        <v>0</v>
      </c>
      <c r="F261" s="419">
        <f t="shared" si="182"/>
        <v>0</v>
      </c>
      <c r="G261" s="419">
        <f t="shared" si="182"/>
        <v>0</v>
      </c>
      <c r="H261" s="419">
        <f t="shared" si="182"/>
        <v>0</v>
      </c>
      <c r="I261" s="419">
        <f t="shared" si="182"/>
        <v>0</v>
      </c>
      <c r="J261" s="419">
        <f t="shared" si="182"/>
        <v>0</v>
      </c>
      <c r="K261" s="419">
        <f t="shared" si="182"/>
        <v>0</v>
      </c>
      <c r="L261" s="419">
        <f t="shared" si="182"/>
        <v>0</v>
      </c>
      <c r="M261" s="419">
        <f t="shared" si="182"/>
        <v>0</v>
      </c>
      <c r="N261" s="419">
        <f t="shared" si="182"/>
        <v>0</v>
      </c>
      <c r="O261" t="s">
        <v>1714</v>
      </c>
    </row>
    <row r="262" spans="1:15">
      <c r="D262" t="s">
        <v>1701</v>
      </c>
      <c r="E262" s="419">
        <f t="shared" ref="E262:N262" si="183">calcY2Q4ExternalSalesExp</f>
        <v>0</v>
      </c>
      <c r="F262" s="419">
        <f t="shared" si="183"/>
        <v>0</v>
      </c>
      <c r="G262" s="419">
        <f t="shared" si="183"/>
        <v>0</v>
      </c>
      <c r="H262" s="419">
        <f t="shared" si="183"/>
        <v>0</v>
      </c>
      <c r="I262" s="419">
        <f t="shared" si="183"/>
        <v>0</v>
      </c>
      <c r="J262" s="419">
        <f t="shared" si="183"/>
        <v>0</v>
      </c>
      <c r="K262" s="419">
        <f t="shared" si="183"/>
        <v>0</v>
      </c>
      <c r="L262" s="419">
        <f t="shared" si="183"/>
        <v>0</v>
      </c>
      <c r="M262" s="419">
        <f t="shared" si="183"/>
        <v>0</v>
      </c>
      <c r="N262" s="419">
        <f t="shared" si="183"/>
        <v>0</v>
      </c>
      <c r="O262" t="s">
        <v>1715</v>
      </c>
    </row>
    <row r="263" spans="1:15" s="65" customFormat="1">
      <c r="D263" s="65" t="s">
        <v>1710</v>
      </c>
      <c r="E263" s="420">
        <f t="shared" ref="E263:N263" si="184">finY2Q1ExternalSalesExp+finY2Q2ExternalSalesExp+finY2Q3ExternalSalesExp+finY2Q4ExternalSalesExp</f>
        <v>0</v>
      </c>
      <c r="F263" s="420">
        <f t="shared" si="184"/>
        <v>0</v>
      </c>
      <c r="G263" s="420">
        <f t="shared" si="184"/>
        <v>0</v>
      </c>
      <c r="H263" s="420">
        <f t="shared" si="184"/>
        <v>0</v>
      </c>
      <c r="I263" s="420">
        <f t="shared" si="184"/>
        <v>0</v>
      </c>
      <c r="J263" s="420">
        <f t="shared" si="184"/>
        <v>0</v>
      </c>
      <c r="K263" s="420">
        <f t="shared" si="184"/>
        <v>0</v>
      </c>
      <c r="L263" s="420">
        <f t="shared" si="184"/>
        <v>0</v>
      </c>
      <c r="M263" s="420">
        <f t="shared" si="184"/>
        <v>0</v>
      </c>
      <c r="N263" s="420">
        <f t="shared" si="184"/>
        <v>0</v>
      </c>
      <c r="O263" s="65" t="s">
        <v>1716</v>
      </c>
    </row>
    <row r="264" spans="1:15" s="65" customFormat="1">
      <c r="C264" s="65" t="s">
        <v>1386</v>
      </c>
      <c r="E264" s="420"/>
      <c r="F264" s="420"/>
      <c r="G264" s="420"/>
      <c r="H264" s="420"/>
      <c r="I264" s="420"/>
      <c r="J264" s="420"/>
      <c r="K264" s="420"/>
      <c r="L264" s="420"/>
      <c r="M264" s="420"/>
      <c r="N264" s="420"/>
    </row>
    <row r="265" spans="1:15">
      <c r="D265" t="s">
        <v>1563</v>
      </c>
      <c r="E265" s="419">
        <f t="shared" ref="E265:N265" si="185">calcY2Q1RevWriteDownExp</f>
        <v>0</v>
      </c>
      <c r="F265" s="419">
        <f t="shared" si="185"/>
        <v>0</v>
      </c>
      <c r="G265" s="419">
        <f t="shared" si="185"/>
        <v>0</v>
      </c>
      <c r="H265" s="419">
        <f t="shared" si="185"/>
        <v>0</v>
      </c>
      <c r="I265" s="419">
        <f t="shared" si="185"/>
        <v>0</v>
      </c>
      <c r="J265" s="419">
        <f t="shared" si="185"/>
        <v>0</v>
      </c>
      <c r="K265" s="419">
        <f t="shared" si="185"/>
        <v>0</v>
      </c>
      <c r="L265" s="419">
        <f t="shared" si="185"/>
        <v>0</v>
      </c>
      <c r="M265" s="419">
        <f t="shared" si="185"/>
        <v>0</v>
      </c>
      <c r="N265" s="419">
        <f t="shared" si="185"/>
        <v>0</v>
      </c>
      <c r="O265" t="s">
        <v>1564</v>
      </c>
    </row>
    <row r="266" spans="1:15">
      <c r="D266" t="s">
        <v>1584</v>
      </c>
      <c r="E266" s="419">
        <f t="shared" ref="E266:N266" si="186">calcY2Q2RevWriteDownExp</f>
        <v>0</v>
      </c>
      <c r="F266" s="419">
        <f t="shared" si="186"/>
        <v>0</v>
      </c>
      <c r="G266" s="419">
        <f t="shared" si="186"/>
        <v>0</v>
      </c>
      <c r="H266" s="419">
        <f t="shared" si="186"/>
        <v>0</v>
      </c>
      <c r="I266" s="419">
        <f t="shared" si="186"/>
        <v>0</v>
      </c>
      <c r="J266" s="419">
        <f t="shared" si="186"/>
        <v>0</v>
      </c>
      <c r="K266" s="419">
        <f t="shared" si="186"/>
        <v>0</v>
      </c>
      <c r="L266" s="419">
        <f t="shared" si="186"/>
        <v>0</v>
      </c>
      <c r="M266" s="419">
        <f t="shared" si="186"/>
        <v>0</v>
      </c>
      <c r="N266" s="419">
        <f t="shared" si="186"/>
        <v>0</v>
      </c>
      <c r="O266" t="s">
        <v>1585</v>
      </c>
    </row>
    <row r="267" spans="1:15">
      <c r="D267" t="s">
        <v>1605</v>
      </c>
      <c r="E267" s="419">
        <f t="shared" ref="E267:N267" si="187">calcY2Q3RevWriteDownExp</f>
        <v>0</v>
      </c>
      <c r="F267" s="419">
        <f t="shared" si="187"/>
        <v>0</v>
      </c>
      <c r="G267" s="419">
        <f t="shared" si="187"/>
        <v>0</v>
      </c>
      <c r="H267" s="419">
        <f t="shared" si="187"/>
        <v>0</v>
      </c>
      <c r="I267" s="419">
        <f t="shared" si="187"/>
        <v>0</v>
      </c>
      <c r="J267" s="419">
        <f t="shared" si="187"/>
        <v>0</v>
      </c>
      <c r="K267" s="419">
        <f t="shared" si="187"/>
        <v>0</v>
      </c>
      <c r="L267" s="419">
        <f t="shared" si="187"/>
        <v>0</v>
      </c>
      <c r="M267" s="419">
        <f t="shared" si="187"/>
        <v>0</v>
      </c>
      <c r="N267" s="419">
        <f t="shared" si="187"/>
        <v>0</v>
      </c>
      <c r="O267" t="s">
        <v>1606</v>
      </c>
    </row>
    <row r="268" spans="1:15">
      <c r="D268" t="s">
        <v>1626</v>
      </c>
      <c r="E268" s="419">
        <f t="shared" ref="E268:N268" si="188">calcY2Q4RevWriteDownExp</f>
        <v>0</v>
      </c>
      <c r="F268" s="419">
        <f t="shared" si="188"/>
        <v>0</v>
      </c>
      <c r="G268" s="419">
        <f t="shared" si="188"/>
        <v>0</v>
      </c>
      <c r="H268" s="419">
        <f t="shared" si="188"/>
        <v>0</v>
      </c>
      <c r="I268" s="419">
        <f t="shared" si="188"/>
        <v>0</v>
      </c>
      <c r="J268" s="419">
        <f t="shared" si="188"/>
        <v>0</v>
      </c>
      <c r="K268" s="419">
        <f t="shared" si="188"/>
        <v>0</v>
      </c>
      <c r="L268" s="419">
        <f t="shared" si="188"/>
        <v>0</v>
      </c>
      <c r="M268" s="419">
        <f t="shared" si="188"/>
        <v>0</v>
      </c>
      <c r="N268" s="419">
        <f t="shared" si="188"/>
        <v>0</v>
      </c>
      <c r="O268" t="s">
        <v>1627</v>
      </c>
    </row>
    <row r="269" spans="1:15" s="65" customFormat="1">
      <c r="D269" s="65" t="s">
        <v>1395</v>
      </c>
      <c r="E269" s="420">
        <f t="shared" ref="E269:N269" si="189">finY2Q1RevWriteDownExp+finY2Q2RevWriteDownExp+finY2Q3RevWriteDownExp+finY2Q4RevWriteDownExp</f>
        <v>0</v>
      </c>
      <c r="F269" s="420">
        <f t="shared" si="189"/>
        <v>0</v>
      </c>
      <c r="G269" s="420">
        <f t="shared" si="189"/>
        <v>0</v>
      </c>
      <c r="H269" s="420">
        <f t="shared" si="189"/>
        <v>0</v>
      </c>
      <c r="I269" s="420">
        <f t="shared" si="189"/>
        <v>0</v>
      </c>
      <c r="J269" s="420">
        <f t="shared" si="189"/>
        <v>0</v>
      </c>
      <c r="K269" s="420">
        <f t="shared" si="189"/>
        <v>0</v>
      </c>
      <c r="L269" s="420">
        <f t="shared" si="189"/>
        <v>0</v>
      </c>
      <c r="M269" s="420">
        <f t="shared" si="189"/>
        <v>0</v>
      </c>
      <c r="N269" s="420">
        <f t="shared" si="189"/>
        <v>0</v>
      </c>
      <c r="O269" s="65" t="s">
        <v>1642</v>
      </c>
    </row>
    <row r="270" spans="1:15">
      <c r="A270" s="65" t="s">
        <v>1148</v>
      </c>
    </row>
    <row r="271" spans="1:15">
      <c r="D271" t="s">
        <v>426</v>
      </c>
      <c r="E271" s="419">
        <f t="shared" ref="E271:N271" si="190">finY2AnnualOpProfit-finY2AnnualHarmExp-finY2AnnualITExp-finY2AnnualTrustExp-finY2AnnualOrg62Exp-finY2AnnualStackExp-finY2AnnualFullREExp-finY2AnnualGAMigrationExp-finY2AnnualPackagingPricingExp-finY2AnnualRevWriteDownExp-finY2AnnualExternalSalesExp-finY2AnnualCSGExp-finY2AnnualBrandIntExp</f>
        <v>-38373668.470346153</v>
      </c>
      <c r="F271" s="419">
        <f t="shared" si="190"/>
        <v>-38373668.470346153</v>
      </c>
      <c r="G271" s="419">
        <f t="shared" si="190"/>
        <v>-38373668.470346153</v>
      </c>
      <c r="H271" s="419">
        <f t="shared" si="190"/>
        <v>-38373668.470346153</v>
      </c>
      <c r="I271" s="419">
        <f t="shared" si="190"/>
        <v>-38373668.470346153</v>
      </c>
      <c r="J271" s="419">
        <f t="shared" si="190"/>
        <v>-38373668.470346153</v>
      </c>
      <c r="K271" s="419">
        <f t="shared" si="190"/>
        <v>-38373668.470346153</v>
      </c>
      <c r="L271" s="419">
        <f t="shared" si="190"/>
        <v>-38373668.470346153</v>
      </c>
      <c r="M271" s="419">
        <f t="shared" si="190"/>
        <v>-38373668.470346153</v>
      </c>
      <c r="N271" s="419">
        <f t="shared" si="190"/>
        <v>-38373668.470346153</v>
      </c>
      <c r="O271" t="s">
        <v>1643</v>
      </c>
    </row>
    <row r="272" spans="1:15">
      <c r="D272" t="s">
        <v>967</v>
      </c>
      <c r="E272" s="442">
        <f t="shared" ref="E272:N272" si="191">finY2AnnualIntegratedOpProfit/FinY2AnnualRev</f>
        <v>-0.17356466964764275</v>
      </c>
      <c r="F272" s="442">
        <f t="shared" si="191"/>
        <v>-0.17356466964764275</v>
      </c>
      <c r="G272" s="442">
        <f t="shared" si="191"/>
        <v>-0.17356466964764275</v>
      </c>
      <c r="H272" s="442">
        <f t="shared" si="191"/>
        <v>-0.17356466964764275</v>
      </c>
      <c r="I272" s="442">
        <f t="shared" si="191"/>
        <v>-0.17356466964764275</v>
      </c>
      <c r="J272" s="442">
        <f t="shared" si="191"/>
        <v>-0.17356466964764275</v>
      </c>
      <c r="K272" s="442">
        <f t="shared" si="191"/>
        <v>-0.17356466964764275</v>
      </c>
      <c r="L272" s="442">
        <f t="shared" si="191"/>
        <v>-0.17356466964764275</v>
      </c>
      <c r="M272" s="442">
        <f t="shared" si="191"/>
        <v>-0.17356466964764275</v>
      </c>
      <c r="N272" s="442">
        <f t="shared" si="191"/>
        <v>-0.17356466964764275</v>
      </c>
      <c r="O272" t="s">
        <v>1644</v>
      </c>
    </row>
    <row r="273" spans="2:15" s="65" customFormat="1">
      <c r="B273" s="65" t="s">
        <v>2078</v>
      </c>
      <c r="E273" s="420"/>
      <c r="F273" s="420"/>
      <c r="G273" s="420"/>
      <c r="H273" s="420"/>
      <c r="I273" s="420"/>
      <c r="J273" s="420"/>
      <c r="K273" s="420"/>
      <c r="L273" s="420"/>
      <c r="M273" s="420"/>
      <c r="N273" s="420"/>
    </row>
    <row r="274" spans="2:15" s="69" customFormat="1">
      <c r="C274" s="69" t="s">
        <v>1278</v>
      </c>
      <c r="D274" s="69" t="s">
        <v>899</v>
      </c>
      <c r="E274" s="426">
        <f t="shared" ref="E274:N274" si="192">calcACVY1Q1</f>
        <v>9375000</v>
      </c>
      <c r="F274" s="426">
        <f t="shared" si="192"/>
        <v>9375000</v>
      </c>
      <c r="G274" s="426">
        <f t="shared" si="192"/>
        <v>9375000</v>
      </c>
      <c r="H274" s="426">
        <f t="shared" si="192"/>
        <v>9375000</v>
      </c>
      <c r="I274" s="426">
        <f t="shared" si="192"/>
        <v>9375000</v>
      </c>
      <c r="J274" s="426">
        <f t="shared" si="192"/>
        <v>9375000</v>
      </c>
      <c r="K274" s="426">
        <f t="shared" si="192"/>
        <v>9375000</v>
      </c>
      <c r="L274" s="426">
        <f t="shared" si="192"/>
        <v>9375000</v>
      </c>
      <c r="M274" s="426">
        <f t="shared" si="192"/>
        <v>9375000</v>
      </c>
      <c r="N274" s="426">
        <f t="shared" si="192"/>
        <v>9375000</v>
      </c>
      <c r="O274" s="426" t="s">
        <v>2107</v>
      </c>
    </row>
    <row r="275" spans="2:15" s="69" customFormat="1">
      <c r="C275" s="69" t="s">
        <v>1278</v>
      </c>
      <c r="D275" s="69" t="s">
        <v>900</v>
      </c>
      <c r="E275" s="426">
        <f t="shared" ref="E275:N275" si="193">calcACVY1Q2</f>
        <v>11458333.333333332</v>
      </c>
      <c r="F275" s="426">
        <f t="shared" si="193"/>
        <v>11458333.333333332</v>
      </c>
      <c r="G275" s="426">
        <f t="shared" si="193"/>
        <v>11458333.333333332</v>
      </c>
      <c r="H275" s="426">
        <f t="shared" si="193"/>
        <v>11458333.333333332</v>
      </c>
      <c r="I275" s="426">
        <f t="shared" si="193"/>
        <v>11458333.333333332</v>
      </c>
      <c r="J275" s="426">
        <f t="shared" si="193"/>
        <v>11458333.333333332</v>
      </c>
      <c r="K275" s="426">
        <f t="shared" si="193"/>
        <v>11458333.333333332</v>
      </c>
      <c r="L275" s="426">
        <f t="shared" si="193"/>
        <v>11458333.333333332</v>
      </c>
      <c r="M275" s="426">
        <f t="shared" si="193"/>
        <v>11458333.333333332</v>
      </c>
      <c r="N275" s="426">
        <f t="shared" si="193"/>
        <v>11458333.333333332</v>
      </c>
      <c r="O275" s="426" t="s">
        <v>2108</v>
      </c>
    </row>
    <row r="276" spans="2:15" s="69" customFormat="1">
      <c r="C276" s="69" t="s">
        <v>1278</v>
      </c>
      <c r="D276" s="69" t="s">
        <v>901</v>
      </c>
      <c r="E276" s="426">
        <f t="shared" ref="E276:N276" si="194">calcACVY1Q3</f>
        <v>17708333.333333336</v>
      </c>
      <c r="F276" s="426">
        <f t="shared" si="194"/>
        <v>17708333.333333336</v>
      </c>
      <c r="G276" s="426">
        <f t="shared" si="194"/>
        <v>17708333.333333336</v>
      </c>
      <c r="H276" s="426">
        <f t="shared" si="194"/>
        <v>17708333.333333336</v>
      </c>
      <c r="I276" s="426">
        <f t="shared" si="194"/>
        <v>17708333.333333336</v>
      </c>
      <c r="J276" s="426">
        <f t="shared" si="194"/>
        <v>17708333.333333336</v>
      </c>
      <c r="K276" s="426">
        <f t="shared" si="194"/>
        <v>17708333.333333336</v>
      </c>
      <c r="L276" s="426">
        <f t="shared" si="194"/>
        <v>17708333.333333336</v>
      </c>
      <c r="M276" s="426">
        <f t="shared" si="194"/>
        <v>17708333.333333336</v>
      </c>
      <c r="N276" s="426">
        <f t="shared" si="194"/>
        <v>17708333.333333336</v>
      </c>
      <c r="O276" s="426" t="s">
        <v>2109</v>
      </c>
    </row>
    <row r="277" spans="2:15" s="69" customFormat="1">
      <c r="C277" s="69" t="s">
        <v>1278</v>
      </c>
      <c r="D277" s="69" t="s">
        <v>902</v>
      </c>
      <c r="E277" s="426">
        <f t="shared" ref="E277:N277" si="195">calcACVY1Q4</f>
        <v>26041666.666666664</v>
      </c>
      <c r="F277" s="426">
        <f t="shared" si="195"/>
        <v>26041666.666666664</v>
      </c>
      <c r="G277" s="426">
        <f t="shared" si="195"/>
        <v>26041666.666666664</v>
      </c>
      <c r="H277" s="426">
        <f t="shared" si="195"/>
        <v>26041666.666666664</v>
      </c>
      <c r="I277" s="426">
        <f t="shared" si="195"/>
        <v>26041666.666666664</v>
      </c>
      <c r="J277" s="426">
        <f t="shared" si="195"/>
        <v>26041666.666666664</v>
      </c>
      <c r="K277" s="426">
        <f t="shared" si="195"/>
        <v>26041666.666666664</v>
      </c>
      <c r="L277" s="426">
        <f t="shared" si="195"/>
        <v>26041666.666666664</v>
      </c>
      <c r="M277" s="426">
        <f t="shared" si="195"/>
        <v>26041666.666666664</v>
      </c>
      <c r="N277" s="426">
        <f t="shared" si="195"/>
        <v>26041666.666666664</v>
      </c>
      <c r="O277" s="426" t="s">
        <v>2110</v>
      </c>
    </row>
    <row r="278" spans="2:15" s="69" customFormat="1">
      <c r="D278" s="69" t="s">
        <v>2101</v>
      </c>
      <c r="E278" s="426">
        <f t="shared" ref="E278:N278" si="196">calcACVTotalY1</f>
        <v>64583333.333333336</v>
      </c>
      <c r="F278" s="426">
        <f t="shared" si="196"/>
        <v>64583333.333333336</v>
      </c>
      <c r="G278" s="426">
        <f t="shared" si="196"/>
        <v>64583333.333333336</v>
      </c>
      <c r="H278" s="426">
        <f t="shared" si="196"/>
        <v>64583333.333333336</v>
      </c>
      <c r="I278" s="426">
        <f t="shared" si="196"/>
        <v>64583333.333333336</v>
      </c>
      <c r="J278" s="426">
        <f t="shared" si="196"/>
        <v>64583333.333333336</v>
      </c>
      <c r="K278" s="426">
        <f t="shared" si="196"/>
        <v>64583333.333333336</v>
      </c>
      <c r="L278" s="426">
        <f t="shared" si="196"/>
        <v>64583333.333333336</v>
      </c>
      <c r="M278" s="426">
        <f t="shared" si="196"/>
        <v>64583333.333333336</v>
      </c>
      <c r="N278" s="426">
        <f t="shared" si="196"/>
        <v>64583333.333333336</v>
      </c>
      <c r="O278" s="426" t="s">
        <v>2111</v>
      </c>
    </row>
    <row r="279" spans="2:15" s="69" customFormat="1">
      <c r="E279" s="426"/>
      <c r="F279" s="426"/>
      <c r="G279" s="426"/>
      <c r="H279" s="426"/>
      <c r="I279" s="426"/>
      <c r="J279" s="426"/>
      <c r="K279" s="426"/>
      <c r="L279" s="426"/>
      <c r="M279" s="426"/>
      <c r="N279" s="426"/>
      <c r="O279" s="426"/>
    </row>
    <row r="280" spans="2:15" s="69" customFormat="1">
      <c r="C280" s="69" t="s">
        <v>1279</v>
      </c>
      <c r="D280" s="69" t="s">
        <v>899</v>
      </c>
      <c r="E280" s="426">
        <f t="shared" ref="E280:N280" si="197">calcACVY2Q1</f>
        <v>11718750</v>
      </c>
      <c r="F280" s="426">
        <f t="shared" si="197"/>
        <v>11718750</v>
      </c>
      <c r="G280" s="426">
        <f t="shared" si="197"/>
        <v>11718750</v>
      </c>
      <c r="H280" s="426">
        <f t="shared" si="197"/>
        <v>11718750</v>
      </c>
      <c r="I280" s="426">
        <f t="shared" si="197"/>
        <v>11718750</v>
      </c>
      <c r="J280" s="426">
        <f t="shared" si="197"/>
        <v>11718750</v>
      </c>
      <c r="K280" s="426">
        <f t="shared" si="197"/>
        <v>11718750</v>
      </c>
      <c r="L280" s="426">
        <f t="shared" si="197"/>
        <v>11718750</v>
      </c>
      <c r="M280" s="426">
        <f t="shared" si="197"/>
        <v>11718750</v>
      </c>
      <c r="N280" s="426">
        <f t="shared" si="197"/>
        <v>11718750</v>
      </c>
      <c r="O280" s="426" t="s">
        <v>2112</v>
      </c>
    </row>
    <row r="281" spans="2:15" s="69" customFormat="1">
      <c r="C281" s="69" t="s">
        <v>1279</v>
      </c>
      <c r="D281" s="69" t="s">
        <v>900</v>
      </c>
      <c r="E281" s="426">
        <f t="shared" ref="E281:N281" si="198">calcACVY2Q2</f>
        <v>14322916.666666664</v>
      </c>
      <c r="F281" s="426">
        <f t="shared" si="198"/>
        <v>14322916.666666664</v>
      </c>
      <c r="G281" s="426">
        <f t="shared" si="198"/>
        <v>14322916.666666664</v>
      </c>
      <c r="H281" s="426">
        <f t="shared" si="198"/>
        <v>14322916.666666664</v>
      </c>
      <c r="I281" s="426">
        <f t="shared" si="198"/>
        <v>14322916.666666664</v>
      </c>
      <c r="J281" s="426">
        <f t="shared" si="198"/>
        <v>14322916.666666664</v>
      </c>
      <c r="K281" s="426">
        <f t="shared" si="198"/>
        <v>14322916.666666664</v>
      </c>
      <c r="L281" s="426">
        <f t="shared" si="198"/>
        <v>14322916.666666664</v>
      </c>
      <c r="M281" s="426">
        <f t="shared" si="198"/>
        <v>14322916.666666664</v>
      </c>
      <c r="N281" s="426">
        <f t="shared" si="198"/>
        <v>14322916.666666664</v>
      </c>
      <c r="O281" s="426" t="s">
        <v>2113</v>
      </c>
    </row>
    <row r="282" spans="2:15" s="69" customFormat="1">
      <c r="C282" s="69" t="s">
        <v>1279</v>
      </c>
      <c r="D282" s="69" t="s">
        <v>901</v>
      </c>
      <c r="E282" s="426">
        <f t="shared" ref="E282:N282" si="199">calcACVY2Q3</f>
        <v>22135416.666666672</v>
      </c>
      <c r="F282" s="426">
        <f t="shared" si="199"/>
        <v>22135416.666666672</v>
      </c>
      <c r="G282" s="426">
        <f t="shared" si="199"/>
        <v>22135416.666666672</v>
      </c>
      <c r="H282" s="426">
        <f t="shared" si="199"/>
        <v>22135416.666666672</v>
      </c>
      <c r="I282" s="426">
        <f t="shared" si="199"/>
        <v>22135416.666666672</v>
      </c>
      <c r="J282" s="426">
        <f t="shared" si="199"/>
        <v>22135416.666666672</v>
      </c>
      <c r="K282" s="426">
        <f t="shared" si="199"/>
        <v>22135416.666666672</v>
      </c>
      <c r="L282" s="426">
        <f t="shared" si="199"/>
        <v>22135416.666666672</v>
      </c>
      <c r="M282" s="426">
        <f t="shared" si="199"/>
        <v>22135416.666666672</v>
      </c>
      <c r="N282" s="426">
        <f t="shared" si="199"/>
        <v>22135416.666666672</v>
      </c>
      <c r="O282" s="426" t="s">
        <v>2114</v>
      </c>
    </row>
    <row r="283" spans="2:15" s="69" customFormat="1">
      <c r="C283" s="69" t="s">
        <v>1279</v>
      </c>
      <c r="D283" s="69" t="s">
        <v>902</v>
      </c>
      <c r="E283" s="426">
        <f t="shared" ref="E283:N283" si="200">calcACVY2Q4</f>
        <v>32552083.333333328</v>
      </c>
      <c r="F283" s="426">
        <f t="shared" si="200"/>
        <v>32552083.333333328</v>
      </c>
      <c r="G283" s="426">
        <f t="shared" si="200"/>
        <v>32552083.333333328</v>
      </c>
      <c r="H283" s="426">
        <f t="shared" si="200"/>
        <v>32552083.333333328</v>
      </c>
      <c r="I283" s="426">
        <f t="shared" si="200"/>
        <v>32552083.333333328</v>
      </c>
      <c r="J283" s="426">
        <f t="shared" si="200"/>
        <v>32552083.333333328</v>
      </c>
      <c r="K283" s="426">
        <f t="shared" si="200"/>
        <v>32552083.333333328</v>
      </c>
      <c r="L283" s="426">
        <f t="shared" si="200"/>
        <v>32552083.333333328</v>
      </c>
      <c r="M283" s="426">
        <f t="shared" si="200"/>
        <v>32552083.333333328</v>
      </c>
      <c r="N283" s="426">
        <f t="shared" si="200"/>
        <v>32552083.333333328</v>
      </c>
      <c r="O283" s="426" t="s">
        <v>2115</v>
      </c>
    </row>
    <row r="284" spans="2:15" s="69" customFormat="1">
      <c r="D284" s="69" t="s">
        <v>2101</v>
      </c>
      <c r="E284" s="426">
        <f t="shared" ref="E284:N284" si="201">calcACVTotalY2</f>
        <v>80729166.666666657</v>
      </c>
      <c r="F284" s="426">
        <f t="shared" si="201"/>
        <v>80729166.666666657</v>
      </c>
      <c r="G284" s="426">
        <f t="shared" si="201"/>
        <v>80729166.666666657</v>
      </c>
      <c r="H284" s="426">
        <f t="shared" si="201"/>
        <v>80729166.666666657</v>
      </c>
      <c r="I284" s="426">
        <f t="shared" si="201"/>
        <v>80729166.666666657</v>
      </c>
      <c r="J284" s="426">
        <f t="shared" si="201"/>
        <v>80729166.666666657</v>
      </c>
      <c r="K284" s="426">
        <f t="shared" si="201"/>
        <v>80729166.666666657</v>
      </c>
      <c r="L284" s="426">
        <f t="shared" si="201"/>
        <v>80729166.666666657</v>
      </c>
      <c r="M284" s="426">
        <f t="shared" si="201"/>
        <v>80729166.666666657</v>
      </c>
      <c r="N284" s="426">
        <f t="shared" si="201"/>
        <v>80729166.666666657</v>
      </c>
      <c r="O284" s="426" t="s">
        <v>2116</v>
      </c>
    </row>
    <row r="286" spans="2:15" s="69" customFormat="1">
      <c r="B286" s="69" t="s">
        <v>690</v>
      </c>
      <c r="E286" s="417"/>
      <c r="F286" s="417"/>
      <c r="G286" s="417"/>
      <c r="H286" s="417"/>
      <c r="I286" s="417"/>
      <c r="J286" s="417"/>
      <c r="K286" s="417"/>
      <c r="L286" s="417"/>
      <c r="M286" s="417"/>
      <c r="N286" s="417"/>
    </row>
    <row r="287" spans="2:15" s="69" customFormat="1">
      <c r="C287" s="217" t="s">
        <v>140</v>
      </c>
      <c r="E287" s="417"/>
      <c r="F287" s="417"/>
      <c r="G287" s="417"/>
      <c r="H287" s="417"/>
      <c r="I287" s="417"/>
      <c r="J287" s="417"/>
      <c r="K287" s="417"/>
      <c r="L287" s="417"/>
      <c r="M287" s="417"/>
      <c r="N287" s="417"/>
    </row>
    <row r="288" spans="2:15" s="410" customFormat="1">
      <c r="D288" s="410" t="s">
        <v>2950</v>
      </c>
      <c r="E288" s="418">
        <f t="shared" ref="E288:N288" si="202">calcY5Q1Rev</f>
        <v>115131206.66485702</v>
      </c>
      <c r="F288" s="418">
        <f t="shared" si="202"/>
        <v>115131206.66485702</v>
      </c>
      <c r="G288" s="418">
        <f t="shared" si="202"/>
        <v>115131206.66485702</v>
      </c>
      <c r="H288" s="418">
        <f t="shared" si="202"/>
        <v>115131206.66485702</v>
      </c>
      <c r="I288" s="418">
        <f t="shared" si="202"/>
        <v>115131206.66485702</v>
      </c>
      <c r="J288" s="418">
        <f t="shared" si="202"/>
        <v>115131206.66485702</v>
      </c>
      <c r="K288" s="418">
        <f t="shared" si="202"/>
        <v>115131206.66485702</v>
      </c>
      <c r="L288" s="418">
        <f t="shared" si="202"/>
        <v>115131206.66485702</v>
      </c>
      <c r="M288" s="418">
        <f t="shared" si="202"/>
        <v>115131206.66485702</v>
      </c>
      <c r="N288" s="418">
        <f t="shared" si="202"/>
        <v>115131206.66485702</v>
      </c>
      <c r="O288" s="410" t="s">
        <v>2951</v>
      </c>
    </row>
    <row r="289" spans="1:15" s="410" customFormat="1">
      <c r="D289" s="410" t="s">
        <v>2952</v>
      </c>
      <c r="E289" s="418">
        <f t="shared" ref="E289:N289" si="203">calcY5Q2Rev</f>
        <v>119618442.43590564</v>
      </c>
      <c r="F289" s="418">
        <f t="shared" si="203"/>
        <v>119618442.43590564</v>
      </c>
      <c r="G289" s="418">
        <f t="shared" si="203"/>
        <v>119618442.43590564</v>
      </c>
      <c r="H289" s="418">
        <f t="shared" si="203"/>
        <v>119618442.43590564</v>
      </c>
      <c r="I289" s="418">
        <f t="shared" si="203"/>
        <v>119618442.43590564</v>
      </c>
      <c r="J289" s="418">
        <f t="shared" si="203"/>
        <v>119618442.43590564</v>
      </c>
      <c r="K289" s="418">
        <f t="shared" si="203"/>
        <v>119618442.43590564</v>
      </c>
      <c r="L289" s="418">
        <f t="shared" si="203"/>
        <v>119618442.43590564</v>
      </c>
      <c r="M289" s="418">
        <f t="shared" si="203"/>
        <v>119618442.43590564</v>
      </c>
      <c r="N289" s="418">
        <f t="shared" si="203"/>
        <v>119618442.43590564</v>
      </c>
      <c r="O289" s="410" t="s">
        <v>2953</v>
      </c>
    </row>
    <row r="290" spans="1:15" s="410" customFormat="1">
      <c r="D290" s="410" t="s">
        <v>2954</v>
      </c>
      <c r="E290" s="418">
        <f t="shared" ref="E290:N290" si="204">calcY5Q3Rev</f>
        <v>126552551.81532486</v>
      </c>
      <c r="F290" s="418">
        <f t="shared" si="204"/>
        <v>126552551.81532486</v>
      </c>
      <c r="G290" s="418">
        <f t="shared" si="204"/>
        <v>126552551.81532486</v>
      </c>
      <c r="H290" s="418">
        <f t="shared" si="204"/>
        <v>126552551.81532486</v>
      </c>
      <c r="I290" s="418">
        <f t="shared" si="204"/>
        <v>126552551.81532486</v>
      </c>
      <c r="J290" s="418">
        <f t="shared" si="204"/>
        <v>126552551.81532486</v>
      </c>
      <c r="K290" s="418">
        <f t="shared" si="204"/>
        <v>126552551.81532486</v>
      </c>
      <c r="L290" s="418">
        <f t="shared" si="204"/>
        <v>126552551.81532486</v>
      </c>
      <c r="M290" s="418">
        <f t="shared" si="204"/>
        <v>126552551.81532486</v>
      </c>
      <c r="N290" s="418">
        <f t="shared" si="204"/>
        <v>126552551.81532486</v>
      </c>
      <c r="O290" s="410" t="s">
        <v>2955</v>
      </c>
    </row>
    <row r="291" spans="1:15" s="410" customFormat="1">
      <c r="D291" s="410" t="s">
        <v>2956</v>
      </c>
      <c r="E291" s="418">
        <f t="shared" ref="E291:N291" si="205">calcY5Q4Rev</f>
        <v>136748787.67570418</v>
      </c>
      <c r="F291" s="418">
        <f t="shared" si="205"/>
        <v>136748787.67570418</v>
      </c>
      <c r="G291" s="418">
        <f t="shared" si="205"/>
        <v>136748787.67570418</v>
      </c>
      <c r="H291" s="418">
        <f t="shared" si="205"/>
        <v>136748787.67570418</v>
      </c>
      <c r="I291" s="418">
        <f t="shared" si="205"/>
        <v>136748787.67570418</v>
      </c>
      <c r="J291" s="418">
        <f t="shared" si="205"/>
        <v>136748787.67570418</v>
      </c>
      <c r="K291" s="418">
        <f t="shared" si="205"/>
        <v>136748787.67570418</v>
      </c>
      <c r="L291" s="418">
        <f t="shared" si="205"/>
        <v>136748787.67570418</v>
      </c>
      <c r="M291" s="418">
        <f t="shared" si="205"/>
        <v>136748787.67570418</v>
      </c>
      <c r="N291" s="418">
        <f t="shared" si="205"/>
        <v>136748787.67570418</v>
      </c>
      <c r="O291" s="410" t="s">
        <v>2957</v>
      </c>
    </row>
    <row r="292" spans="1:15">
      <c r="D292" s="217" t="s">
        <v>492</v>
      </c>
      <c r="E292" s="419">
        <f t="shared" ref="E292:N292" si="206">finY5Q1Rev+finY5Q2Rev+finY5Q3Rev+finY5Q4Rev</f>
        <v>498050988.59179169</v>
      </c>
      <c r="F292" s="419">
        <f t="shared" si="206"/>
        <v>498050988.59179169</v>
      </c>
      <c r="G292" s="419">
        <f t="shared" si="206"/>
        <v>498050988.59179169</v>
      </c>
      <c r="H292" s="419">
        <f t="shared" si="206"/>
        <v>498050988.59179169</v>
      </c>
      <c r="I292" s="419">
        <f t="shared" si="206"/>
        <v>498050988.59179169</v>
      </c>
      <c r="J292" s="419">
        <f t="shared" si="206"/>
        <v>498050988.59179169</v>
      </c>
      <c r="K292" s="419">
        <f t="shared" si="206"/>
        <v>498050988.59179169</v>
      </c>
      <c r="L292" s="419">
        <f t="shared" si="206"/>
        <v>498050988.59179169</v>
      </c>
      <c r="M292" s="419">
        <f t="shared" si="206"/>
        <v>498050988.59179169</v>
      </c>
      <c r="N292" s="419">
        <f t="shared" si="206"/>
        <v>498050988.59179169</v>
      </c>
      <c r="O292" s="410" t="s">
        <v>2958</v>
      </c>
    </row>
    <row r="293" spans="1:15">
      <c r="D293" s="217"/>
      <c r="F293" s="777"/>
      <c r="O293" s="410"/>
    </row>
    <row r="294" spans="1:15">
      <c r="C294" s="65" t="s">
        <v>434</v>
      </c>
    </row>
    <row r="295" spans="1:15">
      <c r="D295" s="410" t="s">
        <v>2959</v>
      </c>
      <c r="E295" s="419">
        <f t="shared" ref="E295:N295" si="207">finY5Q1Rev*calcY5Q1COSPerc</f>
        <v>23026241.332971405</v>
      </c>
      <c r="F295" s="419">
        <f t="shared" si="207"/>
        <v>23026241.332971405</v>
      </c>
      <c r="G295" s="419">
        <f t="shared" si="207"/>
        <v>23026241.332971405</v>
      </c>
      <c r="H295" s="419">
        <f t="shared" si="207"/>
        <v>23026241.332971405</v>
      </c>
      <c r="I295" s="419">
        <f t="shared" si="207"/>
        <v>23026241.332971405</v>
      </c>
      <c r="J295" s="419">
        <f t="shared" si="207"/>
        <v>23026241.332971405</v>
      </c>
      <c r="K295" s="419">
        <f t="shared" si="207"/>
        <v>23026241.332971405</v>
      </c>
      <c r="L295" s="419">
        <f t="shared" si="207"/>
        <v>23026241.332971405</v>
      </c>
      <c r="M295" s="419">
        <f t="shared" si="207"/>
        <v>23026241.332971405</v>
      </c>
      <c r="N295" s="419">
        <f t="shared" si="207"/>
        <v>23026241.332971405</v>
      </c>
      <c r="O295" s="410" t="s">
        <v>2960</v>
      </c>
    </row>
    <row r="296" spans="1:15">
      <c r="D296" s="410" t="s">
        <v>2961</v>
      </c>
      <c r="E296" s="419">
        <f t="shared" ref="E296:N296" si="208">finY5Q2Rev*calcY5Q2COSPerc</f>
        <v>23923688.487181127</v>
      </c>
      <c r="F296" s="419">
        <f t="shared" si="208"/>
        <v>23923688.487181127</v>
      </c>
      <c r="G296" s="419">
        <f t="shared" si="208"/>
        <v>23923688.487181127</v>
      </c>
      <c r="H296" s="419">
        <f t="shared" si="208"/>
        <v>23923688.487181127</v>
      </c>
      <c r="I296" s="419">
        <f t="shared" si="208"/>
        <v>23923688.487181127</v>
      </c>
      <c r="J296" s="419">
        <f t="shared" si="208"/>
        <v>23923688.487181127</v>
      </c>
      <c r="K296" s="419">
        <f t="shared" si="208"/>
        <v>23923688.487181127</v>
      </c>
      <c r="L296" s="419">
        <f t="shared" si="208"/>
        <v>23923688.487181127</v>
      </c>
      <c r="M296" s="419">
        <f t="shared" si="208"/>
        <v>23923688.487181127</v>
      </c>
      <c r="N296" s="419">
        <f t="shared" si="208"/>
        <v>23923688.487181127</v>
      </c>
      <c r="O296" s="410" t="s">
        <v>2962</v>
      </c>
    </row>
    <row r="297" spans="1:15">
      <c r="D297" s="410" t="s">
        <v>2963</v>
      </c>
      <c r="E297" s="419">
        <f t="shared" ref="E297:N297" si="209">finY5Q3Rev*calcY5Q3COSPerc</f>
        <v>25310510.363064975</v>
      </c>
      <c r="F297" s="419">
        <f t="shared" si="209"/>
        <v>25310510.363064975</v>
      </c>
      <c r="G297" s="419">
        <f t="shared" si="209"/>
        <v>25310510.363064975</v>
      </c>
      <c r="H297" s="419">
        <f t="shared" si="209"/>
        <v>25310510.363064975</v>
      </c>
      <c r="I297" s="419">
        <f t="shared" si="209"/>
        <v>25310510.363064975</v>
      </c>
      <c r="J297" s="419">
        <f t="shared" si="209"/>
        <v>25310510.363064975</v>
      </c>
      <c r="K297" s="419">
        <f t="shared" si="209"/>
        <v>25310510.363064975</v>
      </c>
      <c r="L297" s="419">
        <f t="shared" si="209"/>
        <v>25310510.363064975</v>
      </c>
      <c r="M297" s="419">
        <f t="shared" si="209"/>
        <v>25310510.363064975</v>
      </c>
      <c r="N297" s="419">
        <f t="shared" si="209"/>
        <v>25310510.363064975</v>
      </c>
      <c r="O297" s="410" t="s">
        <v>2964</v>
      </c>
    </row>
    <row r="298" spans="1:15">
      <c r="D298" s="410" t="s">
        <v>2965</v>
      </c>
      <c r="E298" s="419">
        <f t="shared" ref="E298:N298" si="210">finY5Q4Rev*calcY5Q4COSPerc</f>
        <v>27349757.535140838</v>
      </c>
      <c r="F298" s="419">
        <f t="shared" si="210"/>
        <v>27349757.535140838</v>
      </c>
      <c r="G298" s="419">
        <f t="shared" si="210"/>
        <v>27349757.535140838</v>
      </c>
      <c r="H298" s="419">
        <f t="shared" si="210"/>
        <v>27349757.535140838</v>
      </c>
      <c r="I298" s="419">
        <f t="shared" si="210"/>
        <v>27349757.535140838</v>
      </c>
      <c r="J298" s="419">
        <f t="shared" si="210"/>
        <v>27349757.535140838</v>
      </c>
      <c r="K298" s="419">
        <f t="shared" si="210"/>
        <v>27349757.535140838</v>
      </c>
      <c r="L298" s="419">
        <f t="shared" si="210"/>
        <v>27349757.535140838</v>
      </c>
      <c r="M298" s="419">
        <f t="shared" si="210"/>
        <v>27349757.535140838</v>
      </c>
      <c r="N298" s="419">
        <f t="shared" si="210"/>
        <v>27349757.535140838</v>
      </c>
      <c r="O298" s="410" t="s">
        <v>2966</v>
      </c>
    </row>
    <row r="299" spans="1:15" s="65" customFormat="1">
      <c r="D299" s="217" t="s">
        <v>930</v>
      </c>
      <c r="E299" s="420">
        <f t="shared" ref="E299:N299" si="211">finY5Q1COS+finY5Q2COS+finY5Q3COS+finY5Q4COS</f>
        <v>99610197.718358353</v>
      </c>
      <c r="F299" s="420">
        <f t="shared" si="211"/>
        <v>99610197.718358353</v>
      </c>
      <c r="G299" s="420">
        <f t="shared" si="211"/>
        <v>99610197.718358353</v>
      </c>
      <c r="H299" s="420">
        <f t="shared" si="211"/>
        <v>99610197.718358353</v>
      </c>
      <c r="I299" s="420">
        <f t="shared" si="211"/>
        <v>99610197.718358353</v>
      </c>
      <c r="J299" s="420">
        <f t="shared" si="211"/>
        <v>99610197.718358353</v>
      </c>
      <c r="K299" s="420">
        <f t="shared" si="211"/>
        <v>99610197.718358353</v>
      </c>
      <c r="L299" s="420">
        <f t="shared" si="211"/>
        <v>99610197.718358353</v>
      </c>
      <c r="M299" s="420">
        <f t="shared" si="211"/>
        <v>99610197.718358353</v>
      </c>
      <c r="N299" s="420">
        <f t="shared" si="211"/>
        <v>99610197.718358353</v>
      </c>
      <c r="O299" s="217" t="s">
        <v>2967</v>
      </c>
    </row>
    <row r="301" spans="1:15">
      <c r="C301" t="s">
        <v>237</v>
      </c>
      <c r="E301" s="420">
        <f t="shared" ref="E301:N301" si="212">FinY5AnnualRev-finY5AnnualCOS</f>
        <v>398440790.87343335</v>
      </c>
      <c r="F301" s="420">
        <f t="shared" si="212"/>
        <v>398440790.87343335</v>
      </c>
      <c r="G301" s="420">
        <f t="shared" si="212"/>
        <v>398440790.87343335</v>
      </c>
      <c r="H301" s="420">
        <f t="shared" si="212"/>
        <v>398440790.87343335</v>
      </c>
      <c r="I301" s="420">
        <f t="shared" si="212"/>
        <v>398440790.87343335</v>
      </c>
      <c r="J301" s="420">
        <f t="shared" si="212"/>
        <v>398440790.87343335</v>
      </c>
      <c r="K301" s="420">
        <f t="shared" si="212"/>
        <v>398440790.87343335</v>
      </c>
      <c r="L301" s="420">
        <f t="shared" si="212"/>
        <v>398440790.87343335</v>
      </c>
      <c r="M301" s="420">
        <f t="shared" si="212"/>
        <v>398440790.87343335</v>
      </c>
      <c r="N301" s="420">
        <f t="shared" si="212"/>
        <v>398440790.87343335</v>
      </c>
      <c r="O301" s="410" t="s">
        <v>2968</v>
      </c>
    </row>
    <row r="302" spans="1:15" s="295" customFormat="1">
      <c r="D302" s="421" t="s">
        <v>967</v>
      </c>
      <c r="E302" s="422">
        <f t="shared" ref="E302:N302" si="213">finAnnualGrossProfit/FinAnnualRev</f>
        <v>0.8</v>
      </c>
      <c r="F302" s="422">
        <f t="shared" si="213"/>
        <v>0.8</v>
      </c>
      <c r="G302" s="422">
        <f t="shared" si="213"/>
        <v>0.8</v>
      </c>
      <c r="H302" s="422">
        <f t="shared" si="213"/>
        <v>0.8</v>
      </c>
      <c r="I302" s="422">
        <f t="shared" si="213"/>
        <v>0.8</v>
      </c>
      <c r="J302" s="422">
        <f t="shared" si="213"/>
        <v>0.8</v>
      </c>
      <c r="K302" s="422">
        <f t="shared" si="213"/>
        <v>0.8</v>
      </c>
      <c r="L302" s="422">
        <f t="shared" si="213"/>
        <v>0.8</v>
      </c>
      <c r="M302" s="422">
        <f t="shared" si="213"/>
        <v>0.8</v>
      </c>
      <c r="N302" s="422">
        <f t="shared" si="213"/>
        <v>0.8</v>
      </c>
      <c r="O302" s="423" t="s">
        <v>2969</v>
      </c>
    </row>
    <row r="303" spans="1:15" s="295" customFormat="1">
      <c r="D303" s="421"/>
      <c r="E303" s="422"/>
      <c r="F303" s="422"/>
      <c r="G303" s="422"/>
      <c r="H303" s="422"/>
      <c r="I303" s="422"/>
      <c r="J303" s="422"/>
      <c r="K303" s="422"/>
      <c r="L303" s="422"/>
      <c r="M303" s="422"/>
      <c r="N303" s="422"/>
      <c r="O303" s="423"/>
    </row>
    <row r="304" spans="1:15">
      <c r="A304" s="65" t="s">
        <v>422</v>
      </c>
    </row>
    <row r="305" spans="3:15">
      <c r="C305" t="s">
        <v>936</v>
      </c>
    </row>
    <row r="306" spans="3:15">
      <c r="D306" t="s">
        <v>2970</v>
      </c>
      <c r="E306" s="419">
        <f t="shared" ref="E306:N306" si="214">calcY5Q1MSExp</f>
        <v>36642431.910866097</v>
      </c>
      <c r="F306" s="419">
        <f t="shared" si="214"/>
        <v>36642431.910866097</v>
      </c>
      <c r="G306" s="419">
        <f t="shared" si="214"/>
        <v>36642431.910866097</v>
      </c>
      <c r="H306" s="419">
        <f t="shared" si="214"/>
        <v>36642431.910866097</v>
      </c>
      <c r="I306" s="419">
        <f t="shared" si="214"/>
        <v>36642431.910866097</v>
      </c>
      <c r="J306" s="419">
        <f t="shared" si="214"/>
        <v>36642431.910866097</v>
      </c>
      <c r="K306" s="419">
        <f t="shared" si="214"/>
        <v>36642431.910866097</v>
      </c>
      <c r="L306" s="419">
        <f t="shared" si="214"/>
        <v>36642431.910866097</v>
      </c>
      <c r="M306" s="419">
        <f t="shared" si="214"/>
        <v>36642431.910866097</v>
      </c>
      <c r="N306" s="419">
        <f t="shared" si="214"/>
        <v>36642431.910866097</v>
      </c>
      <c r="O306" t="s">
        <v>2971</v>
      </c>
    </row>
    <row r="307" spans="3:15">
      <c r="D307" t="s">
        <v>2972</v>
      </c>
      <c r="E307" s="419">
        <f t="shared" ref="E307:N307" si="215">calcY5Q2MSExp</f>
        <v>39256102.311141759</v>
      </c>
      <c r="F307" s="419">
        <f t="shared" si="215"/>
        <v>39256102.311141759</v>
      </c>
      <c r="G307" s="419">
        <f t="shared" si="215"/>
        <v>39256102.311141759</v>
      </c>
      <c r="H307" s="419">
        <f t="shared" si="215"/>
        <v>39256102.311141759</v>
      </c>
      <c r="I307" s="419">
        <f t="shared" si="215"/>
        <v>39256102.311141759</v>
      </c>
      <c r="J307" s="419">
        <f t="shared" si="215"/>
        <v>39256102.311141759</v>
      </c>
      <c r="K307" s="419">
        <f t="shared" si="215"/>
        <v>39256102.311141759</v>
      </c>
      <c r="L307" s="419">
        <f t="shared" si="215"/>
        <v>39256102.311141759</v>
      </c>
      <c r="M307" s="419">
        <f t="shared" si="215"/>
        <v>39256102.311141759</v>
      </c>
      <c r="N307" s="419">
        <f t="shared" si="215"/>
        <v>39256102.311141759</v>
      </c>
      <c r="O307" t="s">
        <v>2973</v>
      </c>
    </row>
    <row r="308" spans="3:15">
      <c r="D308" t="s">
        <v>2974</v>
      </c>
      <c r="E308" s="419">
        <f t="shared" ref="E308:N308" si="216">calcY5Q3MSExp</f>
        <v>43518069.445161074</v>
      </c>
      <c r="F308" s="419">
        <f t="shared" si="216"/>
        <v>43518069.445161074</v>
      </c>
      <c r="G308" s="419">
        <f t="shared" si="216"/>
        <v>43518069.445161074</v>
      </c>
      <c r="H308" s="419">
        <f t="shared" si="216"/>
        <v>43518069.445161074</v>
      </c>
      <c r="I308" s="419">
        <f t="shared" si="216"/>
        <v>43518069.445161074</v>
      </c>
      <c r="J308" s="419">
        <f t="shared" si="216"/>
        <v>43518069.445161074</v>
      </c>
      <c r="K308" s="419">
        <f t="shared" si="216"/>
        <v>43518069.445161074</v>
      </c>
      <c r="L308" s="419">
        <f t="shared" si="216"/>
        <v>43518069.445161074</v>
      </c>
      <c r="M308" s="419">
        <f t="shared" si="216"/>
        <v>43518069.445161074</v>
      </c>
      <c r="N308" s="419">
        <f t="shared" si="216"/>
        <v>43518069.445161074</v>
      </c>
      <c r="O308" t="s">
        <v>2975</v>
      </c>
    </row>
    <row r="309" spans="3:15">
      <c r="D309" t="s">
        <v>2976</v>
      </c>
      <c r="E309" s="419">
        <f t="shared" ref="E309:N309" si="217">calcY5Q4MSExp</f>
        <v>49900044.807777807</v>
      </c>
      <c r="F309" s="419">
        <f t="shared" si="217"/>
        <v>49900044.807777807</v>
      </c>
      <c r="G309" s="419">
        <f t="shared" si="217"/>
        <v>49900044.807777807</v>
      </c>
      <c r="H309" s="419">
        <f t="shared" si="217"/>
        <v>49900044.807777807</v>
      </c>
      <c r="I309" s="419">
        <f t="shared" si="217"/>
        <v>49900044.807777807</v>
      </c>
      <c r="J309" s="419">
        <f t="shared" si="217"/>
        <v>49900044.807777807</v>
      </c>
      <c r="K309" s="419">
        <f t="shared" si="217"/>
        <v>49900044.807777807</v>
      </c>
      <c r="L309" s="419">
        <f t="shared" si="217"/>
        <v>49900044.807777807</v>
      </c>
      <c r="M309" s="419">
        <f t="shared" si="217"/>
        <v>49900044.807777807</v>
      </c>
      <c r="N309" s="419">
        <f t="shared" si="217"/>
        <v>49900044.807777807</v>
      </c>
      <c r="O309" t="s">
        <v>2977</v>
      </c>
    </row>
    <row r="310" spans="3:15" s="65" customFormat="1">
      <c r="D310" s="65" t="s">
        <v>949</v>
      </c>
      <c r="E310" s="420">
        <f t="shared" ref="E310:N310" si="218">finY5Q1MSExp+finY5Q2MSExp+finY5Q3MSExp+finY5Q4MSExp</f>
        <v>169316648.47494674</v>
      </c>
      <c r="F310" s="420">
        <f t="shared" si="218"/>
        <v>169316648.47494674</v>
      </c>
      <c r="G310" s="420">
        <f t="shared" si="218"/>
        <v>169316648.47494674</v>
      </c>
      <c r="H310" s="420">
        <f t="shared" si="218"/>
        <v>169316648.47494674</v>
      </c>
      <c r="I310" s="420">
        <f t="shared" si="218"/>
        <v>169316648.47494674</v>
      </c>
      <c r="J310" s="420">
        <f t="shared" si="218"/>
        <v>169316648.47494674</v>
      </c>
      <c r="K310" s="420">
        <f t="shared" si="218"/>
        <v>169316648.47494674</v>
      </c>
      <c r="L310" s="420">
        <f t="shared" si="218"/>
        <v>169316648.47494674</v>
      </c>
      <c r="M310" s="420">
        <f t="shared" si="218"/>
        <v>169316648.47494674</v>
      </c>
      <c r="N310" s="420">
        <f t="shared" si="218"/>
        <v>169316648.47494674</v>
      </c>
      <c r="O310" s="65" t="s">
        <v>2978</v>
      </c>
    </row>
    <row r="311" spans="3:15">
      <c r="C311" t="s">
        <v>424</v>
      </c>
    </row>
    <row r="312" spans="3:15">
      <c r="D312" t="s">
        <v>2979</v>
      </c>
      <c r="E312" s="419">
        <f t="shared" ref="E312:N312" si="219">calcY5Q1RDExp</f>
        <v>27420067.025434632</v>
      </c>
      <c r="F312" s="419">
        <f t="shared" si="219"/>
        <v>27420067.025434632</v>
      </c>
      <c r="G312" s="419">
        <f t="shared" si="219"/>
        <v>27420067.025434632</v>
      </c>
      <c r="H312" s="419">
        <f t="shared" si="219"/>
        <v>27420067.025434632</v>
      </c>
      <c r="I312" s="419">
        <f t="shared" si="219"/>
        <v>27420067.025434632</v>
      </c>
      <c r="J312" s="419">
        <f t="shared" si="219"/>
        <v>27420067.025434632</v>
      </c>
      <c r="K312" s="419">
        <f t="shared" si="219"/>
        <v>27420067.025434632</v>
      </c>
      <c r="L312" s="419">
        <f t="shared" si="219"/>
        <v>27420067.025434632</v>
      </c>
      <c r="M312" s="419">
        <f t="shared" si="219"/>
        <v>27420067.025434632</v>
      </c>
      <c r="N312" s="419">
        <f t="shared" si="219"/>
        <v>27420067.025434632</v>
      </c>
      <c r="O312" t="s">
        <v>2980</v>
      </c>
    </row>
    <row r="313" spans="3:15">
      <c r="D313" t="s">
        <v>2981</v>
      </c>
      <c r="E313" s="419">
        <f t="shared" ref="E313:N313" si="220">calcY5Q2RDExp</f>
        <v>29375914.763168998</v>
      </c>
      <c r="F313" s="419">
        <f t="shared" si="220"/>
        <v>29375914.763168998</v>
      </c>
      <c r="G313" s="419">
        <f t="shared" si="220"/>
        <v>29375914.763168998</v>
      </c>
      <c r="H313" s="419">
        <f t="shared" si="220"/>
        <v>29375914.763168998</v>
      </c>
      <c r="I313" s="419">
        <f t="shared" si="220"/>
        <v>29375914.763168998</v>
      </c>
      <c r="J313" s="419">
        <f t="shared" si="220"/>
        <v>29375914.763168998</v>
      </c>
      <c r="K313" s="419">
        <f t="shared" si="220"/>
        <v>29375914.763168998</v>
      </c>
      <c r="L313" s="419">
        <f t="shared" si="220"/>
        <v>29375914.763168998</v>
      </c>
      <c r="M313" s="419">
        <f t="shared" si="220"/>
        <v>29375914.763168998</v>
      </c>
      <c r="N313" s="419">
        <f t="shared" si="220"/>
        <v>29375914.763168998</v>
      </c>
      <c r="O313" t="s">
        <v>2982</v>
      </c>
    </row>
    <row r="314" spans="3:15">
      <c r="D314" t="s">
        <v>2983</v>
      </c>
      <c r="E314" s="419">
        <f t="shared" ref="E314:N314" si="221">calcY5Q3RDExp</f>
        <v>32565207.023008179</v>
      </c>
      <c r="F314" s="419">
        <f t="shared" si="221"/>
        <v>32565207.023008179</v>
      </c>
      <c r="G314" s="419">
        <f t="shared" si="221"/>
        <v>32565207.023008179</v>
      </c>
      <c r="H314" s="419">
        <f t="shared" si="221"/>
        <v>32565207.023008179</v>
      </c>
      <c r="I314" s="419">
        <f t="shared" si="221"/>
        <v>32565207.023008179</v>
      </c>
      <c r="J314" s="419">
        <f t="shared" si="221"/>
        <v>32565207.023008179</v>
      </c>
      <c r="K314" s="419">
        <f t="shared" si="221"/>
        <v>32565207.023008179</v>
      </c>
      <c r="L314" s="419">
        <f t="shared" si="221"/>
        <v>32565207.023008179</v>
      </c>
      <c r="M314" s="419">
        <f t="shared" si="221"/>
        <v>32565207.023008179</v>
      </c>
      <c r="N314" s="419">
        <f t="shared" si="221"/>
        <v>32565207.023008179</v>
      </c>
      <c r="O314" t="s">
        <v>2984</v>
      </c>
    </row>
    <row r="315" spans="3:15">
      <c r="D315" t="s">
        <v>2985</v>
      </c>
      <c r="E315" s="419">
        <f t="shared" ref="E315:N315" si="222">calcY5Q4RDExp</f>
        <v>37340932.406719118</v>
      </c>
      <c r="F315" s="419">
        <f t="shared" si="222"/>
        <v>37340932.406719118</v>
      </c>
      <c r="G315" s="419">
        <f t="shared" si="222"/>
        <v>37340932.406719118</v>
      </c>
      <c r="H315" s="419">
        <f t="shared" si="222"/>
        <v>37340932.406719118</v>
      </c>
      <c r="I315" s="419">
        <f t="shared" si="222"/>
        <v>37340932.406719118</v>
      </c>
      <c r="J315" s="419">
        <f t="shared" si="222"/>
        <v>37340932.406719118</v>
      </c>
      <c r="K315" s="419">
        <f t="shared" si="222"/>
        <v>37340932.406719118</v>
      </c>
      <c r="L315" s="419">
        <f t="shared" si="222"/>
        <v>37340932.406719118</v>
      </c>
      <c r="M315" s="419">
        <f t="shared" si="222"/>
        <v>37340932.406719118</v>
      </c>
      <c r="N315" s="419">
        <f t="shared" si="222"/>
        <v>37340932.406719118</v>
      </c>
      <c r="O315" t="s">
        <v>2986</v>
      </c>
    </row>
    <row r="316" spans="3:15" s="65" customFormat="1">
      <c r="D316" s="65" t="s">
        <v>1109</v>
      </c>
      <c r="E316" s="420">
        <f t="shared" ref="E316:N316" si="223">finY5Q1RDExp+finY5Q2RDExp+finY5Q3RDExp+finY5Q4RDExp</f>
        <v>126702121.21833093</v>
      </c>
      <c r="F316" s="420">
        <f t="shared" si="223"/>
        <v>126702121.21833093</v>
      </c>
      <c r="G316" s="420">
        <f t="shared" si="223"/>
        <v>126702121.21833093</v>
      </c>
      <c r="H316" s="420">
        <f t="shared" si="223"/>
        <v>126702121.21833093</v>
      </c>
      <c r="I316" s="420">
        <f t="shared" si="223"/>
        <v>126702121.21833093</v>
      </c>
      <c r="J316" s="420">
        <f t="shared" si="223"/>
        <v>126702121.21833093</v>
      </c>
      <c r="K316" s="420">
        <f t="shared" si="223"/>
        <v>126702121.21833093</v>
      </c>
      <c r="L316" s="420">
        <f t="shared" si="223"/>
        <v>126702121.21833093</v>
      </c>
      <c r="M316" s="420">
        <f t="shared" si="223"/>
        <v>126702121.21833093</v>
      </c>
      <c r="N316" s="420">
        <f t="shared" si="223"/>
        <v>126702121.21833093</v>
      </c>
      <c r="O316" s="65" t="s">
        <v>2987</v>
      </c>
    </row>
    <row r="317" spans="3:15">
      <c r="C317" t="s">
        <v>403</v>
      </c>
    </row>
    <row r="318" spans="3:15">
      <c r="D318" t="s">
        <v>2988</v>
      </c>
      <c r="E318" s="419">
        <f t="shared" ref="E318:N318" si="224">calcY5Q1GAExp</f>
        <v>17456619.24742385</v>
      </c>
      <c r="F318" s="419">
        <f t="shared" si="224"/>
        <v>17456619.24742385</v>
      </c>
      <c r="G318" s="419">
        <f t="shared" si="224"/>
        <v>17456619.24742385</v>
      </c>
      <c r="H318" s="419">
        <f t="shared" si="224"/>
        <v>17456619.24742385</v>
      </c>
      <c r="I318" s="419">
        <f t="shared" si="224"/>
        <v>17456619.24742385</v>
      </c>
      <c r="J318" s="419">
        <f t="shared" si="224"/>
        <v>17456619.24742385</v>
      </c>
      <c r="K318" s="419">
        <f t="shared" si="224"/>
        <v>17456619.24742385</v>
      </c>
      <c r="L318" s="419">
        <f t="shared" si="224"/>
        <v>17456619.24742385</v>
      </c>
      <c r="M318" s="419">
        <f t="shared" si="224"/>
        <v>17456619.24742385</v>
      </c>
      <c r="N318" s="419">
        <f t="shared" si="224"/>
        <v>17456619.24742385</v>
      </c>
      <c r="O318" t="s">
        <v>2989</v>
      </c>
    </row>
    <row r="319" spans="3:15">
      <c r="D319" t="s">
        <v>2990</v>
      </c>
      <c r="E319" s="419">
        <f t="shared" ref="E319:N319" si="225">calcY5Q2GAExp</f>
        <v>18701783.572948433</v>
      </c>
      <c r="F319" s="419">
        <f t="shared" si="225"/>
        <v>18701783.572948433</v>
      </c>
      <c r="G319" s="419">
        <f t="shared" si="225"/>
        <v>18701783.572948433</v>
      </c>
      <c r="H319" s="419">
        <f t="shared" si="225"/>
        <v>18701783.572948433</v>
      </c>
      <c r="I319" s="419">
        <f t="shared" si="225"/>
        <v>18701783.572948433</v>
      </c>
      <c r="J319" s="419">
        <f t="shared" si="225"/>
        <v>18701783.572948433</v>
      </c>
      <c r="K319" s="419">
        <f t="shared" si="225"/>
        <v>18701783.572948433</v>
      </c>
      <c r="L319" s="419">
        <f t="shared" si="225"/>
        <v>18701783.572948433</v>
      </c>
      <c r="M319" s="419">
        <f t="shared" si="225"/>
        <v>18701783.572948433</v>
      </c>
      <c r="N319" s="419">
        <f t="shared" si="225"/>
        <v>18701783.572948433</v>
      </c>
      <c r="O319" t="s">
        <v>2991</v>
      </c>
    </row>
    <row r="320" spans="3:15">
      <c r="D320" t="s">
        <v>2992</v>
      </c>
      <c r="E320" s="419">
        <f t="shared" ref="E320:N320" si="226">calcY5Q3GAExp</f>
        <v>20732203.870503701</v>
      </c>
      <c r="F320" s="419">
        <f t="shared" si="226"/>
        <v>20732203.870503701</v>
      </c>
      <c r="G320" s="419">
        <f t="shared" si="226"/>
        <v>20732203.870503701</v>
      </c>
      <c r="H320" s="419">
        <f t="shared" si="226"/>
        <v>20732203.870503701</v>
      </c>
      <c r="I320" s="419">
        <f t="shared" si="226"/>
        <v>20732203.870503701</v>
      </c>
      <c r="J320" s="419">
        <f t="shared" si="226"/>
        <v>20732203.870503701</v>
      </c>
      <c r="K320" s="419">
        <f t="shared" si="226"/>
        <v>20732203.870503701</v>
      </c>
      <c r="L320" s="419">
        <f t="shared" si="226"/>
        <v>20732203.870503701</v>
      </c>
      <c r="M320" s="419">
        <f t="shared" si="226"/>
        <v>20732203.870503701</v>
      </c>
      <c r="N320" s="419">
        <f t="shared" si="226"/>
        <v>20732203.870503701</v>
      </c>
      <c r="O320" t="s">
        <v>2993</v>
      </c>
    </row>
    <row r="321" spans="4:15">
      <c r="D321" t="s">
        <v>2994</v>
      </c>
      <c r="E321" s="419">
        <f t="shared" ref="E321:N321" si="227">calcY5Q4GAExp</f>
        <v>23772605.616289649</v>
      </c>
      <c r="F321" s="419">
        <f t="shared" si="227"/>
        <v>23772605.616289649</v>
      </c>
      <c r="G321" s="419">
        <f t="shared" si="227"/>
        <v>23772605.616289649</v>
      </c>
      <c r="H321" s="419">
        <f t="shared" si="227"/>
        <v>23772605.616289649</v>
      </c>
      <c r="I321" s="419">
        <f t="shared" si="227"/>
        <v>23772605.616289649</v>
      </c>
      <c r="J321" s="419">
        <f t="shared" si="227"/>
        <v>23772605.616289649</v>
      </c>
      <c r="K321" s="419">
        <f t="shared" si="227"/>
        <v>23772605.616289649</v>
      </c>
      <c r="L321" s="419">
        <f t="shared" si="227"/>
        <v>23772605.616289649</v>
      </c>
      <c r="M321" s="419">
        <f t="shared" si="227"/>
        <v>23772605.616289649</v>
      </c>
      <c r="N321" s="419">
        <f t="shared" si="227"/>
        <v>23772605.616289649</v>
      </c>
      <c r="O321" t="s">
        <v>2995</v>
      </c>
    </row>
    <row r="322" spans="4:15" s="65" customFormat="1">
      <c r="D322" s="65" t="s">
        <v>1104</v>
      </c>
      <c r="E322" s="420">
        <f t="shared" ref="E322:N322" si="228">finY5Q1GAExp+finY5Q2GAExp+finY5Q3GAExp+finY5Q4GAExp</f>
        <v>80663212.307165638</v>
      </c>
      <c r="F322" s="420">
        <f t="shared" si="228"/>
        <v>80663212.307165638</v>
      </c>
      <c r="G322" s="420">
        <f t="shared" si="228"/>
        <v>80663212.307165638</v>
      </c>
      <c r="H322" s="420">
        <f t="shared" si="228"/>
        <v>80663212.307165638</v>
      </c>
      <c r="I322" s="420">
        <f t="shared" si="228"/>
        <v>80663212.307165638</v>
      </c>
      <c r="J322" s="420">
        <f t="shared" si="228"/>
        <v>80663212.307165638</v>
      </c>
      <c r="K322" s="420">
        <f t="shared" si="228"/>
        <v>80663212.307165638</v>
      </c>
      <c r="L322" s="420">
        <f t="shared" si="228"/>
        <v>80663212.307165638</v>
      </c>
      <c r="M322" s="420">
        <f t="shared" si="228"/>
        <v>80663212.307165638</v>
      </c>
      <c r="N322" s="420">
        <f t="shared" si="228"/>
        <v>80663212.307165638</v>
      </c>
      <c r="O322" s="65" t="s">
        <v>2996</v>
      </c>
    </row>
    <row r="324" spans="4:15">
      <c r="D324" t="s">
        <v>426</v>
      </c>
      <c r="E324" s="419">
        <f t="shared" ref="E324:N324" si="229">finY5AnnualGrossProfit-finY5AnnualMSExp-finY5AnnualRDExp-finY5AnnualGAExp</f>
        <v>21758808.872990042</v>
      </c>
      <c r="F324" s="419">
        <f t="shared" si="229"/>
        <v>21758808.872990042</v>
      </c>
      <c r="G324" s="419">
        <f t="shared" si="229"/>
        <v>21758808.872990042</v>
      </c>
      <c r="H324" s="419">
        <f t="shared" si="229"/>
        <v>21758808.872990042</v>
      </c>
      <c r="I324" s="419">
        <f t="shared" si="229"/>
        <v>21758808.872990042</v>
      </c>
      <c r="J324" s="419">
        <f t="shared" si="229"/>
        <v>21758808.872990042</v>
      </c>
      <c r="K324" s="419">
        <f t="shared" si="229"/>
        <v>21758808.872990042</v>
      </c>
      <c r="L324" s="419">
        <f t="shared" si="229"/>
        <v>21758808.872990042</v>
      </c>
      <c r="M324" s="419">
        <f t="shared" si="229"/>
        <v>21758808.872990042</v>
      </c>
      <c r="N324" s="419">
        <f t="shared" si="229"/>
        <v>21758808.872990042</v>
      </c>
      <c r="O324" t="s">
        <v>2997</v>
      </c>
    </row>
    <row r="325" spans="4:15" s="295" customFormat="1">
      <c r="D325" s="421" t="s">
        <v>967</v>
      </c>
      <c r="E325" s="422">
        <f t="shared" ref="E325:N325" si="230">finY5AnnualOpProfit/FinY5AnnualRev</f>
        <v>4.3687914232459865E-2</v>
      </c>
      <c r="F325" s="422">
        <f t="shared" si="230"/>
        <v>4.3687914232459865E-2</v>
      </c>
      <c r="G325" s="422">
        <f t="shared" si="230"/>
        <v>4.3687914232459865E-2</v>
      </c>
      <c r="H325" s="422">
        <f t="shared" si="230"/>
        <v>4.3687914232459865E-2</v>
      </c>
      <c r="I325" s="422">
        <f t="shared" si="230"/>
        <v>4.3687914232459865E-2</v>
      </c>
      <c r="J325" s="422">
        <f t="shared" si="230"/>
        <v>4.3687914232459865E-2</v>
      </c>
      <c r="K325" s="422">
        <f t="shared" si="230"/>
        <v>4.3687914232459865E-2</v>
      </c>
      <c r="L325" s="422">
        <f t="shared" si="230"/>
        <v>4.3687914232459865E-2</v>
      </c>
      <c r="M325" s="422">
        <f t="shared" si="230"/>
        <v>4.3687914232459865E-2</v>
      </c>
      <c r="N325" s="422">
        <f t="shared" si="230"/>
        <v>4.3687914232459865E-2</v>
      </c>
      <c r="O325" s="295" t="s">
        <v>2998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K403"/>
  <sheetViews>
    <sheetView workbookViewId="0"/>
  </sheetViews>
  <sheetFormatPr defaultRowHeight="13.8"/>
  <cols>
    <col min="1" max="2" width="4.7265625" customWidth="1"/>
    <col min="3" max="3" width="11.1796875" customWidth="1"/>
    <col min="4" max="4" width="24.26953125" bestFit="1" customWidth="1"/>
    <col min="5" max="14" width="13.1796875" style="26" customWidth="1"/>
    <col min="17" max="17" width="11.08984375" bestFit="1" customWidth="1"/>
  </cols>
  <sheetData>
    <row r="1" spans="1:17" s="18" customFormat="1">
      <c r="A1" s="18" t="s">
        <v>110</v>
      </c>
      <c r="E1" s="22" t="s">
        <v>8</v>
      </c>
      <c r="F1" s="22" t="s">
        <v>9</v>
      </c>
      <c r="G1" s="22" t="s">
        <v>10</v>
      </c>
      <c r="H1" s="22" t="s">
        <v>11</v>
      </c>
      <c r="I1" s="22" t="s">
        <v>12</v>
      </c>
      <c r="J1" s="22" t="s">
        <v>12</v>
      </c>
      <c r="K1" s="22" t="s">
        <v>12</v>
      </c>
      <c r="L1" s="22" t="s">
        <v>12</v>
      </c>
      <c r="M1" s="22" t="s">
        <v>12</v>
      </c>
      <c r="N1" s="22" t="s">
        <v>12</v>
      </c>
    </row>
    <row r="2" spans="1:17" s="23" customFormat="1">
      <c r="E2" s="24"/>
      <c r="F2" s="24"/>
      <c r="G2" s="24"/>
      <c r="H2" s="24"/>
      <c r="I2" s="24"/>
      <c r="J2" s="24"/>
      <c r="K2" s="24"/>
      <c r="L2" s="24"/>
      <c r="M2" s="24"/>
      <c r="N2" s="24"/>
      <c r="Q2" s="23" t="s">
        <v>111</v>
      </c>
    </row>
    <row r="3" spans="1:17">
      <c r="E3" s="25"/>
      <c r="F3" s="25"/>
      <c r="G3" s="25"/>
      <c r="H3" s="25"/>
      <c r="I3" s="25"/>
      <c r="J3" s="25"/>
      <c r="K3" s="25"/>
      <c r="L3" s="25"/>
      <c r="M3" s="25"/>
      <c r="N3" s="25"/>
      <c r="O3" t="s">
        <v>112</v>
      </c>
      <c r="Q3" s="25"/>
    </row>
    <row r="4" spans="1:17" s="201" customFormat="1">
      <c r="A4" s="109" t="s">
        <v>232</v>
      </c>
    </row>
    <row r="5" spans="1:17" s="10" customFormat="1">
      <c r="A5" s="11" t="s">
        <v>140</v>
      </c>
      <c r="D5" s="75"/>
      <c r="E5" s="75">
        <f>$Q5</f>
        <v>97519391.714228541</v>
      </c>
      <c r="F5" s="75">
        <f t="shared" ref="F5:N7" si="0">$Q5</f>
        <v>97519391.714228541</v>
      </c>
      <c r="G5" s="75">
        <f t="shared" si="0"/>
        <v>97519391.714228541</v>
      </c>
      <c r="H5" s="75">
        <f t="shared" si="0"/>
        <v>97519391.714228541</v>
      </c>
      <c r="I5" s="75">
        <f t="shared" si="0"/>
        <v>97519391.714228541</v>
      </c>
      <c r="J5" s="75">
        <f t="shared" si="0"/>
        <v>97519391.714228541</v>
      </c>
      <c r="K5" s="75">
        <f t="shared" si="0"/>
        <v>97519391.714228541</v>
      </c>
      <c r="L5" s="75">
        <f t="shared" si="0"/>
        <v>97519391.714228541</v>
      </c>
      <c r="M5" s="75">
        <f t="shared" si="0"/>
        <v>97519391.714228541</v>
      </c>
      <c r="N5" s="75">
        <f t="shared" si="0"/>
        <v>97519391.714228541</v>
      </c>
      <c r="O5" s="11" t="s">
        <v>439</v>
      </c>
      <c r="Q5" s="75">
        <f>Data!K313</f>
        <v>97519391.714228541</v>
      </c>
    </row>
    <row r="6" spans="1:17" s="10" customFormat="1">
      <c r="A6" s="11" t="s">
        <v>421</v>
      </c>
      <c r="D6" s="202"/>
      <c r="E6" s="202">
        <f t="shared" ref="E6:E7" si="1">$Q6</f>
        <v>19503878.342845708</v>
      </c>
      <c r="F6" s="202">
        <f t="shared" si="0"/>
        <v>19503878.342845708</v>
      </c>
      <c r="G6" s="202">
        <f t="shared" si="0"/>
        <v>19503878.342845708</v>
      </c>
      <c r="H6" s="202">
        <f t="shared" si="0"/>
        <v>19503878.342845708</v>
      </c>
      <c r="I6" s="202">
        <f t="shared" si="0"/>
        <v>19503878.342845708</v>
      </c>
      <c r="J6" s="202">
        <f t="shared" si="0"/>
        <v>19503878.342845708</v>
      </c>
      <c r="K6" s="202">
        <f t="shared" si="0"/>
        <v>19503878.342845708</v>
      </c>
      <c r="L6" s="202">
        <f t="shared" si="0"/>
        <v>19503878.342845708</v>
      </c>
      <c r="M6" s="202">
        <f t="shared" si="0"/>
        <v>19503878.342845708</v>
      </c>
      <c r="N6" s="202">
        <f t="shared" si="0"/>
        <v>19503878.342845708</v>
      </c>
      <c r="O6" s="11" t="s">
        <v>440</v>
      </c>
      <c r="Q6" s="75">
        <f>Q5*0.2</f>
        <v>19503878.342845708</v>
      </c>
    </row>
    <row r="7" spans="1:17" s="10" customFormat="1">
      <c r="A7" s="11" t="s">
        <v>237</v>
      </c>
      <c r="D7" s="202"/>
      <c r="E7" s="202">
        <f t="shared" si="1"/>
        <v>78015513.371382833</v>
      </c>
      <c r="F7" s="202">
        <f t="shared" si="0"/>
        <v>78015513.371382833</v>
      </c>
      <c r="G7" s="202">
        <f t="shared" si="0"/>
        <v>78015513.371382833</v>
      </c>
      <c r="H7" s="202">
        <f t="shared" si="0"/>
        <v>78015513.371382833</v>
      </c>
      <c r="I7" s="202">
        <f t="shared" si="0"/>
        <v>78015513.371382833</v>
      </c>
      <c r="J7" s="202">
        <f t="shared" si="0"/>
        <v>78015513.371382833</v>
      </c>
      <c r="K7" s="202">
        <f t="shared" si="0"/>
        <v>78015513.371382833</v>
      </c>
      <c r="L7" s="202">
        <f t="shared" si="0"/>
        <v>78015513.371382833</v>
      </c>
      <c r="M7" s="202">
        <f t="shared" si="0"/>
        <v>78015513.371382833</v>
      </c>
      <c r="N7" s="202">
        <f t="shared" si="0"/>
        <v>78015513.371382833</v>
      </c>
      <c r="O7" s="11" t="s">
        <v>441</v>
      </c>
      <c r="Q7" s="75">
        <f>Q5-Q6</f>
        <v>78015513.371382833</v>
      </c>
    </row>
    <row r="8" spans="1:17" s="10" customFormat="1">
      <c r="A8" s="11" t="s">
        <v>422</v>
      </c>
      <c r="O8" s="11"/>
      <c r="Q8" s="75">
        <f>Data!D19</f>
        <v>0</v>
      </c>
    </row>
    <row r="9" spans="1:17" s="10" customFormat="1">
      <c r="A9" s="11" t="s">
        <v>423</v>
      </c>
      <c r="D9" s="75"/>
      <c r="E9" s="75">
        <f t="shared" ref="E9:N9" si="2">obalTargetRev*obalMSPerc</f>
        <v>43396129.3128317</v>
      </c>
      <c r="F9" s="75">
        <f t="shared" si="2"/>
        <v>43396129.3128317</v>
      </c>
      <c r="G9" s="75">
        <f t="shared" si="2"/>
        <v>43396129.3128317</v>
      </c>
      <c r="H9" s="75">
        <f t="shared" si="2"/>
        <v>43396129.3128317</v>
      </c>
      <c r="I9" s="75">
        <f t="shared" si="2"/>
        <v>43396129.3128317</v>
      </c>
      <c r="J9" s="75">
        <f t="shared" si="2"/>
        <v>43396129.3128317</v>
      </c>
      <c r="K9" s="75">
        <f t="shared" si="2"/>
        <v>43396129.3128317</v>
      </c>
      <c r="L9" s="75">
        <f t="shared" si="2"/>
        <v>43396129.3128317</v>
      </c>
      <c r="M9" s="75">
        <f t="shared" si="2"/>
        <v>43396129.3128317</v>
      </c>
      <c r="N9" s="75">
        <f t="shared" si="2"/>
        <v>43396129.3128317</v>
      </c>
      <c r="O9" s="11" t="s">
        <v>443</v>
      </c>
      <c r="Q9" s="75">
        <f>Data!D20</f>
        <v>50000000</v>
      </c>
    </row>
    <row r="10" spans="1:17" s="10" customFormat="1">
      <c r="A10" s="11" t="s">
        <v>424</v>
      </c>
      <c r="D10" s="75"/>
      <c r="E10" s="75">
        <f t="shared" ref="E10:N10" si="3">obalTargetRev*obalRDPerc</f>
        <v>32473957.440838106</v>
      </c>
      <c r="F10" s="75">
        <f t="shared" si="3"/>
        <v>32473957.440838106</v>
      </c>
      <c r="G10" s="75">
        <f t="shared" si="3"/>
        <v>32473957.440838106</v>
      </c>
      <c r="H10" s="75">
        <f t="shared" si="3"/>
        <v>32473957.440838106</v>
      </c>
      <c r="I10" s="75">
        <f t="shared" si="3"/>
        <v>32473957.440838106</v>
      </c>
      <c r="J10" s="75">
        <f t="shared" si="3"/>
        <v>32473957.440838106</v>
      </c>
      <c r="K10" s="75">
        <f t="shared" si="3"/>
        <v>32473957.440838106</v>
      </c>
      <c r="L10" s="75">
        <f t="shared" si="3"/>
        <v>32473957.440838106</v>
      </c>
      <c r="M10" s="75">
        <f t="shared" si="3"/>
        <v>32473957.440838106</v>
      </c>
      <c r="N10" s="75">
        <f t="shared" si="3"/>
        <v>32473957.440838106</v>
      </c>
      <c r="O10" s="11" t="s">
        <v>442</v>
      </c>
      <c r="Q10" s="75">
        <f>Data!D21</f>
        <v>37500000</v>
      </c>
    </row>
    <row r="11" spans="1:17" s="10" customFormat="1">
      <c r="A11" s="11" t="s">
        <v>403</v>
      </c>
      <c r="D11" s="202"/>
      <c r="E11" s="75">
        <f t="shared" ref="E11:N11" si="4">obalTargetRev*obalGAPerc</f>
        <v>20674111.043416452</v>
      </c>
      <c r="F11" s="75">
        <f t="shared" si="4"/>
        <v>20674111.043416452</v>
      </c>
      <c r="G11" s="75">
        <f t="shared" si="4"/>
        <v>20674111.043416452</v>
      </c>
      <c r="H11" s="75">
        <f t="shared" si="4"/>
        <v>20674111.043416452</v>
      </c>
      <c r="I11" s="75">
        <f t="shared" si="4"/>
        <v>20674111.043416452</v>
      </c>
      <c r="J11" s="75">
        <f t="shared" si="4"/>
        <v>20674111.043416452</v>
      </c>
      <c r="K11" s="75">
        <f t="shared" si="4"/>
        <v>20674111.043416452</v>
      </c>
      <c r="L11" s="75">
        <f t="shared" si="4"/>
        <v>20674111.043416452</v>
      </c>
      <c r="M11" s="75">
        <f t="shared" si="4"/>
        <v>20674111.043416452</v>
      </c>
      <c r="N11" s="75">
        <f t="shared" si="4"/>
        <v>20674111.043416452</v>
      </c>
      <c r="O11" s="11" t="s">
        <v>444</v>
      </c>
      <c r="Q11" s="75">
        <f>Data!D22</f>
        <v>18750000</v>
      </c>
    </row>
    <row r="12" spans="1:17" s="201" customFormat="1">
      <c r="A12" s="109" t="s">
        <v>425</v>
      </c>
      <c r="D12" s="203"/>
      <c r="E12" s="203">
        <f>SUM(E9:E11)</f>
        <v>96544197.797086254</v>
      </c>
      <c r="F12" s="203">
        <f t="shared" ref="F12:I12" si="5">SUM(F9:F11)</f>
        <v>96544197.797086254</v>
      </c>
      <c r="G12" s="203">
        <f t="shared" si="5"/>
        <v>96544197.797086254</v>
      </c>
      <c r="H12" s="203">
        <f t="shared" si="5"/>
        <v>96544197.797086254</v>
      </c>
      <c r="I12" s="203">
        <f t="shared" si="5"/>
        <v>96544197.797086254</v>
      </c>
      <c r="J12" s="203">
        <f t="shared" ref="J12:N12" si="6">SUM(J9:J11)</f>
        <v>96544197.797086254</v>
      </c>
      <c r="K12" s="203">
        <f t="shared" si="6"/>
        <v>96544197.797086254</v>
      </c>
      <c r="L12" s="203">
        <f t="shared" si="6"/>
        <v>96544197.797086254</v>
      </c>
      <c r="M12" s="203">
        <f t="shared" si="6"/>
        <v>96544197.797086254</v>
      </c>
      <c r="N12" s="203">
        <f t="shared" si="6"/>
        <v>96544197.797086254</v>
      </c>
      <c r="O12" s="11"/>
      <c r="Q12" s="75">
        <f>Data!D23</f>
        <v>106250000</v>
      </c>
    </row>
    <row r="13" spans="1:17" s="10" customFormat="1">
      <c r="A13" s="11"/>
      <c r="O13" s="11"/>
      <c r="Q13" s="75">
        <f>Data!D24</f>
        <v>0</v>
      </c>
    </row>
    <row r="14" spans="1:17" s="10" customFormat="1">
      <c r="A14" s="11" t="s">
        <v>426</v>
      </c>
      <c r="D14" s="75"/>
      <c r="E14" s="75">
        <f>E7-E12</f>
        <v>-18528684.425703421</v>
      </c>
      <c r="F14" s="75">
        <f t="shared" ref="F14:I14" si="7">F7-F12</f>
        <v>-18528684.425703421</v>
      </c>
      <c r="G14" s="75">
        <f t="shared" si="7"/>
        <v>-18528684.425703421</v>
      </c>
      <c r="H14" s="75">
        <f t="shared" si="7"/>
        <v>-18528684.425703421</v>
      </c>
      <c r="I14" s="75">
        <f t="shared" si="7"/>
        <v>-18528684.425703421</v>
      </c>
      <c r="J14" s="75">
        <f t="shared" ref="J14:N14" si="8">J7-J12</f>
        <v>-18528684.425703421</v>
      </c>
      <c r="K14" s="75">
        <f t="shared" si="8"/>
        <v>-18528684.425703421</v>
      </c>
      <c r="L14" s="75">
        <f t="shared" si="8"/>
        <v>-18528684.425703421</v>
      </c>
      <c r="M14" s="75">
        <f t="shared" si="8"/>
        <v>-18528684.425703421</v>
      </c>
      <c r="N14" s="75">
        <f t="shared" si="8"/>
        <v>-18528684.425703421</v>
      </c>
      <c r="O14" s="11" t="s">
        <v>445</v>
      </c>
      <c r="Q14" s="75">
        <f>Data!D25</f>
        <v>-6250000</v>
      </c>
    </row>
    <row r="15" spans="1:17" s="10" customFormat="1">
      <c r="A15" s="11" t="s">
        <v>438</v>
      </c>
      <c r="D15" s="204"/>
      <c r="E15" s="204">
        <f>E14/E5</f>
        <v>-0.18999999999999997</v>
      </c>
      <c r="F15" s="204">
        <f t="shared" ref="F15:I15" si="9">F14/F5</f>
        <v>-0.18999999999999997</v>
      </c>
      <c r="G15" s="204">
        <f t="shared" si="9"/>
        <v>-0.18999999999999997</v>
      </c>
      <c r="H15" s="204">
        <f t="shared" si="9"/>
        <v>-0.18999999999999997</v>
      </c>
      <c r="I15" s="204">
        <f t="shared" si="9"/>
        <v>-0.18999999999999997</v>
      </c>
      <c r="J15" s="204">
        <f t="shared" ref="J15:N15" si="10">J14/J5</f>
        <v>-0.18999999999999997</v>
      </c>
      <c r="K15" s="204">
        <f t="shared" si="10"/>
        <v>-0.18999999999999997</v>
      </c>
      <c r="L15" s="204">
        <f t="shared" si="10"/>
        <v>-0.18999999999999997</v>
      </c>
      <c r="M15" s="204">
        <f t="shared" si="10"/>
        <v>-0.18999999999999997</v>
      </c>
      <c r="N15" s="204">
        <f t="shared" si="10"/>
        <v>-0.18999999999999997</v>
      </c>
      <c r="O15" s="11" t="s">
        <v>446</v>
      </c>
      <c r="Q15" s="75">
        <f>Data!D26</f>
        <v>-0.05</v>
      </c>
    </row>
    <row r="16" spans="1:17" s="10" customFormat="1">
      <c r="A16" s="11" t="s">
        <v>447</v>
      </c>
      <c r="D16" s="205"/>
      <c r="E16" s="205">
        <v>37500000</v>
      </c>
      <c r="F16" s="205">
        <v>37500000</v>
      </c>
      <c r="G16" s="205">
        <v>37500000</v>
      </c>
      <c r="H16" s="205">
        <v>37500000</v>
      </c>
      <c r="I16" s="205">
        <v>37500000</v>
      </c>
      <c r="J16" s="205">
        <v>37500000</v>
      </c>
      <c r="K16" s="205">
        <v>37500000</v>
      </c>
      <c r="L16" s="205">
        <v>37500000</v>
      </c>
      <c r="M16" s="205">
        <v>37500000</v>
      </c>
      <c r="N16" s="205">
        <v>37500000</v>
      </c>
      <c r="O16" s="11" t="s">
        <v>448</v>
      </c>
      <c r="Q16" s="75">
        <f>Data!D27</f>
        <v>37500000</v>
      </c>
    </row>
    <row r="17" spans="1:17" s="201" customFormat="1">
      <c r="A17" s="109" t="s">
        <v>426</v>
      </c>
      <c r="D17" s="203"/>
      <c r="E17" s="203">
        <v>-43750000</v>
      </c>
      <c r="F17" s="203">
        <v>-43750000</v>
      </c>
      <c r="G17" s="203">
        <v>-43750000</v>
      </c>
      <c r="H17" s="203">
        <v>-43750000</v>
      </c>
      <c r="I17" s="203">
        <v>-43750000</v>
      </c>
      <c r="J17" s="203">
        <v>-43750000</v>
      </c>
      <c r="K17" s="203">
        <v>-43750000</v>
      </c>
      <c r="L17" s="203">
        <v>-43750000</v>
      </c>
      <c r="M17" s="203">
        <v>-43750000</v>
      </c>
      <c r="N17" s="203">
        <v>-43750000</v>
      </c>
      <c r="O17" s="11" t="s">
        <v>449</v>
      </c>
      <c r="Q17" s="75">
        <f>Data!D28</f>
        <v>-43750000</v>
      </c>
    </row>
    <row r="18" spans="1:17" s="10" customFormat="1">
      <c r="A18" s="109" t="s">
        <v>436</v>
      </c>
      <c r="D18" s="204"/>
      <c r="E18" s="204">
        <v>-0.35</v>
      </c>
      <c r="F18" s="204">
        <v>-0.35</v>
      </c>
      <c r="G18" s="204">
        <v>-0.35</v>
      </c>
      <c r="H18" s="204">
        <v>-0.35</v>
      </c>
      <c r="I18" s="204">
        <v>-0.35</v>
      </c>
      <c r="J18" s="204">
        <v>-0.35</v>
      </c>
      <c r="K18" s="204">
        <v>-0.35</v>
      </c>
      <c r="L18" s="204">
        <v>-0.35</v>
      </c>
      <c r="M18" s="204">
        <v>-0.35</v>
      </c>
      <c r="N18" s="204">
        <v>-0.35</v>
      </c>
      <c r="O18" s="11" t="s">
        <v>450</v>
      </c>
      <c r="Q18" s="75">
        <f>Data!D29</f>
        <v>-0.35</v>
      </c>
    </row>
    <row r="19" spans="1:17" s="10" customFormat="1">
      <c r="A19" s="109" t="s">
        <v>471</v>
      </c>
      <c r="C19" s="109"/>
      <c r="D19" s="204"/>
      <c r="E19" s="204"/>
      <c r="F19" s="204"/>
      <c r="G19" s="204"/>
      <c r="H19" s="204"/>
      <c r="I19" s="204"/>
      <c r="J19" s="204"/>
      <c r="K19" s="204"/>
      <c r="L19" s="204"/>
      <c r="M19" s="204"/>
      <c r="N19" s="204"/>
    </row>
    <row r="20" spans="1:17" s="10" customFormat="1">
      <c r="B20" s="11" t="s">
        <v>470</v>
      </c>
      <c r="C20" s="109"/>
      <c r="D20" s="204"/>
      <c r="E20" s="213">
        <f t="shared" ref="E20:E21" si="11">$Q20</f>
        <v>50</v>
      </c>
      <c r="F20" s="213">
        <f t="shared" ref="F20:N31" si="12">$Q20</f>
        <v>50</v>
      </c>
      <c r="G20" s="213">
        <f t="shared" si="12"/>
        <v>50</v>
      </c>
      <c r="H20" s="213">
        <f t="shared" si="12"/>
        <v>50</v>
      </c>
      <c r="I20" s="213">
        <f t="shared" si="12"/>
        <v>50</v>
      </c>
      <c r="J20" s="213">
        <f t="shared" si="12"/>
        <v>50</v>
      </c>
      <c r="K20" s="213">
        <f t="shared" si="12"/>
        <v>50</v>
      </c>
      <c r="L20" s="213">
        <f t="shared" si="12"/>
        <v>50</v>
      </c>
      <c r="M20" s="213">
        <f t="shared" si="12"/>
        <v>50</v>
      </c>
      <c r="N20" s="213">
        <f t="shared" si="12"/>
        <v>50</v>
      </c>
      <c r="O20" s="10" t="s">
        <v>472</v>
      </c>
      <c r="Q20" s="10">
        <v>50</v>
      </c>
    </row>
    <row r="21" spans="1:17">
      <c r="B21" t="s">
        <v>407</v>
      </c>
      <c r="E21" s="215">
        <f t="shared" si="11"/>
        <v>0.5</v>
      </c>
      <c r="F21" s="215">
        <f t="shared" si="12"/>
        <v>0.5</v>
      </c>
      <c r="G21" s="215">
        <f t="shared" si="12"/>
        <v>0.5</v>
      </c>
      <c r="H21" s="215">
        <f t="shared" si="12"/>
        <v>0.5</v>
      </c>
      <c r="I21" s="215">
        <f t="shared" si="12"/>
        <v>0.5</v>
      </c>
      <c r="J21" s="215">
        <f t="shared" si="12"/>
        <v>0.5</v>
      </c>
      <c r="K21" s="215">
        <f t="shared" si="12"/>
        <v>0.5</v>
      </c>
      <c r="L21" s="215">
        <f t="shared" si="12"/>
        <v>0.5</v>
      </c>
      <c r="M21" s="215">
        <f t="shared" si="12"/>
        <v>0.5</v>
      </c>
      <c r="N21" s="215">
        <f t="shared" si="12"/>
        <v>0.5</v>
      </c>
      <c r="O21" s="11" t="s">
        <v>473</v>
      </c>
      <c r="Q21" s="212">
        <v>0.5</v>
      </c>
    </row>
    <row r="22" spans="1:17">
      <c r="B22" t="s">
        <v>398</v>
      </c>
      <c r="E22" s="26">
        <f t="shared" ref="E22:E31" si="13">$Q22</f>
        <v>50</v>
      </c>
      <c r="F22" s="26">
        <f t="shared" si="12"/>
        <v>50</v>
      </c>
      <c r="G22" s="26">
        <f t="shared" si="12"/>
        <v>50</v>
      </c>
      <c r="H22" s="26">
        <f t="shared" si="12"/>
        <v>50</v>
      </c>
      <c r="I22" s="26">
        <f t="shared" si="12"/>
        <v>50</v>
      </c>
      <c r="J22" s="26">
        <f t="shared" si="12"/>
        <v>50</v>
      </c>
      <c r="K22" s="26">
        <f t="shared" si="12"/>
        <v>50</v>
      </c>
      <c r="L22" s="26">
        <f t="shared" si="12"/>
        <v>50</v>
      </c>
      <c r="M22" s="26">
        <f t="shared" si="12"/>
        <v>50</v>
      </c>
      <c r="N22" s="26">
        <f t="shared" si="12"/>
        <v>50</v>
      </c>
      <c r="O22" s="11" t="s">
        <v>474</v>
      </c>
      <c r="Q22" s="25">
        <v>50</v>
      </c>
    </row>
    <row r="23" spans="1:17">
      <c r="B23" t="s">
        <v>406</v>
      </c>
      <c r="E23" s="26">
        <f t="shared" si="13"/>
        <v>50</v>
      </c>
      <c r="F23" s="26">
        <f t="shared" si="12"/>
        <v>50</v>
      </c>
      <c r="G23" s="26">
        <f t="shared" si="12"/>
        <v>50</v>
      </c>
      <c r="H23" s="26">
        <f t="shared" si="12"/>
        <v>50</v>
      </c>
      <c r="I23" s="26">
        <f t="shared" si="12"/>
        <v>50</v>
      </c>
      <c r="J23" s="26">
        <f t="shared" si="12"/>
        <v>50</v>
      </c>
      <c r="K23" s="26">
        <f t="shared" si="12"/>
        <v>50</v>
      </c>
      <c r="L23" s="26">
        <f t="shared" si="12"/>
        <v>50</v>
      </c>
      <c r="M23" s="26">
        <f t="shared" si="12"/>
        <v>50</v>
      </c>
      <c r="N23" s="26">
        <f t="shared" si="12"/>
        <v>50</v>
      </c>
      <c r="O23" s="11" t="s">
        <v>475</v>
      </c>
      <c r="Q23" s="25">
        <v>50</v>
      </c>
    </row>
    <row r="24" spans="1:17">
      <c r="B24" t="s">
        <v>202</v>
      </c>
      <c r="E24" s="26">
        <f t="shared" si="13"/>
        <v>100</v>
      </c>
      <c r="F24" s="26">
        <f t="shared" si="12"/>
        <v>100</v>
      </c>
      <c r="G24" s="26">
        <f t="shared" si="12"/>
        <v>100</v>
      </c>
      <c r="H24" s="26">
        <f t="shared" si="12"/>
        <v>100</v>
      </c>
      <c r="I24" s="26">
        <f t="shared" si="12"/>
        <v>100</v>
      </c>
      <c r="J24" s="26">
        <f t="shared" si="12"/>
        <v>100</v>
      </c>
      <c r="K24" s="26">
        <f t="shared" si="12"/>
        <v>100</v>
      </c>
      <c r="L24" s="26">
        <f t="shared" si="12"/>
        <v>100</v>
      </c>
      <c r="M24" s="26">
        <f t="shared" si="12"/>
        <v>100</v>
      </c>
      <c r="N24" s="26">
        <f t="shared" si="12"/>
        <v>100</v>
      </c>
      <c r="O24" s="11" t="s">
        <v>975</v>
      </c>
      <c r="Q24" s="25">
        <v>100</v>
      </c>
    </row>
    <row r="25" spans="1:17">
      <c r="C25" t="s">
        <v>513</v>
      </c>
      <c r="E25" s="26">
        <f t="shared" si="13"/>
        <v>25000000</v>
      </c>
      <c r="F25" s="26">
        <f t="shared" si="12"/>
        <v>25000000</v>
      </c>
      <c r="G25" s="26">
        <f t="shared" si="12"/>
        <v>25000000</v>
      </c>
      <c r="H25" s="26">
        <f t="shared" si="12"/>
        <v>25000000</v>
      </c>
      <c r="I25" s="26">
        <f t="shared" si="12"/>
        <v>25000000</v>
      </c>
      <c r="J25" s="26">
        <f t="shared" si="12"/>
        <v>25000000</v>
      </c>
      <c r="K25" s="26">
        <f t="shared" si="12"/>
        <v>25000000</v>
      </c>
      <c r="L25" s="26">
        <f t="shared" si="12"/>
        <v>25000000</v>
      </c>
      <c r="M25" s="26">
        <f t="shared" si="12"/>
        <v>25000000</v>
      </c>
      <c r="N25" s="26">
        <f t="shared" si="12"/>
        <v>25000000</v>
      </c>
      <c r="O25" s="11" t="s">
        <v>515</v>
      </c>
      <c r="Q25" s="25">
        <v>25000000</v>
      </c>
    </row>
    <row r="26" spans="1:17">
      <c r="C26" t="s">
        <v>1279</v>
      </c>
      <c r="E26" s="26">
        <f t="shared" si="13"/>
        <v>10000000</v>
      </c>
      <c r="F26" s="26">
        <f t="shared" si="12"/>
        <v>10000000</v>
      </c>
      <c r="G26" s="26">
        <f t="shared" si="12"/>
        <v>10000000</v>
      </c>
      <c r="H26" s="26">
        <f t="shared" si="12"/>
        <v>10000000</v>
      </c>
      <c r="I26" s="26">
        <f t="shared" si="12"/>
        <v>10000000</v>
      </c>
      <c r="J26" s="26">
        <f t="shared" si="12"/>
        <v>10000000</v>
      </c>
      <c r="K26" s="26">
        <f t="shared" si="12"/>
        <v>10000000</v>
      </c>
      <c r="L26" s="26">
        <f t="shared" si="12"/>
        <v>10000000</v>
      </c>
      <c r="M26" s="26">
        <f t="shared" si="12"/>
        <v>10000000</v>
      </c>
      <c r="N26" s="26">
        <f t="shared" si="12"/>
        <v>10000000</v>
      </c>
      <c r="O26" s="11" t="s">
        <v>2241</v>
      </c>
      <c r="Q26" s="25">
        <v>10000000</v>
      </c>
    </row>
    <row r="27" spans="1:17">
      <c r="C27" t="s">
        <v>1296</v>
      </c>
      <c r="E27" s="26">
        <f t="shared" si="13"/>
        <v>9000000</v>
      </c>
      <c r="F27" s="26">
        <f t="shared" si="12"/>
        <v>9000000</v>
      </c>
      <c r="G27" s="26">
        <f t="shared" si="12"/>
        <v>9000000</v>
      </c>
      <c r="H27" s="26">
        <f t="shared" si="12"/>
        <v>9000000</v>
      </c>
      <c r="I27" s="26">
        <f t="shared" si="12"/>
        <v>9000000</v>
      </c>
      <c r="J27" s="26">
        <f t="shared" si="12"/>
        <v>9000000</v>
      </c>
      <c r="K27" s="26">
        <f t="shared" si="12"/>
        <v>9000000</v>
      </c>
      <c r="L27" s="26">
        <f t="shared" si="12"/>
        <v>9000000</v>
      </c>
      <c r="M27" s="26">
        <f t="shared" si="12"/>
        <v>9000000</v>
      </c>
      <c r="N27" s="26">
        <f t="shared" si="12"/>
        <v>9000000</v>
      </c>
      <c r="O27" s="11" t="s">
        <v>1301</v>
      </c>
      <c r="Q27" s="25">
        <f>dataHarmonizationBudget*dataKeyTalentProportion</f>
        <v>9000000</v>
      </c>
    </row>
    <row r="28" spans="1:17">
      <c r="C28" t="s">
        <v>1297</v>
      </c>
      <c r="E28" s="26">
        <f t="shared" si="13"/>
        <v>6000000</v>
      </c>
      <c r="F28" s="26">
        <f t="shared" si="12"/>
        <v>6000000</v>
      </c>
      <c r="G28" s="26">
        <f t="shared" si="12"/>
        <v>6000000</v>
      </c>
      <c r="H28" s="26">
        <f t="shared" si="12"/>
        <v>6000000</v>
      </c>
      <c r="I28" s="26">
        <f t="shared" si="12"/>
        <v>6000000</v>
      </c>
      <c r="J28" s="26">
        <f t="shared" si="12"/>
        <v>6000000</v>
      </c>
      <c r="K28" s="26">
        <f t="shared" si="12"/>
        <v>6000000</v>
      </c>
      <c r="L28" s="26">
        <f t="shared" si="12"/>
        <v>6000000</v>
      </c>
      <c r="M28" s="26">
        <f t="shared" si="12"/>
        <v>6000000</v>
      </c>
      <c r="N28" s="26">
        <f t="shared" si="12"/>
        <v>6000000</v>
      </c>
      <c r="O28" s="11" t="s">
        <v>1298</v>
      </c>
      <c r="Q28" s="25">
        <f>dataHarmonizationBudget*dataNonKeyTalentProportion</f>
        <v>6000000</v>
      </c>
    </row>
    <row r="29" spans="1:17">
      <c r="C29" t="s">
        <v>1016</v>
      </c>
      <c r="E29" s="26">
        <f t="shared" si="13"/>
        <v>0</v>
      </c>
      <c r="F29" s="26">
        <f t="shared" si="12"/>
        <v>0</v>
      </c>
      <c r="G29" s="26">
        <f t="shared" si="12"/>
        <v>0</v>
      </c>
      <c r="H29" s="26">
        <f t="shared" si="12"/>
        <v>0</v>
      </c>
      <c r="I29" s="26">
        <f t="shared" si="12"/>
        <v>0</v>
      </c>
      <c r="J29" s="26">
        <f t="shared" si="12"/>
        <v>0</v>
      </c>
      <c r="K29" s="26">
        <f t="shared" si="12"/>
        <v>0</v>
      </c>
      <c r="L29" s="26">
        <f t="shared" si="12"/>
        <v>0</v>
      </c>
      <c r="M29" s="26">
        <f t="shared" si="12"/>
        <v>0</v>
      </c>
      <c r="N29" s="26">
        <f t="shared" si="12"/>
        <v>0</v>
      </c>
      <c r="O29" s="11" t="s">
        <v>1060</v>
      </c>
      <c r="Q29" s="25">
        <v>0</v>
      </c>
    </row>
    <row r="30" spans="1:17">
      <c r="C30" t="s">
        <v>1058</v>
      </c>
      <c r="E30" s="26">
        <f t="shared" si="13"/>
        <v>0</v>
      </c>
      <c r="F30" s="26">
        <f t="shared" si="12"/>
        <v>0</v>
      </c>
      <c r="G30" s="26">
        <f t="shared" si="12"/>
        <v>0</v>
      </c>
      <c r="H30" s="26">
        <f t="shared" si="12"/>
        <v>0</v>
      </c>
      <c r="I30" s="26">
        <f t="shared" si="12"/>
        <v>0</v>
      </c>
      <c r="J30" s="26">
        <f t="shared" si="12"/>
        <v>0</v>
      </c>
      <c r="K30" s="26">
        <f t="shared" si="12"/>
        <v>0</v>
      </c>
      <c r="L30" s="26">
        <f t="shared" si="12"/>
        <v>0</v>
      </c>
      <c r="M30" s="26">
        <f t="shared" si="12"/>
        <v>0</v>
      </c>
      <c r="N30" s="26">
        <f t="shared" si="12"/>
        <v>0</v>
      </c>
      <c r="O30" s="11" t="s">
        <v>1059</v>
      </c>
      <c r="Q30" s="25">
        <v>0</v>
      </c>
    </row>
    <row r="31" spans="1:17">
      <c r="C31" t="s">
        <v>1112</v>
      </c>
      <c r="E31" s="26">
        <f t="shared" si="13"/>
        <v>5000000</v>
      </c>
      <c r="F31" s="26">
        <f t="shared" si="12"/>
        <v>5000000</v>
      </c>
      <c r="G31" s="26">
        <f t="shared" si="12"/>
        <v>5000000</v>
      </c>
      <c r="H31" s="26">
        <f t="shared" si="12"/>
        <v>5000000</v>
      </c>
      <c r="I31" s="26">
        <f t="shared" si="12"/>
        <v>5000000</v>
      </c>
      <c r="J31" s="26">
        <f t="shared" si="12"/>
        <v>5000000</v>
      </c>
      <c r="K31" s="26">
        <f t="shared" si="12"/>
        <v>5000000</v>
      </c>
      <c r="L31" s="26">
        <f t="shared" si="12"/>
        <v>5000000</v>
      </c>
      <c r="M31" s="26">
        <f t="shared" si="12"/>
        <v>5000000</v>
      </c>
      <c r="N31" s="26">
        <f t="shared" si="12"/>
        <v>5000000</v>
      </c>
      <c r="O31" s="11" t="s">
        <v>1113</v>
      </c>
      <c r="Q31" s="25">
        <v>5000000</v>
      </c>
    </row>
    <row r="32" spans="1:17">
      <c r="Q32" s="25"/>
    </row>
    <row r="33" spans="2:37" s="110" customFormat="1">
      <c r="B33" s="223" t="s">
        <v>428</v>
      </c>
      <c r="O33" s="222"/>
    </row>
    <row r="34" spans="2:37" s="110" customFormat="1">
      <c r="B34" s="222"/>
      <c r="D34" s="110" t="s">
        <v>480</v>
      </c>
      <c r="E34" s="110" t="str">
        <f t="shared" ref="E34:N34" si="14">$Q34</f>
        <v>Insert your response here.</v>
      </c>
      <c r="F34" s="110" t="str">
        <f t="shared" si="14"/>
        <v>Insert your response here.</v>
      </c>
      <c r="G34" s="110" t="str">
        <f t="shared" si="14"/>
        <v>Insert your response here.</v>
      </c>
      <c r="H34" s="110" t="str">
        <f t="shared" si="14"/>
        <v>Insert your response here.</v>
      </c>
      <c r="I34" s="110" t="str">
        <f t="shared" si="14"/>
        <v>Insert your response here.</v>
      </c>
      <c r="J34" s="110" t="str">
        <f t="shared" si="14"/>
        <v>Insert your response here.</v>
      </c>
      <c r="K34" s="110" t="str">
        <f t="shared" si="14"/>
        <v>Insert your response here.</v>
      </c>
      <c r="L34" s="110" t="str">
        <f t="shared" si="14"/>
        <v>Insert your response here.</v>
      </c>
      <c r="M34" s="110" t="str">
        <f t="shared" si="14"/>
        <v>Insert your response here.</v>
      </c>
      <c r="N34" s="110" t="str">
        <f t="shared" si="14"/>
        <v>Insert your response here.</v>
      </c>
      <c r="O34" s="222" t="s">
        <v>1990</v>
      </c>
      <c r="Q34" s="110" t="s">
        <v>482</v>
      </c>
    </row>
    <row r="35" spans="2:37" s="110" customFormat="1">
      <c r="B35" s="222"/>
      <c r="D35" s="110" t="s">
        <v>1276</v>
      </c>
      <c r="E35" s="745">
        <v>0.19999999999999996</v>
      </c>
      <c r="F35" s="745">
        <v>0.19999999999999996</v>
      </c>
      <c r="G35" s="745">
        <v>0.19999999999999996</v>
      </c>
      <c r="H35" s="745">
        <v>0.19999999999999996</v>
      </c>
      <c r="I35" s="745">
        <v>0.19999999999999996</v>
      </c>
      <c r="J35" s="745">
        <v>0.19999999999999996</v>
      </c>
      <c r="K35" s="745">
        <v>0.19999999999999996</v>
      </c>
      <c r="L35" s="745">
        <v>0.19999999999999996</v>
      </c>
      <c r="M35" s="745">
        <v>0.19999999999999996</v>
      </c>
      <c r="N35" s="745">
        <v>0.19999999999999996</v>
      </c>
      <c r="O35" s="222" t="s">
        <v>1991</v>
      </c>
      <c r="Q35" s="110">
        <v>0.25</v>
      </c>
    </row>
    <row r="36" spans="2:37" s="110" customFormat="1">
      <c r="B36" s="222"/>
      <c r="D36" s="110" t="s">
        <v>384</v>
      </c>
      <c r="E36" s="110" t="s">
        <v>2256</v>
      </c>
      <c r="F36" s="110" t="s">
        <v>2256</v>
      </c>
      <c r="G36" s="110" t="s">
        <v>2256</v>
      </c>
      <c r="H36" s="110" t="s">
        <v>2256</v>
      </c>
      <c r="I36" s="110" t="s">
        <v>2256</v>
      </c>
      <c r="J36" s="110" t="s">
        <v>2256</v>
      </c>
      <c r="K36" s="110" t="s">
        <v>2256</v>
      </c>
      <c r="L36" s="110" t="s">
        <v>2256</v>
      </c>
      <c r="M36" s="110" t="s">
        <v>2256</v>
      </c>
      <c r="N36" s="110" t="s">
        <v>2256</v>
      </c>
      <c r="O36" s="222" t="s">
        <v>1992</v>
      </c>
      <c r="Q36" s="110" t="s">
        <v>1940</v>
      </c>
    </row>
    <row r="37" spans="2:37" s="110" customFormat="1">
      <c r="B37" s="222"/>
      <c r="D37" s="110" t="s">
        <v>1942</v>
      </c>
      <c r="E37" s="745">
        <v>0.19999999999999996</v>
      </c>
      <c r="F37" s="745">
        <v>0.19999999999999996</v>
      </c>
      <c r="G37" s="745">
        <v>0.19999999999999996</v>
      </c>
      <c r="H37" s="745">
        <v>0.19999999999999996</v>
      </c>
      <c r="I37" s="745">
        <v>0.19999999999999996</v>
      </c>
      <c r="J37" s="745">
        <v>0.19999999999999996</v>
      </c>
      <c r="K37" s="745">
        <v>0.19999999999999996</v>
      </c>
      <c r="L37" s="745">
        <v>0.19999999999999996</v>
      </c>
      <c r="M37" s="745">
        <v>0.19999999999999996</v>
      </c>
      <c r="N37" s="745">
        <v>0.19999999999999996</v>
      </c>
      <c r="O37" s="222" t="s">
        <v>1993</v>
      </c>
      <c r="Q37" s="110">
        <v>0.25</v>
      </c>
    </row>
    <row r="38" spans="2:37" s="110" customFormat="1">
      <c r="B38" s="222"/>
      <c r="D38" s="110" t="s">
        <v>384</v>
      </c>
      <c r="E38" s="110" t="s">
        <v>2256</v>
      </c>
      <c r="F38" s="110" t="s">
        <v>2256</v>
      </c>
      <c r="G38" s="110" t="s">
        <v>2256</v>
      </c>
      <c r="H38" s="110" t="s">
        <v>2256</v>
      </c>
      <c r="I38" s="110" t="s">
        <v>2256</v>
      </c>
      <c r="J38" s="110" t="s">
        <v>2256</v>
      </c>
      <c r="K38" s="110" t="s">
        <v>2256</v>
      </c>
      <c r="L38" s="110" t="s">
        <v>2256</v>
      </c>
      <c r="M38" s="110" t="s">
        <v>2256</v>
      </c>
      <c r="N38" s="110" t="s">
        <v>2256</v>
      </c>
      <c r="O38" s="222" t="s">
        <v>1994</v>
      </c>
      <c r="Q38" s="110" t="s">
        <v>1940</v>
      </c>
    </row>
    <row r="39" spans="2:37" s="110" customFormat="1">
      <c r="B39" s="222"/>
      <c r="D39" s="110" t="s">
        <v>470</v>
      </c>
      <c r="E39" s="745">
        <v>0.19999999999999996</v>
      </c>
      <c r="F39" s="745">
        <v>0.19999999999999996</v>
      </c>
      <c r="G39" s="745">
        <v>0.19999999999999996</v>
      </c>
      <c r="H39" s="745">
        <v>0.19999999999999996</v>
      </c>
      <c r="I39" s="745">
        <v>0.19999999999999996</v>
      </c>
      <c r="J39" s="745">
        <v>0.19999999999999996</v>
      </c>
      <c r="K39" s="745">
        <v>0.19999999999999996</v>
      </c>
      <c r="L39" s="745">
        <v>0.19999999999999996</v>
      </c>
      <c r="M39" s="745">
        <v>0.19999999999999996</v>
      </c>
      <c r="N39" s="745">
        <v>0.19999999999999996</v>
      </c>
      <c r="O39" s="222" t="s">
        <v>1995</v>
      </c>
      <c r="Q39" s="110">
        <v>0.25</v>
      </c>
    </row>
    <row r="40" spans="2:37" s="110" customFormat="1">
      <c r="B40" s="222"/>
      <c r="D40" s="110" t="s">
        <v>384</v>
      </c>
      <c r="E40" s="110" t="s">
        <v>2256</v>
      </c>
      <c r="F40" s="110" t="s">
        <v>2256</v>
      </c>
      <c r="G40" s="110" t="s">
        <v>2256</v>
      </c>
      <c r="H40" s="110" t="s">
        <v>2256</v>
      </c>
      <c r="I40" s="110" t="s">
        <v>2256</v>
      </c>
      <c r="J40" s="110" t="s">
        <v>2256</v>
      </c>
      <c r="K40" s="110" t="s">
        <v>2256</v>
      </c>
      <c r="L40" s="110" t="s">
        <v>2256</v>
      </c>
      <c r="M40" s="110" t="s">
        <v>2256</v>
      </c>
      <c r="N40" s="110" t="s">
        <v>2256</v>
      </c>
      <c r="O40" s="222" t="s">
        <v>1996</v>
      </c>
      <c r="Q40" s="110" t="s">
        <v>1940</v>
      </c>
    </row>
    <row r="41" spans="2:37" s="110" customFormat="1">
      <c r="B41" s="222"/>
      <c r="D41" s="110" t="s">
        <v>1728</v>
      </c>
      <c r="E41" s="745">
        <v>0.19999999999999996</v>
      </c>
      <c r="F41" s="745">
        <v>0.19999999999999996</v>
      </c>
      <c r="G41" s="745">
        <v>0.19999999999999996</v>
      </c>
      <c r="H41" s="745">
        <v>0.19999999999999996</v>
      </c>
      <c r="I41" s="745">
        <v>0.19999999999999996</v>
      </c>
      <c r="J41" s="745">
        <v>0.19999999999999996</v>
      </c>
      <c r="K41" s="745">
        <v>0.19999999999999996</v>
      </c>
      <c r="L41" s="745">
        <v>0.19999999999999996</v>
      </c>
      <c r="M41" s="745">
        <v>0.19999999999999996</v>
      </c>
      <c r="N41" s="745">
        <v>0.19999999999999996</v>
      </c>
      <c r="O41" s="222" t="s">
        <v>1997</v>
      </c>
      <c r="Q41" s="110">
        <v>0.25</v>
      </c>
    </row>
    <row r="42" spans="2:37" s="110" customFormat="1">
      <c r="B42" s="222"/>
      <c r="D42" s="110" t="s">
        <v>384</v>
      </c>
      <c r="E42" s="110" t="s">
        <v>2256</v>
      </c>
      <c r="F42" s="110" t="s">
        <v>2256</v>
      </c>
      <c r="G42" s="110" t="s">
        <v>2256</v>
      </c>
      <c r="H42" s="110" t="s">
        <v>2256</v>
      </c>
      <c r="I42" s="110" t="s">
        <v>2256</v>
      </c>
      <c r="J42" s="110" t="s">
        <v>2256</v>
      </c>
      <c r="K42" s="110" t="s">
        <v>2256</v>
      </c>
      <c r="L42" s="110" t="s">
        <v>2256</v>
      </c>
      <c r="M42" s="110" t="s">
        <v>2256</v>
      </c>
      <c r="N42" s="110" t="s">
        <v>2256</v>
      </c>
      <c r="O42" s="222" t="s">
        <v>1998</v>
      </c>
      <c r="Q42" s="110" t="s">
        <v>1940</v>
      </c>
    </row>
    <row r="43" spans="2:37" s="110" customFormat="1">
      <c r="B43" s="222"/>
      <c r="D43" s="110" t="str">
        <f>TLInputV2MOMValue5</f>
        <v>Operating Margin</v>
      </c>
      <c r="E43" s="745">
        <v>0.19999999999999996</v>
      </c>
      <c r="F43" s="745">
        <v>0.19999999999999996</v>
      </c>
      <c r="G43" s="745">
        <v>0.19999999999999996</v>
      </c>
      <c r="H43" s="745">
        <v>0.19999999999999996</v>
      </c>
      <c r="I43" s="745">
        <v>0.19999999999999996</v>
      </c>
      <c r="J43" s="745">
        <v>0.19999999999999996</v>
      </c>
      <c r="K43" s="745">
        <v>0.19999999999999996</v>
      </c>
      <c r="L43" s="745">
        <v>0.19999999999999996</v>
      </c>
      <c r="M43" s="745">
        <v>0.19999999999999996</v>
      </c>
      <c r="N43" s="745">
        <v>0.19999999999999996</v>
      </c>
      <c r="O43" s="222" t="s">
        <v>3048</v>
      </c>
    </row>
    <row r="44" spans="2:37" s="110" customFormat="1">
      <c r="B44" s="222"/>
      <c r="D44" s="110" t="s">
        <v>384</v>
      </c>
      <c r="E44" s="110" t="s">
        <v>2256</v>
      </c>
      <c r="F44" s="110" t="s">
        <v>2256</v>
      </c>
      <c r="G44" s="110" t="s">
        <v>2256</v>
      </c>
      <c r="H44" s="110" t="s">
        <v>2256</v>
      </c>
      <c r="I44" s="110" t="s">
        <v>2256</v>
      </c>
      <c r="J44" s="110" t="s">
        <v>2256</v>
      </c>
      <c r="K44" s="110" t="s">
        <v>2256</v>
      </c>
      <c r="L44" s="110" t="s">
        <v>2256</v>
      </c>
      <c r="M44" s="110" t="s">
        <v>2256</v>
      </c>
      <c r="N44" s="110" t="s">
        <v>2256</v>
      </c>
      <c r="O44" s="222" t="s">
        <v>3049</v>
      </c>
    </row>
    <row r="45" spans="2:37" s="10" customFormat="1">
      <c r="B45" s="109" t="s">
        <v>399</v>
      </c>
      <c r="O45" s="11"/>
      <c r="P45" s="12"/>
      <c r="Q45" s="12"/>
      <c r="R45" s="12"/>
      <c r="S45" s="12"/>
      <c r="U45" s="12"/>
      <c r="V45" s="12"/>
      <c r="W45" s="12"/>
      <c r="X45" s="12"/>
      <c r="Y45" s="12"/>
      <c r="AA45" s="12"/>
      <c r="AB45" s="12"/>
      <c r="AC45" s="12"/>
      <c r="AD45" s="12"/>
      <c r="AE45" s="12"/>
      <c r="AG45" s="12"/>
      <c r="AH45" s="12"/>
      <c r="AI45" s="12"/>
      <c r="AJ45" s="12"/>
      <c r="AK45" s="12"/>
    </row>
    <row r="46" spans="2:37" s="10" customFormat="1">
      <c r="D46" s="10" t="s">
        <v>429</v>
      </c>
      <c r="E46" s="10" t="b">
        <v>0</v>
      </c>
      <c r="F46" s="10" t="b">
        <v>0</v>
      </c>
      <c r="G46" s="10" t="b">
        <v>0</v>
      </c>
      <c r="H46" s="10" t="b">
        <v>0</v>
      </c>
      <c r="I46" s="10" t="b">
        <v>0</v>
      </c>
      <c r="J46" s="10" t="b">
        <v>0</v>
      </c>
      <c r="K46" s="10" t="b">
        <v>0</v>
      </c>
      <c r="L46" s="10" t="b">
        <v>0</v>
      </c>
      <c r="M46" s="10" t="b">
        <v>0</v>
      </c>
      <c r="N46" s="10" t="b">
        <v>0</v>
      </c>
      <c r="O46" s="11" t="s">
        <v>1218</v>
      </c>
      <c r="P46" s="110"/>
      <c r="Q46" s="110"/>
      <c r="R46" s="110"/>
      <c r="S46" s="110"/>
      <c r="T46" s="110"/>
      <c r="U46" s="12"/>
      <c r="V46" s="12"/>
      <c r="W46" s="12"/>
      <c r="X46" s="12"/>
      <c r="Y46" s="12"/>
      <c r="AA46" s="12"/>
      <c r="AB46" s="12"/>
      <c r="AC46" s="12"/>
      <c r="AD46" s="12"/>
      <c r="AE46" s="12"/>
      <c r="AG46" s="12"/>
      <c r="AH46" s="12"/>
      <c r="AI46" s="12"/>
      <c r="AJ46" s="12"/>
      <c r="AK46" s="12"/>
    </row>
    <row r="47" spans="2:37" s="10" customFormat="1">
      <c r="D47" s="10" t="s">
        <v>430</v>
      </c>
      <c r="E47" s="10" t="b">
        <v>1</v>
      </c>
      <c r="F47" s="10" t="b">
        <v>1</v>
      </c>
      <c r="G47" s="10" t="b">
        <v>1</v>
      </c>
      <c r="H47" s="10" t="b">
        <v>1</v>
      </c>
      <c r="I47" s="10" t="b">
        <v>1</v>
      </c>
      <c r="J47" s="10" t="b">
        <v>1</v>
      </c>
      <c r="K47" s="10" t="b">
        <v>1</v>
      </c>
      <c r="L47" s="10" t="b">
        <v>1</v>
      </c>
      <c r="M47" s="10" t="b">
        <v>1</v>
      </c>
      <c r="N47" s="10" t="b">
        <v>1</v>
      </c>
      <c r="O47" s="11" t="s">
        <v>1219</v>
      </c>
      <c r="P47" s="110"/>
      <c r="Q47" s="110"/>
      <c r="R47" s="110"/>
      <c r="S47" s="110"/>
      <c r="T47" s="110"/>
      <c r="U47" s="12"/>
      <c r="V47" s="12"/>
      <c r="W47" s="12"/>
      <c r="X47" s="12"/>
      <c r="Y47" s="12"/>
      <c r="AA47" s="12"/>
      <c r="AB47" s="12"/>
      <c r="AC47" s="12"/>
      <c r="AD47" s="12"/>
      <c r="AE47" s="12"/>
      <c r="AG47" s="12"/>
      <c r="AH47" s="12"/>
      <c r="AI47" s="12"/>
      <c r="AJ47" s="12"/>
      <c r="AK47" s="12"/>
    </row>
    <row r="48" spans="2:37" s="10" customFormat="1">
      <c r="D48" s="10" t="s">
        <v>431</v>
      </c>
      <c r="E48" s="10" t="b">
        <v>0</v>
      </c>
      <c r="F48" s="10" t="b">
        <v>0</v>
      </c>
      <c r="G48" s="10" t="b">
        <v>0</v>
      </c>
      <c r="H48" s="10" t="b">
        <v>0</v>
      </c>
      <c r="I48" s="10" t="b">
        <v>0</v>
      </c>
      <c r="J48" s="10" t="b">
        <v>0</v>
      </c>
      <c r="K48" s="10" t="b">
        <v>0</v>
      </c>
      <c r="L48" s="10" t="b">
        <v>0</v>
      </c>
      <c r="M48" s="10" t="b">
        <v>0</v>
      </c>
      <c r="N48" s="10" t="b">
        <v>0</v>
      </c>
      <c r="O48" s="11" t="s">
        <v>1220</v>
      </c>
      <c r="P48" s="110"/>
      <c r="Q48" s="110"/>
      <c r="R48" s="110"/>
      <c r="S48" s="110"/>
      <c r="T48" s="110"/>
      <c r="U48" s="12"/>
      <c r="V48" s="12"/>
      <c r="W48" s="12"/>
      <c r="X48" s="12"/>
      <c r="Y48" s="12"/>
      <c r="AA48" s="12"/>
      <c r="AB48" s="12"/>
      <c r="AC48" s="12"/>
      <c r="AD48" s="12"/>
      <c r="AE48" s="12"/>
      <c r="AG48" s="12"/>
      <c r="AH48" s="12"/>
      <c r="AI48" s="12"/>
      <c r="AJ48" s="12"/>
      <c r="AK48" s="12"/>
    </row>
    <row r="49" spans="2:37" s="10" customFormat="1">
      <c r="D49" s="10" t="s">
        <v>432</v>
      </c>
      <c r="E49" s="10" t="b">
        <v>0</v>
      </c>
      <c r="F49" s="10" t="b">
        <v>0</v>
      </c>
      <c r="G49" s="10" t="b">
        <v>0</v>
      </c>
      <c r="H49" s="10" t="b">
        <v>0</v>
      </c>
      <c r="I49" s="10" t="b">
        <v>0</v>
      </c>
      <c r="J49" s="10" t="b">
        <v>0</v>
      </c>
      <c r="K49" s="10" t="b">
        <v>0</v>
      </c>
      <c r="L49" s="10" t="b">
        <v>0</v>
      </c>
      <c r="M49" s="10" t="b">
        <v>0</v>
      </c>
      <c r="N49" s="10" t="b">
        <v>0</v>
      </c>
      <c r="O49" s="11" t="s">
        <v>1221</v>
      </c>
      <c r="P49" s="110"/>
      <c r="Q49" s="110"/>
      <c r="R49" s="110"/>
      <c r="S49" s="110"/>
      <c r="T49" s="110"/>
      <c r="U49" s="12"/>
      <c r="V49" s="12"/>
      <c r="W49" s="12"/>
      <c r="X49" s="12"/>
      <c r="Y49" s="12"/>
      <c r="AA49" s="12"/>
      <c r="AB49" s="12"/>
      <c r="AC49" s="12"/>
      <c r="AD49" s="12"/>
      <c r="AE49" s="12"/>
      <c r="AG49" s="12"/>
      <c r="AH49" s="12"/>
      <c r="AI49" s="12"/>
      <c r="AJ49" s="12"/>
      <c r="AK49" s="12"/>
    </row>
    <row r="50" spans="2:37" s="10" customFormat="1">
      <c r="B50" s="11"/>
      <c r="D50" s="10" t="s">
        <v>974</v>
      </c>
      <c r="E50" s="10">
        <v>12</v>
      </c>
      <c r="F50" s="10">
        <v>12</v>
      </c>
      <c r="G50" s="10">
        <v>12</v>
      </c>
      <c r="H50" s="10">
        <v>12</v>
      </c>
      <c r="I50" s="10">
        <v>12</v>
      </c>
      <c r="J50" s="10">
        <v>12</v>
      </c>
      <c r="K50" s="10">
        <v>12</v>
      </c>
      <c r="L50" s="10">
        <v>12</v>
      </c>
      <c r="M50" s="10">
        <v>12</v>
      </c>
      <c r="N50" s="10">
        <v>12</v>
      </c>
      <c r="O50" s="11" t="s">
        <v>1222</v>
      </c>
      <c r="P50" s="110"/>
      <c r="Q50" s="110"/>
      <c r="R50" s="110"/>
      <c r="S50" s="110"/>
      <c r="T50" s="110"/>
      <c r="U50" s="12"/>
      <c r="V50" s="12"/>
      <c r="W50" s="12"/>
      <c r="X50" s="12"/>
      <c r="Y50" s="12"/>
      <c r="AA50" s="12"/>
      <c r="AB50" s="12"/>
      <c r="AC50" s="12"/>
      <c r="AD50" s="12"/>
      <c r="AE50" s="12"/>
      <c r="AG50" s="12"/>
      <c r="AH50" s="12"/>
      <c r="AI50" s="12"/>
      <c r="AJ50" s="12"/>
      <c r="AK50" s="12"/>
    </row>
    <row r="51" spans="2:37" s="10" customFormat="1">
      <c r="B51" s="11"/>
      <c r="D51" s="10" t="s">
        <v>433</v>
      </c>
      <c r="E51" s="10">
        <v>1</v>
      </c>
      <c r="F51" s="10">
        <v>1</v>
      </c>
      <c r="G51" s="10">
        <v>1</v>
      </c>
      <c r="H51" s="10">
        <v>1</v>
      </c>
      <c r="I51" s="10">
        <v>1</v>
      </c>
      <c r="J51" s="10">
        <v>1</v>
      </c>
      <c r="K51" s="10">
        <v>1</v>
      </c>
      <c r="L51" s="10">
        <v>1</v>
      </c>
      <c r="M51" s="10">
        <v>1</v>
      </c>
      <c r="N51" s="10">
        <v>1</v>
      </c>
      <c r="O51" s="11" t="s">
        <v>1223</v>
      </c>
      <c r="P51" s="110"/>
      <c r="Q51" s="110"/>
      <c r="R51" s="110"/>
      <c r="S51" s="110"/>
      <c r="T51" s="110"/>
      <c r="U51" s="12"/>
      <c r="V51" s="12"/>
      <c r="W51" s="12"/>
      <c r="X51" s="12"/>
      <c r="Y51" s="12"/>
      <c r="AA51" s="12"/>
      <c r="AB51" s="12"/>
      <c r="AC51" s="12"/>
      <c r="AD51" s="12"/>
      <c r="AE51" s="12"/>
      <c r="AG51" s="12"/>
      <c r="AH51" s="12"/>
      <c r="AI51" s="12"/>
      <c r="AJ51" s="12"/>
      <c r="AK51" s="12"/>
    </row>
    <row r="52" spans="2:37" s="10" customFormat="1">
      <c r="B52" s="11"/>
      <c r="D52" s="10" t="s">
        <v>518</v>
      </c>
      <c r="E52" s="10" t="s">
        <v>1155</v>
      </c>
      <c r="F52" s="10" t="s">
        <v>1155</v>
      </c>
      <c r="G52" s="10" t="s">
        <v>1155</v>
      </c>
      <c r="H52" s="10" t="s">
        <v>1155</v>
      </c>
      <c r="I52" s="10" t="s">
        <v>1155</v>
      </c>
      <c r="J52" s="10" t="s">
        <v>1155</v>
      </c>
      <c r="K52" s="10" t="s">
        <v>1155</v>
      </c>
      <c r="L52" s="10" t="s">
        <v>1155</v>
      </c>
      <c r="M52" s="10" t="s">
        <v>1155</v>
      </c>
      <c r="N52" s="10" t="s">
        <v>1155</v>
      </c>
      <c r="O52" s="11" t="s">
        <v>1224</v>
      </c>
      <c r="P52" s="110"/>
      <c r="Q52" s="110"/>
      <c r="R52" s="110"/>
      <c r="S52" s="110"/>
      <c r="T52" s="110"/>
      <c r="U52" s="12"/>
      <c r="V52" s="12"/>
      <c r="W52" s="12"/>
      <c r="X52" s="12"/>
      <c r="Y52" s="12"/>
      <c r="AA52" s="12"/>
      <c r="AB52" s="12"/>
      <c r="AC52" s="12"/>
      <c r="AD52" s="12"/>
      <c r="AE52" s="12"/>
      <c r="AG52" s="12"/>
      <c r="AH52" s="12"/>
      <c r="AI52" s="12"/>
      <c r="AJ52" s="12"/>
      <c r="AK52" s="12"/>
    </row>
    <row r="53" spans="2:37" s="10" customFormat="1">
      <c r="B53" s="11"/>
      <c r="C53" s="201" t="s">
        <v>400</v>
      </c>
      <c r="O53" s="11"/>
      <c r="P53" s="110"/>
      <c r="Q53" s="110"/>
      <c r="R53" s="110"/>
      <c r="S53" s="110"/>
      <c r="T53" s="110"/>
      <c r="U53" s="12"/>
      <c r="V53" s="12"/>
      <c r="W53" s="12"/>
      <c r="X53" s="12"/>
      <c r="Y53" s="12"/>
      <c r="AA53" s="12"/>
      <c r="AB53" s="12"/>
      <c r="AC53" s="12"/>
      <c r="AD53" s="12"/>
      <c r="AE53" s="12"/>
      <c r="AG53" s="12"/>
      <c r="AH53" s="12"/>
      <c r="AI53" s="12"/>
      <c r="AJ53" s="12"/>
      <c r="AK53" s="12"/>
    </row>
    <row r="54" spans="2:37" s="10" customFormat="1">
      <c r="B54" s="11"/>
      <c r="D54" s="10" t="s">
        <v>408</v>
      </c>
      <c r="E54" s="10">
        <v>12</v>
      </c>
      <c r="F54" s="10">
        <v>12</v>
      </c>
      <c r="G54" s="10">
        <v>12</v>
      </c>
      <c r="H54" s="10">
        <v>12</v>
      </c>
      <c r="I54" s="10">
        <v>12</v>
      </c>
      <c r="J54" s="10">
        <v>12</v>
      </c>
      <c r="K54" s="10">
        <v>12</v>
      </c>
      <c r="L54" s="10">
        <v>12</v>
      </c>
      <c r="M54" s="10">
        <v>12</v>
      </c>
      <c r="N54" s="10">
        <v>12</v>
      </c>
      <c r="O54" s="11" t="s">
        <v>1225</v>
      </c>
      <c r="P54" s="110"/>
      <c r="Q54" s="110"/>
      <c r="R54" s="110"/>
      <c r="S54" s="110"/>
      <c r="T54" s="110"/>
      <c r="U54" s="12"/>
      <c r="V54" s="12"/>
      <c r="W54" s="12"/>
      <c r="X54" s="12"/>
      <c r="Y54" s="12"/>
      <c r="AA54" s="12"/>
      <c r="AB54" s="12"/>
      <c r="AC54" s="12"/>
      <c r="AD54" s="12"/>
      <c r="AE54" s="12"/>
      <c r="AG54" s="12"/>
      <c r="AH54" s="12"/>
      <c r="AI54" s="12"/>
      <c r="AJ54" s="12"/>
      <c r="AK54" s="12"/>
    </row>
    <row r="55" spans="2:37" s="10" customFormat="1">
      <c r="B55" s="11"/>
      <c r="D55" s="10" t="s">
        <v>496</v>
      </c>
      <c r="E55" s="224">
        <v>1</v>
      </c>
      <c r="F55" s="224">
        <v>1</v>
      </c>
      <c r="G55" s="224">
        <v>1</v>
      </c>
      <c r="H55" s="224">
        <v>1</v>
      </c>
      <c r="I55" s="224">
        <v>1</v>
      </c>
      <c r="J55" s="224">
        <v>1</v>
      </c>
      <c r="K55" s="224">
        <v>1</v>
      </c>
      <c r="L55" s="224">
        <v>1</v>
      </c>
      <c r="M55" s="224">
        <v>1</v>
      </c>
      <c r="N55" s="224">
        <v>1</v>
      </c>
      <c r="O55" s="225" t="s">
        <v>1226</v>
      </c>
      <c r="P55" s="446"/>
      <c r="Q55" s="110"/>
      <c r="R55" s="110"/>
      <c r="S55" s="110"/>
      <c r="T55" s="110"/>
      <c r="U55" s="12"/>
      <c r="V55" s="12"/>
      <c r="W55" s="12"/>
      <c r="X55" s="12"/>
      <c r="Y55" s="12"/>
      <c r="AA55" s="12"/>
      <c r="AB55" s="12"/>
      <c r="AC55" s="12"/>
      <c r="AD55" s="12"/>
      <c r="AE55" s="12"/>
      <c r="AG55" s="12"/>
      <c r="AH55" s="12"/>
      <c r="AI55" s="12"/>
      <c r="AJ55" s="12"/>
      <c r="AK55" s="12"/>
    </row>
    <row r="56" spans="2:37" s="10" customFormat="1">
      <c r="B56" s="11"/>
      <c r="C56" s="201" t="s">
        <v>401</v>
      </c>
      <c r="O56" s="11"/>
      <c r="P56" s="110"/>
      <c r="Q56" s="110"/>
      <c r="R56" s="110"/>
      <c r="S56" s="110"/>
      <c r="T56" s="110"/>
      <c r="U56" s="12"/>
      <c r="V56" s="12"/>
      <c r="W56" s="12"/>
      <c r="X56" s="12"/>
      <c r="Y56" s="12"/>
      <c r="AA56" s="12"/>
      <c r="AB56" s="12"/>
      <c r="AC56" s="12"/>
      <c r="AD56" s="12"/>
      <c r="AE56" s="12"/>
      <c r="AG56" s="12"/>
      <c r="AH56" s="12"/>
      <c r="AI56" s="12"/>
      <c r="AJ56" s="12"/>
      <c r="AK56" s="12"/>
    </row>
    <row r="57" spans="2:37" s="10" customFormat="1">
      <c r="B57" s="11"/>
      <c r="D57" s="10" t="s">
        <v>1008</v>
      </c>
      <c r="E57" s="224">
        <v>1</v>
      </c>
      <c r="F57" s="224">
        <v>1</v>
      </c>
      <c r="G57" s="224">
        <v>1</v>
      </c>
      <c r="H57" s="224">
        <v>1</v>
      </c>
      <c r="I57" s="224">
        <v>1</v>
      </c>
      <c r="J57" s="224">
        <v>1</v>
      </c>
      <c r="K57" s="224">
        <v>1</v>
      </c>
      <c r="L57" s="224">
        <v>1</v>
      </c>
      <c r="M57" s="224">
        <v>1</v>
      </c>
      <c r="N57" s="224">
        <v>1</v>
      </c>
      <c r="O57" s="225" t="s">
        <v>1227</v>
      </c>
      <c r="P57" s="446"/>
      <c r="Q57" s="110"/>
      <c r="R57" s="110"/>
      <c r="S57" s="110"/>
      <c r="T57" s="110"/>
      <c r="U57" s="12"/>
      <c r="V57" s="12"/>
      <c r="W57" s="12"/>
      <c r="X57" s="12"/>
      <c r="Y57" s="12"/>
      <c r="AA57" s="12"/>
      <c r="AB57" s="12"/>
      <c r="AC57" s="12"/>
      <c r="AD57" s="12"/>
      <c r="AE57" s="12"/>
      <c r="AG57" s="12"/>
      <c r="AH57" s="12"/>
      <c r="AI57" s="12"/>
      <c r="AJ57" s="12"/>
      <c r="AK57" s="12"/>
    </row>
    <row r="58" spans="2:37" s="10" customFormat="1">
      <c r="B58" s="11"/>
      <c r="D58" s="10" t="s">
        <v>495</v>
      </c>
      <c r="E58" s="224" t="s">
        <v>590</v>
      </c>
      <c r="F58" s="224" t="s">
        <v>590</v>
      </c>
      <c r="G58" s="224" t="s">
        <v>590</v>
      </c>
      <c r="H58" s="224" t="s">
        <v>590</v>
      </c>
      <c r="I58" s="224" t="s">
        <v>590</v>
      </c>
      <c r="J58" s="224" t="s">
        <v>590</v>
      </c>
      <c r="K58" s="224" t="s">
        <v>590</v>
      </c>
      <c r="L58" s="224" t="s">
        <v>590</v>
      </c>
      <c r="M58" s="224" t="s">
        <v>590</v>
      </c>
      <c r="N58" s="224" t="s">
        <v>590</v>
      </c>
      <c r="O58" s="225" t="s">
        <v>1228</v>
      </c>
      <c r="P58" s="446"/>
      <c r="Q58" s="110"/>
      <c r="R58" s="110"/>
      <c r="S58" s="110"/>
      <c r="T58" s="110"/>
      <c r="U58" s="12"/>
      <c r="V58" s="12"/>
      <c r="W58" s="12"/>
      <c r="X58" s="12"/>
      <c r="Y58" s="12"/>
      <c r="AA58" s="12"/>
      <c r="AB58" s="12"/>
      <c r="AC58" s="12"/>
      <c r="AD58" s="12"/>
      <c r="AE58" s="12"/>
      <c r="AG58" s="12"/>
      <c r="AH58" s="12"/>
      <c r="AI58" s="12"/>
      <c r="AJ58" s="12"/>
      <c r="AK58" s="12"/>
    </row>
    <row r="59" spans="2:37" s="10" customFormat="1">
      <c r="B59" s="11"/>
      <c r="C59" s="201" t="s">
        <v>519</v>
      </c>
      <c r="E59" s="224"/>
      <c r="F59" s="224"/>
      <c r="G59" s="224"/>
      <c r="H59" s="224"/>
      <c r="I59" s="224"/>
      <c r="J59" s="224"/>
      <c r="K59" s="224"/>
      <c r="L59" s="224"/>
      <c r="M59" s="224"/>
      <c r="N59" s="224"/>
      <c r="O59" s="225"/>
      <c r="P59" s="446"/>
      <c r="Q59" s="110"/>
      <c r="R59" s="110"/>
      <c r="S59" s="110"/>
      <c r="T59" s="110"/>
      <c r="U59" s="12"/>
      <c r="V59" s="12"/>
      <c r="W59" s="12"/>
      <c r="X59" s="12"/>
      <c r="Y59" s="12"/>
      <c r="AA59" s="12"/>
      <c r="AB59" s="12"/>
      <c r="AC59" s="12"/>
      <c r="AD59" s="12"/>
      <c r="AE59" s="12"/>
      <c r="AG59" s="12"/>
      <c r="AH59" s="12"/>
      <c r="AI59" s="12"/>
      <c r="AJ59" s="12"/>
      <c r="AK59" s="12"/>
    </row>
    <row r="60" spans="2:37" s="10" customFormat="1">
      <c r="B60" s="11"/>
      <c r="C60" s="10" t="s">
        <v>409</v>
      </c>
      <c r="E60" s="224"/>
      <c r="F60" s="224"/>
      <c r="G60" s="224"/>
      <c r="H60" s="224"/>
      <c r="I60" s="224"/>
      <c r="J60" s="224"/>
      <c r="K60" s="224"/>
      <c r="L60" s="224"/>
      <c r="M60" s="224"/>
      <c r="N60" s="224"/>
      <c r="O60" s="225"/>
      <c r="P60" s="446"/>
      <c r="Q60" s="110"/>
      <c r="R60" s="110"/>
      <c r="S60" s="110"/>
      <c r="T60" s="110"/>
      <c r="U60" s="12"/>
      <c r="V60" s="12"/>
      <c r="W60" s="12"/>
      <c r="X60" s="12"/>
      <c r="Y60" s="12"/>
      <c r="AA60" s="12"/>
      <c r="AB60" s="12"/>
      <c r="AC60" s="12"/>
      <c r="AD60" s="12"/>
      <c r="AE60" s="12"/>
      <c r="AG60" s="12"/>
      <c r="AH60" s="12"/>
      <c r="AI60" s="12"/>
      <c r="AJ60" s="12"/>
      <c r="AK60" s="12"/>
    </row>
    <row r="61" spans="2:37" s="10" customFormat="1">
      <c r="B61" s="11"/>
      <c r="D61" s="10" t="s">
        <v>410</v>
      </c>
      <c r="E61" s="224">
        <v>1</v>
      </c>
      <c r="F61" s="224">
        <v>1</v>
      </c>
      <c r="G61" s="224">
        <v>1</v>
      </c>
      <c r="H61" s="224">
        <v>1</v>
      </c>
      <c r="I61" s="224">
        <v>1</v>
      </c>
      <c r="J61" s="224">
        <v>1</v>
      </c>
      <c r="K61" s="224">
        <v>1</v>
      </c>
      <c r="L61" s="224">
        <v>1</v>
      </c>
      <c r="M61" s="224">
        <v>1</v>
      </c>
      <c r="N61" s="224">
        <v>1</v>
      </c>
      <c r="O61" s="225" t="s">
        <v>1229</v>
      </c>
      <c r="P61" s="446"/>
      <c r="Q61" s="110"/>
      <c r="R61" s="110"/>
      <c r="S61" s="110"/>
      <c r="T61" s="110"/>
      <c r="U61" s="12"/>
      <c r="V61" s="12"/>
      <c r="W61" s="12"/>
      <c r="X61" s="12"/>
      <c r="Y61" s="12"/>
      <c r="AA61" s="12"/>
      <c r="AB61" s="12"/>
      <c r="AC61" s="12"/>
      <c r="AD61" s="12"/>
      <c r="AE61" s="12"/>
      <c r="AG61" s="12"/>
      <c r="AH61" s="12"/>
      <c r="AI61" s="12"/>
      <c r="AJ61" s="12"/>
      <c r="AK61" s="12"/>
    </row>
    <row r="62" spans="2:37" s="10" customFormat="1">
      <c r="B62" s="11"/>
      <c r="D62" s="10" t="s">
        <v>412</v>
      </c>
      <c r="E62" s="224">
        <v>0.5</v>
      </c>
      <c r="F62" s="224">
        <v>0.5</v>
      </c>
      <c r="G62" s="224">
        <v>0.5</v>
      </c>
      <c r="H62" s="224">
        <v>0.5</v>
      </c>
      <c r="I62" s="224">
        <v>0.5</v>
      </c>
      <c r="J62" s="224">
        <v>0.5</v>
      </c>
      <c r="K62" s="224">
        <v>0.5</v>
      </c>
      <c r="L62" s="224">
        <v>0.5</v>
      </c>
      <c r="M62" s="224">
        <v>0.5</v>
      </c>
      <c r="N62" s="224">
        <v>0.5</v>
      </c>
      <c r="O62" s="225" t="s">
        <v>1230</v>
      </c>
      <c r="P62" s="446"/>
      <c r="Q62" s="110"/>
      <c r="R62" s="110"/>
      <c r="S62" s="110"/>
      <c r="T62" s="110"/>
      <c r="U62" s="12"/>
      <c r="V62" s="12"/>
      <c r="W62" s="12"/>
      <c r="X62" s="12"/>
      <c r="Y62" s="12"/>
      <c r="AA62" s="12"/>
      <c r="AB62" s="12"/>
      <c r="AC62" s="12"/>
      <c r="AD62" s="12"/>
      <c r="AE62" s="12"/>
      <c r="AG62" s="12"/>
      <c r="AH62" s="12"/>
      <c r="AI62" s="12"/>
      <c r="AJ62" s="12"/>
      <c r="AK62" s="12"/>
    </row>
    <row r="63" spans="2:37" s="10" customFormat="1">
      <c r="B63" s="11"/>
      <c r="D63" s="10" t="s">
        <v>411</v>
      </c>
      <c r="E63" s="224">
        <v>0.25</v>
      </c>
      <c r="F63" s="224">
        <v>0.25</v>
      </c>
      <c r="G63" s="224">
        <v>0.25</v>
      </c>
      <c r="H63" s="224">
        <v>0.25</v>
      </c>
      <c r="I63" s="224">
        <v>0.25</v>
      </c>
      <c r="J63" s="224">
        <v>0.25</v>
      </c>
      <c r="K63" s="224">
        <v>0.25</v>
      </c>
      <c r="L63" s="224">
        <v>0.25</v>
      </c>
      <c r="M63" s="224">
        <v>0.25</v>
      </c>
      <c r="N63" s="224">
        <v>0.25</v>
      </c>
      <c r="O63" s="225" t="s">
        <v>1231</v>
      </c>
      <c r="P63" s="446"/>
      <c r="Q63" s="110"/>
      <c r="R63" s="110"/>
      <c r="S63" s="110"/>
      <c r="T63" s="110"/>
      <c r="U63" s="12"/>
      <c r="V63" s="12"/>
      <c r="W63" s="12"/>
      <c r="X63" s="12"/>
      <c r="Y63" s="12"/>
      <c r="AA63" s="12"/>
      <c r="AB63" s="12"/>
      <c r="AC63" s="12"/>
      <c r="AD63" s="12"/>
      <c r="AE63" s="12"/>
      <c r="AG63" s="12"/>
      <c r="AH63" s="12"/>
      <c r="AI63" s="12"/>
      <c r="AJ63" s="12"/>
      <c r="AK63" s="12"/>
    </row>
    <row r="64" spans="2:37" s="10" customFormat="1">
      <c r="B64" s="11"/>
      <c r="D64" s="10" t="s">
        <v>506</v>
      </c>
      <c r="E64" s="224" t="s">
        <v>493</v>
      </c>
      <c r="F64" s="224" t="s">
        <v>493</v>
      </c>
      <c r="G64" s="224" t="s">
        <v>493</v>
      </c>
      <c r="H64" s="224" t="s">
        <v>493</v>
      </c>
      <c r="I64" s="224" t="s">
        <v>493</v>
      </c>
      <c r="J64" s="224" t="s">
        <v>493</v>
      </c>
      <c r="K64" s="224" t="s">
        <v>493</v>
      </c>
      <c r="L64" s="224" t="s">
        <v>493</v>
      </c>
      <c r="M64" s="224" t="s">
        <v>493</v>
      </c>
      <c r="N64" s="224" t="s">
        <v>493</v>
      </c>
      <c r="O64" s="225" t="s">
        <v>1232</v>
      </c>
      <c r="P64" s="446"/>
      <c r="Q64" s="110"/>
      <c r="R64" s="110"/>
      <c r="S64" s="110"/>
      <c r="T64" s="110"/>
      <c r="U64" s="12"/>
      <c r="V64" s="12"/>
      <c r="W64" s="12"/>
      <c r="X64" s="12"/>
      <c r="Y64" s="12"/>
      <c r="AA64" s="12"/>
      <c r="AB64" s="12"/>
      <c r="AC64" s="12"/>
      <c r="AD64" s="12"/>
      <c r="AE64" s="12"/>
      <c r="AG64" s="12"/>
      <c r="AH64" s="12"/>
      <c r="AI64" s="12"/>
      <c r="AJ64" s="12"/>
      <c r="AK64" s="12"/>
    </row>
    <row r="65" spans="1:37" s="10" customFormat="1">
      <c r="B65" s="11"/>
      <c r="D65" s="10" t="s">
        <v>1032</v>
      </c>
      <c r="E65" s="224" t="s">
        <v>493</v>
      </c>
      <c r="F65" s="224" t="s">
        <v>493</v>
      </c>
      <c r="G65" s="224" t="s">
        <v>493</v>
      </c>
      <c r="H65" s="224" t="s">
        <v>493</v>
      </c>
      <c r="I65" s="224" t="s">
        <v>493</v>
      </c>
      <c r="J65" s="224" t="s">
        <v>493</v>
      </c>
      <c r="K65" s="224" t="s">
        <v>493</v>
      </c>
      <c r="L65" s="224" t="s">
        <v>493</v>
      </c>
      <c r="M65" s="224" t="s">
        <v>493</v>
      </c>
      <c r="N65" s="224" t="s">
        <v>493</v>
      </c>
      <c r="O65" s="225" t="s">
        <v>1233</v>
      </c>
      <c r="P65" s="446"/>
      <c r="Q65" s="110"/>
      <c r="R65" s="110"/>
      <c r="S65" s="110"/>
      <c r="T65" s="110"/>
      <c r="U65" s="12"/>
      <c r="V65" s="12"/>
      <c r="W65" s="12"/>
      <c r="X65" s="12"/>
      <c r="Y65" s="12"/>
      <c r="AA65" s="12"/>
      <c r="AB65" s="12"/>
      <c r="AC65" s="12"/>
      <c r="AD65" s="12"/>
      <c r="AE65" s="12"/>
      <c r="AG65" s="12"/>
      <c r="AH65" s="12"/>
      <c r="AI65" s="12"/>
      <c r="AJ65" s="12"/>
      <c r="AK65" s="12"/>
    </row>
    <row r="66" spans="1:37" s="10" customFormat="1">
      <c r="B66" s="11"/>
      <c r="C66" s="201" t="s">
        <v>1034</v>
      </c>
      <c r="E66" s="224"/>
      <c r="F66" s="224"/>
      <c r="G66" s="224"/>
      <c r="H66" s="224"/>
      <c r="I66" s="224"/>
      <c r="J66" s="224"/>
      <c r="K66" s="224"/>
      <c r="L66" s="224"/>
      <c r="M66" s="224"/>
      <c r="N66" s="224"/>
      <c r="O66" s="225"/>
      <c r="P66" s="446"/>
      <c r="Q66" s="110"/>
      <c r="R66" s="110"/>
      <c r="S66" s="110"/>
      <c r="T66" s="110"/>
      <c r="U66" s="12"/>
      <c r="V66" s="12"/>
      <c r="W66" s="12"/>
      <c r="X66" s="12"/>
      <c r="Y66" s="12"/>
      <c r="AA66" s="12"/>
      <c r="AB66" s="12"/>
      <c r="AC66" s="12"/>
      <c r="AD66" s="12"/>
      <c r="AE66" s="12"/>
      <c r="AG66" s="12"/>
      <c r="AH66" s="12"/>
      <c r="AI66" s="12"/>
      <c r="AJ66" s="12"/>
      <c r="AK66" s="12"/>
    </row>
    <row r="67" spans="1:37" s="10" customFormat="1">
      <c r="B67" s="11"/>
      <c r="C67" s="10" t="s">
        <v>1035</v>
      </c>
      <c r="E67" s="224">
        <v>12</v>
      </c>
      <c r="F67" s="224">
        <v>12</v>
      </c>
      <c r="G67" s="224">
        <v>12</v>
      </c>
      <c r="H67" s="224">
        <v>12</v>
      </c>
      <c r="I67" s="224">
        <v>12</v>
      </c>
      <c r="J67" s="224">
        <v>12</v>
      </c>
      <c r="K67" s="224">
        <v>12</v>
      </c>
      <c r="L67" s="224">
        <v>12</v>
      </c>
      <c r="M67" s="224">
        <v>12</v>
      </c>
      <c r="N67" s="224">
        <v>12</v>
      </c>
      <c r="O67" s="225" t="s">
        <v>1234</v>
      </c>
      <c r="P67" s="446"/>
      <c r="Q67" s="110"/>
      <c r="R67" s="110"/>
      <c r="S67" s="110"/>
      <c r="T67" s="110"/>
      <c r="U67" s="12"/>
      <c r="V67" s="12"/>
      <c r="W67" s="12"/>
      <c r="X67" s="12"/>
      <c r="Y67" s="12"/>
      <c r="AA67" s="12"/>
      <c r="AB67" s="12"/>
      <c r="AC67" s="12"/>
      <c r="AD67" s="12"/>
      <c r="AE67" s="12"/>
      <c r="AG67" s="12"/>
      <c r="AH67" s="12"/>
      <c r="AI67" s="12"/>
      <c r="AJ67" s="12"/>
      <c r="AK67" s="12"/>
    </row>
    <row r="68" spans="1:37" s="10" customFormat="1">
      <c r="B68" s="11"/>
      <c r="C68" s="10" t="s">
        <v>1036</v>
      </c>
      <c r="E68" s="224" t="s">
        <v>493</v>
      </c>
      <c r="F68" s="224" t="s">
        <v>493</v>
      </c>
      <c r="G68" s="224" t="s">
        <v>493</v>
      </c>
      <c r="H68" s="224" t="s">
        <v>493</v>
      </c>
      <c r="I68" s="224" t="s">
        <v>493</v>
      </c>
      <c r="J68" s="224" t="s">
        <v>493</v>
      </c>
      <c r="K68" s="224" t="s">
        <v>493</v>
      </c>
      <c r="L68" s="224" t="s">
        <v>493</v>
      </c>
      <c r="M68" s="224" t="s">
        <v>493</v>
      </c>
      <c r="N68" s="224" t="s">
        <v>493</v>
      </c>
      <c r="O68" s="225" t="s">
        <v>1235</v>
      </c>
      <c r="P68" s="446"/>
      <c r="Q68" s="110"/>
      <c r="R68" s="110"/>
      <c r="S68" s="110"/>
      <c r="T68" s="110"/>
      <c r="U68" s="12"/>
      <c r="V68" s="12"/>
      <c r="W68" s="12"/>
      <c r="X68" s="12"/>
      <c r="Y68" s="12"/>
      <c r="AA68" s="12"/>
      <c r="AB68" s="12"/>
      <c r="AC68" s="12"/>
      <c r="AD68" s="12"/>
      <c r="AE68" s="12"/>
      <c r="AG68" s="12"/>
      <c r="AH68" s="12"/>
      <c r="AI68" s="12"/>
      <c r="AJ68" s="12"/>
      <c r="AK68" s="12"/>
    </row>
    <row r="69" spans="1:37" s="10" customFormat="1">
      <c r="B69" s="11"/>
      <c r="C69" s="10" t="s">
        <v>2282</v>
      </c>
      <c r="E69" s="224" t="s">
        <v>493</v>
      </c>
      <c r="F69" s="224" t="s">
        <v>493</v>
      </c>
      <c r="G69" s="224" t="s">
        <v>493</v>
      </c>
      <c r="H69" s="224" t="s">
        <v>493</v>
      </c>
      <c r="I69" s="224" t="s">
        <v>493</v>
      </c>
      <c r="J69" s="224" t="s">
        <v>493</v>
      </c>
      <c r="K69" s="224" t="s">
        <v>493</v>
      </c>
      <c r="L69" s="224" t="s">
        <v>493</v>
      </c>
      <c r="M69" s="224" t="s">
        <v>493</v>
      </c>
      <c r="N69" s="224" t="s">
        <v>493</v>
      </c>
      <c r="O69" s="225" t="s">
        <v>2287</v>
      </c>
      <c r="P69" s="446"/>
      <c r="Q69" s="110"/>
      <c r="R69" s="110"/>
      <c r="S69" s="110"/>
      <c r="T69" s="110"/>
      <c r="U69" s="12"/>
      <c r="V69" s="12"/>
      <c r="W69" s="12"/>
      <c r="X69" s="12"/>
      <c r="Y69" s="12"/>
      <c r="AA69" s="12"/>
      <c r="AB69" s="12"/>
      <c r="AC69" s="12"/>
      <c r="AD69" s="12"/>
      <c r="AE69" s="12"/>
      <c r="AG69" s="12"/>
      <c r="AH69" s="12"/>
      <c r="AI69" s="12"/>
      <c r="AJ69" s="12"/>
      <c r="AK69" s="12"/>
    </row>
    <row r="70" spans="1:37" s="10" customFormat="1">
      <c r="A70" s="109" t="s">
        <v>1254</v>
      </c>
      <c r="B70" s="11"/>
      <c r="E70" s="225"/>
      <c r="F70" s="225"/>
      <c r="G70" s="225"/>
      <c r="H70" s="225"/>
      <c r="I70" s="225"/>
      <c r="J70" s="225"/>
      <c r="K70" s="225"/>
      <c r="L70" s="225"/>
      <c r="M70" s="225"/>
      <c r="N70" s="225"/>
      <c r="O70" s="225"/>
      <c r="P70" s="446"/>
      <c r="Q70" s="110"/>
      <c r="R70" s="110"/>
      <c r="S70" s="110"/>
      <c r="T70" s="110"/>
      <c r="U70" s="12"/>
      <c r="V70" s="12"/>
      <c r="W70" s="12"/>
      <c r="X70" s="12"/>
      <c r="Y70" s="12"/>
      <c r="AA70" s="12"/>
      <c r="AB70" s="12"/>
      <c r="AC70" s="12"/>
      <c r="AD70" s="12"/>
      <c r="AE70" s="12"/>
      <c r="AG70" s="12"/>
      <c r="AH70" s="12"/>
      <c r="AI70" s="12"/>
      <c r="AJ70" s="12"/>
      <c r="AK70" s="12"/>
    </row>
    <row r="71" spans="1:37" s="10" customFormat="1">
      <c r="B71" s="11"/>
      <c r="C71" s="10" t="s">
        <v>936</v>
      </c>
      <c r="E71" s="224">
        <f t="shared" ref="E71:N78" si="15">$Q71</f>
        <v>0.44500000000000001</v>
      </c>
      <c r="F71" s="224">
        <f t="shared" si="15"/>
        <v>0.44500000000000001</v>
      </c>
      <c r="G71" s="224">
        <f t="shared" si="15"/>
        <v>0.44500000000000001</v>
      </c>
      <c r="H71" s="224">
        <f t="shared" si="15"/>
        <v>0.44500000000000001</v>
      </c>
      <c r="I71" s="224">
        <f t="shared" si="15"/>
        <v>0.44500000000000001</v>
      </c>
      <c r="J71" s="224">
        <f t="shared" si="15"/>
        <v>0.44500000000000001</v>
      </c>
      <c r="K71" s="224">
        <f t="shared" si="15"/>
        <v>0.44500000000000001</v>
      </c>
      <c r="L71" s="224">
        <f t="shared" si="15"/>
        <v>0.44500000000000001</v>
      </c>
      <c r="M71" s="224">
        <f t="shared" si="15"/>
        <v>0.44500000000000001</v>
      </c>
      <c r="N71" s="224">
        <f t="shared" si="15"/>
        <v>0.44500000000000001</v>
      </c>
      <c r="O71" s="225" t="s">
        <v>1255</v>
      </c>
      <c r="P71" s="446"/>
      <c r="Q71" s="446">
        <v>0.44500000000000001</v>
      </c>
      <c r="R71" s="110"/>
      <c r="S71" s="110"/>
      <c r="T71" s="110"/>
      <c r="U71" s="12"/>
      <c r="V71" s="12"/>
      <c r="W71" s="12"/>
      <c r="X71" s="12"/>
      <c r="Y71" s="12"/>
      <c r="AA71" s="12"/>
      <c r="AB71" s="12"/>
      <c r="AC71" s="12"/>
      <c r="AD71" s="12"/>
      <c r="AE71" s="12"/>
      <c r="AG71" s="12"/>
      <c r="AH71" s="12"/>
      <c r="AI71" s="12"/>
      <c r="AJ71" s="12"/>
      <c r="AK71" s="12"/>
    </row>
    <row r="72" spans="1:37" s="10" customFormat="1">
      <c r="B72" s="11"/>
      <c r="C72" s="10" t="s">
        <v>424</v>
      </c>
      <c r="E72" s="224">
        <f t="shared" si="15"/>
        <v>0.33300000000000002</v>
      </c>
      <c r="F72" s="224">
        <f t="shared" si="15"/>
        <v>0.33300000000000002</v>
      </c>
      <c r="G72" s="224">
        <f t="shared" si="15"/>
        <v>0.33300000000000002</v>
      </c>
      <c r="H72" s="224">
        <f t="shared" si="15"/>
        <v>0.33300000000000002</v>
      </c>
      <c r="I72" s="224">
        <f t="shared" si="15"/>
        <v>0.33300000000000002</v>
      </c>
      <c r="J72" s="224">
        <f t="shared" si="15"/>
        <v>0.33300000000000002</v>
      </c>
      <c r="K72" s="224">
        <f t="shared" si="15"/>
        <v>0.33300000000000002</v>
      </c>
      <c r="L72" s="224">
        <f t="shared" si="15"/>
        <v>0.33300000000000002</v>
      </c>
      <c r="M72" s="224">
        <f t="shared" si="15"/>
        <v>0.33300000000000002</v>
      </c>
      <c r="N72" s="224">
        <f t="shared" si="15"/>
        <v>0.33300000000000002</v>
      </c>
      <c r="O72" s="225" t="s">
        <v>1256</v>
      </c>
      <c r="P72" s="446"/>
      <c r="Q72" s="446">
        <v>0.33300000000000002</v>
      </c>
      <c r="R72" s="110"/>
      <c r="S72" s="110"/>
      <c r="T72" s="110"/>
      <c r="U72" s="12"/>
      <c r="V72" s="12"/>
      <c r="W72" s="12"/>
      <c r="X72" s="12"/>
      <c r="Y72" s="12"/>
      <c r="AA72" s="12"/>
      <c r="AB72" s="12"/>
      <c r="AC72" s="12"/>
      <c r="AD72" s="12"/>
      <c r="AE72" s="12"/>
      <c r="AG72" s="12"/>
      <c r="AH72" s="12"/>
      <c r="AI72" s="12"/>
      <c r="AJ72" s="12"/>
      <c r="AK72" s="12"/>
    </row>
    <row r="73" spans="1:37" s="10" customFormat="1">
      <c r="B73" s="11"/>
      <c r="C73" s="10" t="s">
        <v>403</v>
      </c>
      <c r="E73" s="224">
        <f t="shared" si="15"/>
        <v>0.21199999999999999</v>
      </c>
      <c r="F73" s="224">
        <f t="shared" si="15"/>
        <v>0.21199999999999999</v>
      </c>
      <c r="G73" s="224">
        <f t="shared" si="15"/>
        <v>0.21199999999999999</v>
      </c>
      <c r="H73" s="224">
        <f t="shared" si="15"/>
        <v>0.21199999999999999</v>
      </c>
      <c r="I73" s="224">
        <f t="shared" si="15"/>
        <v>0.21199999999999999</v>
      </c>
      <c r="J73" s="224">
        <f t="shared" si="15"/>
        <v>0.21199999999999999</v>
      </c>
      <c r="K73" s="224">
        <f t="shared" si="15"/>
        <v>0.21199999999999999</v>
      </c>
      <c r="L73" s="224">
        <f t="shared" si="15"/>
        <v>0.21199999999999999</v>
      </c>
      <c r="M73" s="224">
        <f t="shared" si="15"/>
        <v>0.21199999999999999</v>
      </c>
      <c r="N73" s="224">
        <f t="shared" si="15"/>
        <v>0.21199999999999999</v>
      </c>
      <c r="O73" s="225" t="s">
        <v>1257</v>
      </c>
      <c r="P73" s="446"/>
      <c r="Q73" s="446">
        <v>0.21199999999999999</v>
      </c>
      <c r="R73" s="110"/>
      <c r="S73" s="110"/>
      <c r="T73" s="110"/>
      <c r="U73" s="12"/>
      <c r="V73" s="12"/>
      <c r="W73" s="12"/>
      <c r="X73" s="12"/>
      <c r="Y73" s="12"/>
      <c r="AA73" s="12"/>
      <c r="AB73" s="12"/>
      <c r="AC73" s="12"/>
      <c r="AD73" s="12"/>
      <c r="AE73" s="12"/>
      <c r="AG73" s="12"/>
      <c r="AH73" s="12"/>
      <c r="AI73" s="12"/>
      <c r="AJ73" s="12"/>
      <c r="AK73" s="12"/>
    </row>
    <row r="74" spans="1:37" s="10" customFormat="1">
      <c r="A74" s="217" t="s">
        <v>1266</v>
      </c>
      <c r="B74" s="11"/>
      <c r="E74" s="225"/>
      <c r="F74" s="225"/>
      <c r="G74" s="225"/>
      <c r="H74" s="225"/>
      <c r="I74" s="225"/>
      <c r="J74" s="225"/>
      <c r="K74" s="225"/>
      <c r="L74" s="225"/>
      <c r="M74" s="225"/>
      <c r="N74" s="225"/>
      <c r="O74" s="225"/>
      <c r="P74" s="446"/>
      <c r="Q74" s="110"/>
      <c r="R74" s="110"/>
      <c r="S74" s="110"/>
      <c r="T74" s="110"/>
      <c r="U74" s="12"/>
      <c r="V74" s="12"/>
      <c r="W74" s="12"/>
      <c r="X74" s="12"/>
      <c r="Y74" s="12"/>
      <c r="AA74" s="12"/>
      <c r="AB74" s="12"/>
      <c r="AC74" s="12"/>
      <c r="AD74" s="12"/>
      <c r="AE74" s="12"/>
      <c r="AG74" s="12"/>
      <c r="AH74" s="12"/>
      <c r="AI74" s="12"/>
      <c r="AJ74" s="12"/>
      <c r="AK74" s="12"/>
    </row>
    <row r="75" spans="1:37" s="10" customFormat="1">
      <c r="A75" s="217"/>
      <c r="B75" s="11"/>
      <c r="C75" s="10" t="s">
        <v>899</v>
      </c>
      <c r="E75" s="224">
        <f t="shared" si="15"/>
        <v>0.15</v>
      </c>
      <c r="F75" s="224">
        <f t="shared" si="15"/>
        <v>0.15</v>
      </c>
      <c r="G75" s="224">
        <f t="shared" si="15"/>
        <v>0.15</v>
      </c>
      <c r="H75" s="224">
        <f t="shared" si="15"/>
        <v>0.15</v>
      </c>
      <c r="I75" s="224">
        <f t="shared" si="15"/>
        <v>0.15</v>
      </c>
      <c r="J75" s="224">
        <f t="shared" si="15"/>
        <v>0.15</v>
      </c>
      <c r="K75" s="224">
        <f t="shared" si="15"/>
        <v>0.15</v>
      </c>
      <c r="L75" s="224">
        <f t="shared" si="15"/>
        <v>0.15</v>
      </c>
      <c r="M75" s="224">
        <f t="shared" si="15"/>
        <v>0.15</v>
      </c>
      <c r="N75" s="224">
        <f t="shared" si="15"/>
        <v>0.15</v>
      </c>
      <c r="O75" s="225" t="s">
        <v>1267</v>
      </c>
      <c r="P75" s="446"/>
      <c r="Q75" s="110">
        <v>0.15</v>
      </c>
      <c r="R75" s="110"/>
      <c r="S75" s="110"/>
      <c r="T75" s="110"/>
      <c r="U75" s="12"/>
      <c r="V75" s="12"/>
      <c r="W75" s="12"/>
      <c r="X75" s="12"/>
      <c r="Y75" s="12"/>
      <c r="AA75" s="12"/>
      <c r="AB75" s="12"/>
      <c r="AC75" s="12"/>
      <c r="AD75" s="12"/>
      <c r="AE75" s="12"/>
      <c r="AG75" s="12"/>
      <c r="AH75" s="12"/>
      <c r="AI75" s="12"/>
      <c r="AJ75" s="12"/>
      <c r="AK75" s="12"/>
    </row>
    <row r="76" spans="1:37" s="10" customFormat="1">
      <c r="A76" s="217"/>
      <c r="B76" s="11"/>
      <c r="C76" s="10" t="s">
        <v>900</v>
      </c>
      <c r="E76" s="224">
        <f t="shared" si="15"/>
        <v>0.375</v>
      </c>
      <c r="F76" s="224">
        <f t="shared" si="15"/>
        <v>0.375</v>
      </c>
      <c r="G76" s="224">
        <f t="shared" si="15"/>
        <v>0.375</v>
      </c>
      <c r="H76" s="224">
        <f t="shared" si="15"/>
        <v>0.375</v>
      </c>
      <c r="I76" s="224">
        <f t="shared" si="15"/>
        <v>0.375</v>
      </c>
      <c r="J76" s="224">
        <f t="shared" si="15"/>
        <v>0.375</v>
      </c>
      <c r="K76" s="224">
        <f t="shared" si="15"/>
        <v>0.375</v>
      </c>
      <c r="L76" s="224">
        <f t="shared" si="15"/>
        <v>0.375</v>
      </c>
      <c r="M76" s="224">
        <f t="shared" si="15"/>
        <v>0.375</v>
      </c>
      <c r="N76" s="224">
        <f t="shared" si="15"/>
        <v>0.375</v>
      </c>
      <c r="O76" s="225" t="s">
        <v>1268</v>
      </c>
      <c r="P76" s="446"/>
      <c r="Q76" s="110">
        <v>0.375</v>
      </c>
      <c r="R76" s="110"/>
      <c r="S76" s="110"/>
      <c r="T76" s="110"/>
      <c r="U76" s="12"/>
      <c r="V76" s="12"/>
      <c r="W76" s="12"/>
      <c r="X76" s="12"/>
      <c r="Y76" s="12"/>
      <c r="AA76" s="12"/>
      <c r="AB76" s="12"/>
      <c r="AC76" s="12"/>
      <c r="AD76" s="12"/>
      <c r="AE76" s="12"/>
      <c r="AG76" s="12"/>
      <c r="AH76" s="12"/>
      <c r="AI76" s="12"/>
      <c r="AJ76" s="12"/>
      <c r="AK76" s="12"/>
    </row>
    <row r="77" spans="1:37" s="10" customFormat="1">
      <c r="A77" s="217"/>
      <c r="B77" s="11"/>
      <c r="C77" s="10" t="s">
        <v>901</v>
      </c>
      <c r="E77" s="224">
        <f t="shared" si="15"/>
        <v>0.15</v>
      </c>
      <c r="F77" s="224">
        <f t="shared" si="15"/>
        <v>0.15</v>
      </c>
      <c r="G77" s="224">
        <f t="shared" si="15"/>
        <v>0.15</v>
      </c>
      <c r="H77" s="224">
        <f t="shared" si="15"/>
        <v>0.15</v>
      </c>
      <c r="I77" s="224">
        <f t="shared" si="15"/>
        <v>0.15</v>
      </c>
      <c r="J77" s="224">
        <f t="shared" si="15"/>
        <v>0.15</v>
      </c>
      <c r="K77" s="224">
        <f t="shared" si="15"/>
        <v>0.15</v>
      </c>
      <c r="L77" s="224">
        <f t="shared" si="15"/>
        <v>0.15</v>
      </c>
      <c r="M77" s="224">
        <f t="shared" si="15"/>
        <v>0.15</v>
      </c>
      <c r="N77" s="224">
        <f t="shared" si="15"/>
        <v>0.15</v>
      </c>
      <c r="O77" s="225" t="s">
        <v>1269</v>
      </c>
      <c r="P77" s="446"/>
      <c r="Q77" s="110">
        <v>0.15</v>
      </c>
      <c r="R77" s="110"/>
      <c r="S77" s="110"/>
      <c r="T77" s="110"/>
      <c r="U77" s="12"/>
      <c r="V77" s="12"/>
      <c r="W77" s="12"/>
      <c r="X77" s="12"/>
      <c r="Y77" s="12"/>
      <c r="AA77" s="12"/>
      <c r="AB77" s="12"/>
      <c r="AC77" s="12"/>
      <c r="AD77" s="12"/>
      <c r="AE77" s="12"/>
      <c r="AG77" s="12"/>
      <c r="AH77" s="12"/>
      <c r="AI77" s="12"/>
      <c r="AJ77" s="12"/>
      <c r="AK77" s="12"/>
    </row>
    <row r="78" spans="1:37" s="10" customFormat="1">
      <c r="A78" s="217"/>
      <c r="B78" s="11"/>
      <c r="C78" s="10" t="s">
        <v>902</v>
      </c>
      <c r="E78" s="224">
        <f t="shared" si="15"/>
        <v>0.32500000000000001</v>
      </c>
      <c r="F78" s="224">
        <f t="shared" si="15"/>
        <v>0.32500000000000001</v>
      </c>
      <c r="G78" s="224">
        <f t="shared" si="15"/>
        <v>0.32500000000000001</v>
      </c>
      <c r="H78" s="224">
        <f t="shared" si="15"/>
        <v>0.32500000000000001</v>
      </c>
      <c r="I78" s="224">
        <f t="shared" si="15"/>
        <v>0.32500000000000001</v>
      </c>
      <c r="J78" s="224">
        <f t="shared" si="15"/>
        <v>0.32500000000000001</v>
      </c>
      <c r="K78" s="224">
        <f t="shared" si="15"/>
        <v>0.32500000000000001</v>
      </c>
      <c r="L78" s="224">
        <f t="shared" si="15"/>
        <v>0.32500000000000001</v>
      </c>
      <c r="M78" s="224">
        <f t="shared" si="15"/>
        <v>0.32500000000000001</v>
      </c>
      <c r="N78" s="224">
        <f t="shared" si="15"/>
        <v>0.32500000000000001</v>
      </c>
      <c r="O78" s="225" t="s">
        <v>1270</v>
      </c>
      <c r="P78" s="446"/>
      <c r="Q78" s="110">
        <v>0.32500000000000001</v>
      </c>
      <c r="R78" s="110"/>
      <c r="S78" s="110"/>
      <c r="T78" s="110"/>
      <c r="U78" s="12"/>
      <c r="V78" s="12"/>
      <c r="W78" s="12"/>
      <c r="X78" s="12"/>
      <c r="Y78" s="12"/>
      <c r="AA78" s="12"/>
      <c r="AB78" s="12"/>
      <c r="AC78" s="12"/>
      <c r="AD78" s="12"/>
      <c r="AE78" s="12"/>
      <c r="AG78" s="12"/>
      <c r="AH78" s="12"/>
      <c r="AI78" s="12"/>
      <c r="AJ78" s="12"/>
      <c r="AK78" s="12"/>
    </row>
    <row r="79" spans="1:37" s="10" customFormat="1">
      <c r="B79" s="11"/>
      <c r="C79" s="201" t="s">
        <v>589</v>
      </c>
      <c r="E79" s="225"/>
      <c r="F79" s="225"/>
      <c r="G79" s="225"/>
      <c r="H79" s="225"/>
      <c r="I79" s="225"/>
      <c r="J79" s="225"/>
      <c r="K79" s="225"/>
      <c r="L79" s="225"/>
      <c r="M79" s="225"/>
      <c r="N79" s="225"/>
      <c r="O79" s="225"/>
      <c r="P79" s="446"/>
      <c r="Q79" s="110"/>
      <c r="R79" s="110"/>
      <c r="S79" s="110"/>
      <c r="T79" s="110"/>
      <c r="U79" s="12"/>
      <c r="V79" s="12"/>
      <c r="W79" s="12"/>
      <c r="X79" s="12"/>
      <c r="Y79" s="12"/>
      <c r="AA79" s="12"/>
      <c r="AB79" s="12"/>
      <c r="AC79" s="12"/>
      <c r="AD79" s="12"/>
      <c r="AE79" s="12"/>
      <c r="AG79" s="12"/>
      <c r="AH79" s="12"/>
      <c r="AI79" s="12"/>
      <c r="AJ79" s="12"/>
      <c r="AK79" s="12"/>
    </row>
    <row r="80" spans="1:37" s="10" customFormat="1">
      <c r="B80" s="11"/>
      <c r="D80" s="10" t="s">
        <v>647</v>
      </c>
      <c r="E80" s="447">
        <v>0</v>
      </c>
      <c r="F80" s="447">
        <v>0</v>
      </c>
      <c r="G80" s="447">
        <v>0</v>
      </c>
      <c r="H80" s="447">
        <v>0</v>
      </c>
      <c r="I80" s="447">
        <v>0</v>
      </c>
      <c r="J80" s="447">
        <v>0</v>
      </c>
      <c r="K80" s="447">
        <v>0</v>
      </c>
      <c r="L80" s="447">
        <v>0</v>
      </c>
      <c r="M80" s="447">
        <v>0</v>
      </c>
      <c r="N80" s="447">
        <v>0</v>
      </c>
      <c r="O80" s="225" t="s">
        <v>1236</v>
      </c>
      <c r="P80" s="446"/>
      <c r="Q80" s="110"/>
      <c r="R80" s="110"/>
      <c r="S80" s="110"/>
      <c r="T80" s="110"/>
      <c r="U80" s="12"/>
      <c r="V80" s="12"/>
      <c r="W80" s="12"/>
      <c r="X80" s="12"/>
      <c r="Y80" s="12"/>
      <c r="AA80" s="12"/>
      <c r="AB80" s="12"/>
      <c r="AC80" s="12"/>
      <c r="AD80" s="12"/>
      <c r="AE80" s="12"/>
      <c r="AG80" s="12"/>
      <c r="AH80" s="12"/>
      <c r="AI80" s="12"/>
      <c r="AJ80" s="12"/>
      <c r="AK80" s="12"/>
    </row>
    <row r="81" spans="2:37" s="10" customFormat="1">
      <c r="B81" s="11"/>
      <c r="D81" s="10" t="s">
        <v>649</v>
      </c>
      <c r="E81" s="447">
        <v>0</v>
      </c>
      <c r="F81" s="447">
        <v>0</v>
      </c>
      <c r="G81" s="447">
        <v>0</v>
      </c>
      <c r="H81" s="447">
        <v>0</v>
      </c>
      <c r="I81" s="447">
        <v>0</v>
      </c>
      <c r="J81" s="447">
        <v>0</v>
      </c>
      <c r="K81" s="447">
        <v>0</v>
      </c>
      <c r="L81" s="447">
        <v>0</v>
      </c>
      <c r="M81" s="447">
        <v>0</v>
      </c>
      <c r="N81" s="447">
        <v>0</v>
      </c>
      <c r="O81" s="225" t="s">
        <v>1237</v>
      </c>
      <c r="P81" s="446"/>
      <c r="Q81" s="110"/>
      <c r="R81" s="110"/>
      <c r="S81" s="110"/>
      <c r="T81" s="110"/>
      <c r="U81" s="12"/>
      <c r="V81" s="12"/>
      <c r="W81" s="12"/>
      <c r="X81" s="12"/>
      <c r="Y81" s="12"/>
      <c r="AA81" s="12"/>
      <c r="AB81" s="12"/>
      <c r="AC81" s="12"/>
      <c r="AD81" s="12"/>
      <c r="AE81" s="12"/>
      <c r="AG81" s="12"/>
      <c r="AH81" s="12"/>
      <c r="AI81" s="12"/>
      <c r="AJ81" s="12"/>
      <c r="AK81" s="12"/>
    </row>
    <row r="82" spans="2:37" s="10" customFormat="1">
      <c r="B82" s="11"/>
      <c r="D82" s="10" t="s">
        <v>651</v>
      </c>
      <c r="E82" s="447">
        <v>0</v>
      </c>
      <c r="F82" s="447">
        <v>0</v>
      </c>
      <c r="G82" s="447">
        <v>0</v>
      </c>
      <c r="H82" s="447">
        <v>0</v>
      </c>
      <c r="I82" s="447">
        <v>0</v>
      </c>
      <c r="J82" s="447">
        <v>0</v>
      </c>
      <c r="K82" s="447">
        <v>0</v>
      </c>
      <c r="L82" s="447">
        <v>0</v>
      </c>
      <c r="M82" s="447">
        <v>0</v>
      </c>
      <c r="N82" s="447">
        <v>0</v>
      </c>
      <c r="O82" s="225" t="s">
        <v>1238</v>
      </c>
      <c r="P82" s="446"/>
      <c r="Q82" s="110"/>
      <c r="R82" s="110"/>
      <c r="S82" s="110"/>
      <c r="T82" s="110"/>
      <c r="U82" s="12"/>
      <c r="V82" s="12"/>
      <c r="W82" s="12"/>
      <c r="X82" s="12"/>
      <c r="Y82" s="12"/>
      <c r="AA82" s="12"/>
      <c r="AB82" s="12"/>
      <c r="AC82" s="12"/>
      <c r="AD82" s="12"/>
      <c r="AE82" s="12"/>
      <c r="AG82" s="12"/>
      <c r="AH82" s="12"/>
      <c r="AI82" s="12"/>
      <c r="AJ82" s="12"/>
      <c r="AK82" s="12"/>
    </row>
    <row r="83" spans="2:37" s="10" customFormat="1">
      <c r="B83" s="11"/>
      <c r="D83" s="10" t="s">
        <v>652</v>
      </c>
      <c r="E83" s="447">
        <v>0</v>
      </c>
      <c r="F83" s="447">
        <v>0</v>
      </c>
      <c r="G83" s="447">
        <v>0</v>
      </c>
      <c r="H83" s="447">
        <v>0</v>
      </c>
      <c r="I83" s="447">
        <v>0</v>
      </c>
      <c r="J83" s="447">
        <v>0</v>
      </c>
      <c r="K83" s="447">
        <v>0</v>
      </c>
      <c r="L83" s="447">
        <v>0</v>
      </c>
      <c r="M83" s="447">
        <v>0</v>
      </c>
      <c r="N83" s="447">
        <v>0</v>
      </c>
      <c r="O83" s="225" t="s">
        <v>1239</v>
      </c>
      <c r="P83" s="446"/>
      <c r="Q83" s="110"/>
      <c r="R83" s="110"/>
      <c r="S83" s="110"/>
      <c r="T83" s="110"/>
      <c r="U83" s="12"/>
      <c r="V83" s="12"/>
      <c r="W83" s="12"/>
      <c r="X83" s="12"/>
      <c r="Y83" s="12"/>
      <c r="AA83" s="12"/>
      <c r="AB83" s="12"/>
      <c r="AC83" s="12"/>
      <c r="AD83" s="12"/>
      <c r="AE83" s="12"/>
      <c r="AG83" s="12"/>
      <c r="AH83" s="12"/>
      <c r="AI83" s="12"/>
      <c r="AJ83" s="12"/>
      <c r="AK83" s="12"/>
    </row>
    <row r="84" spans="2:37" s="10" customFormat="1">
      <c r="B84" s="11"/>
      <c r="D84" s="10" t="s">
        <v>653</v>
      </c>
      <c r="E84" s="447">
        <v>0</v>
      </c>
      <c r="F84" s="447">
        <v>0</v>
      </c>
      <c r="G84" s="447">
        <v>0</v>
      </c>
      <c r="H84" s="447">
        <v>0</v>
      </c>
      <c r="I84" s="447">
        <v>0</v>
      </c>
      <c r="J84" s="447">
        <v>0</v>
      </c>
      <c r="K84" s="447">
        <v>0</v>
      </c>
      <c r="L84" s="447">
        <v>0</v>
      </c>
      <c r="M84" s="447">
        <v>0</v>
      </c>
      <c r="N84" s="447">
        <v>0</v>
      </c>
      <c r="O84" s="225" t="s">
        <v>1240</v>
      </c>
      <c r="P84" s="446"/>
      <c r="Q84" s="110"/>
      <c r="R84" s="110"/>
      <c r="S84" s="110"/>
      <c r="T84" s="110"/>
      <c r="U84" s="12"/>
      <c r="V84" s="12"/>
      <c r="W84" s="12"/>
      <c r="X84" s="12"/>
      <c r="Y84" s="12"/>
      <c r="AA84" s="12"/>
      <c r="AB84" s="12"/>
      <c r="AC84" s="12"/>
      <c r="AD84" s="12"/>
      <c r="AE84" s="12"/>
      <c r="AG84" s="12"/>
      <c r="AH84" s="12"/>
      <c r="AI84" s="12"/>
      <c r="AJ84" s="12"/>
      <c r="AK84" s="12"/>
    </row>
    <row r="85" spans="2:37" s="10" customFormat="1">
      <c r="B85" s="11"/>
      <c r="D85" s="10" t="s">
        <v>654</v>
      </c>
      <c r="E85" s="447">
        <v>0</v>
      </c>
      <c r="F85" s="447">
        <v>0</v>
      </c>
      <c r="G85" s="447">
        <v>0</v>
      </c>
      <c r="H85" s="447">
        <v>0</v>
      </c>
      <c r="I85" s="447">
        <v>0</v>
      </c>
      <c r="J85" s="447">
        <v>0</v>
      </c>
      <c r="K85" s="447">
        <v>0</v>
      </c>
      <c r="L85" s="447">
        <v>0</v>
      </c>
      <c r="M85" s="447">
        <v>0</v>
      </c>
      <c r="N85" s="447">
        <v>0</v>
      </c>
      <c r="O85" s="225" t="s">
        <v>1241</v>
      </c>
      <c r="P85" s="446"/>
      <c r="Q85" s="110"/>
      <c r="R85" s="110"/>
      <c r="S85" s="110"/>
      <c r="T85" s="110"/>
      <c r="U85" s="12"/>
      <c r="V85" s="12"/>
      <c r="W85" s="12"/>
      <c r="X85" s="12"/>
      <c r="Y85" s="12"/>
      <c r="AA85" s="12"/>
      <c r="AB85" s="12"/>
      <c r="AC85" s="12"/>
      <c r="AD85" s="12"/>
      <c r="AE85" s="12"/>
      <c r="AG85" s="12"/>
      <c r="AH85" s="12"/>
      <c r="AI85" s="12"/>
      <c r="AJ85" s="12"/>
      <c r="AK85" s="12"/>
    </row>
    <row r="86" spans="2:37" s="10" customFormat="1">
      <c r="B86" s="11"/>
      <c r="D86" s="10" t="s">
        <v>655</v>
      </c>
      <c r="E86" s="447">
        <v>0</v>
      </c>
      <c r="F86" s="447">
        <v>0</v>
      </c>
      <c r="G86" s="447">
        <v>0</v>
      </c>
      <c r="H86" s="447">
        <v>0</v>
      </c>
      <c r="I86" s="447">
        <v>0</v>
      </c>
      <c r="J86" s="447">
        <v>0</v>
      </c>
      <c r="K86" s="447">
        <v>0</v>
      </c>
      <c r="L86" s="447">
        <v>0</v>
      </c>
      <c r="M86" s="447">
        <v>0</v>
      </c>
      <c r="N86" s="447">
        <v>0</v>
      </c>
      <c r="O86" s="225" t="s">
        <v>1242</v>
      </c>
      <c r="P86" s="446"/>
      <c r="Q86" s="110"/>
      <c r="R86" s="110"/>
      <c r="S86" s="110"/>
      <c r="T86" s="110"/>
      <c r="U86" s="12"/>
      <c r="V86" s="12"/>
      <c r="W86" s="12"/>
      <c r="X86" s="12"/>
      <c r="Y86" s="12"/>
      <c r="AA86" s="12"/>
      <c r="AB86" s="12"/>
      <c r="AC86" s="12"/>
      <c r="AD86" s="12"/>
      <c r="AE86" s="12"/>
      <c r="AG86" s="12"/>
      <c r="AH86" s="12"/>
      <c r="AI86" s="12"/>
      <c r="AJ86" s="12"/>
      <c r="AK86" s="12"/>
    </row>
    <row r="87" spans="2:37" s="10" customFormat="1">
      <c r="B87" s="11"/>
      <c r="D87" s="10" t="s">
        <v>656</v>
      </c>
      <c r="E87" s="447">
        <v>0</v>
      </c>
      <c r="F87" s="447">
        <v>0</v>
      </c>
      <c r="G87" s="447">
        <v>0</v>
      </c>
      <c r="H87" s="447">
        <v>0</v>
      </c>
      <c r="I87" s="447">
        <v>0</v>
      </c>
      <c r="J87" s="447">
        <v>0</v>
      </c>
      <c r="K87" s="447">
        <v>0</v>
      </c>
      <c r="L87" s="447">
        <v>0</v>
      </c>
      <c r="M87" s="447">
        <v>0</v>
      </c>
      <c r="N87" s="447">
        <v>0</v>
      </c>
      <c r="O87" s="225" t="s">
        <v>1243</v>
      </c>
      <c r="P87" s="446"/>
      <c r="Q87" s="110"/>
      <c r="R87" s="110"/>
      <c r="S87" s="110"/>
      <c r="T87" s="110"/>
      <c r="U87" s="12"/>
      <c r="V87" s="12"/>
      <c r="W87" s="12"/>
      <c r="X87" s="12"/>
      <c r="Y87" s="12"/>
      <c r="AA87" s="12"/>
      <c r="AB87" s="12"/>
      <c r="AC87" s="12"/>
      <c r="AD87" s="12"/>
      <c r="AE87" s="12"/>
      <c r="AG87" s="12"/>
      <c r="AH87" s="12"/>
      <c r="AI87" s="12"/>
      <c r="AJ87" s="12"/>
      <c r="AK87" s="12"/>
    </row>
    <row r="88" spans="2:37" s="10" customFormat="1">
      <c r="B88" s="11"/>
      <c r="D88" s="10" t="s">
        <v>657</v>
      </c>
      <c r="E88" s="447">
        <v>0</v>
      </c>
      <c r="F88" s="447">
        <v>0</v>
      </c>
      <c r="G88" s="447">
        <v>0</v>
      </c>
      <c r="H88" s="447">
        <v>0</v>
      </c>
      <c r="I88" s="447">
        <v>0</v>
      </c>
      <c r="J88" s="447">
        <v>0</v>
      </c>
      <c r="K88" s="447">
        <v>0</v>
      </c>
      <c r="L88" s="447">
        <v>0</v>
      </c>
      <c r="M88" s="447">
        <v>0</v>
      </c>
      <c r="N88" s="447">
        <v>0</v>
      </c>
      <c r="O88" s="225" t="s">
        <v>1244</v>
      </c>
      <c r="P88" s="446"/>
      <c r="Q88" s="110"/>
      <c r="R88" s="110"/>
      <c r="S88" s="110"/>
      <c r="T88" s="110"/>
      <c r="U88" s="12"/>
      <c r="V88" s="12"/>
      <c r="W88" s="12"/>
      <c r="X88" s="12"/>
      <c r="Y88" s="12"/>
      <c r="AA88" s="12"/>
      <c r="AB88" s="12"/>
      <c r="AC88" s="12"/>
      <c r="AD88" s="12"/>
      <c r="AE88" s="12"/>
      <c r="AG88" s="12"/>
      <c r="AH88" s="12"/>
      <c r="AI88" s="12"/>
      <c r="AJ88" s="12"/>
      <c r="AK88" s="12"/>
    </row>
    <row r="89" spans="2:37" s="10" customFormat="1">
      <c r="B89" s="11"/>
      <c r="D89" s="10" t="s">
        <v>658</v>
      </c>
      <c r="E89" s="447">
        <v>0</v>
      </c>
      <c r="F89" s="447">
        <v>0</v>
      </c>
      <c r="G89" s="447">
        <v>0</v>
      </c>
      <c r="H89" s="447">
        <v>0</v>
      </c>
      <c r="I89" s="447">
        <v>0</v>
      </c>
      <c r="J89" s="447">
        <v>0</v>
      </c>
      <c r="K89" s="447">
        <v>0</v>
      </c>
      <c r="L89" s="447">
        <v>0</v>
      </c>
      <c r="M89" s="447">
        <v>0</v>
      </c>
      <c r="N89" s="447">
        <v>0</v>
      </c>
      <c r="O89" s="225" t="s">
        <v>1245</v>
      </c>
      <c r="P89" s="446"/>
      <c r="Q89" s="110"/>
      <c r="R89" s="110"/>
      <c r="S89" s="110"/>
      <c r="T89" s="110"/>
      <c r="U89" s="12"/>
      <c r="V89" s="12"/>
      <c r="W89" s="12"/>
      <c r="X89" s="12"/>
      <c r="Y89" s="12"/>
      <c r="AA89" s="12"/>
      <c r="AB89" s="12"/>
      <c r="AC89" s="12"/>
      <c r="AD89" s="12"/>
      <c r="AE89" s="12"/>
      <c r="AG89" s="12"/>
      <c r="AH89" s="12"/>
      <c r="AI89" s="12"/>
      <c r="AJ89" s="12"/>
      <c r="AK89" s="12"/>
    </row>
    <row r="90" spans="2:37" s="10" customFormat="1">
      <c r="B90" s="11"/>
      <c r="D90" s="10" t="s">
        <v>659</v>
      </c>
      <c r="E90" s="447">
        <v>0</v>
      </c>
      <c r="F90" s="447">
        <v>0</v>
      </c>
      <c r="G90" s="447">
        <v>0</v>
      </c>
      <c r="H90" s="447">
        <v>0</v>
      </c>
      <c r="I90" s="447">
        <v>0</v>
      </c>
      <c r="J90" s="447">
        <v>0</v>
      </c>
      <c r="K90" s="447">
        <v>0</v>
      </c>
      <c r="L90" s="447">
        <v>0</v>
      </c>
      <c r="M90" s="447">
        <v>0</v>
      </c>
      <c r="N90" s="447">
        <v>0</v>
      </c>
      <c r="O90" s="225" t="s">
        <v>1246</v>
      </c>
      <c r="P90" s="446"/>
      <c r="Q90" s="110"/>
      <c r="R90" s="110"/>
      <c r="S90" s="110"/>
      <c r="T90" s="110"/>
      <c r="U90" s="12"/>
      <c r="V90" s="12"/>
      <c r="W90" s="12"/>
      <c r="X90" s="12"/>
      <c r="Y90" s="12"/>
      <c r="AA90" s="12"/>
      <c r="AB90" s="12"/>
      <c r="AC90" s="12"/>
      <c r="AD90" s="12"/>
      <c r="AE90" s="12"/>
      <c r="AG90" s="12"/>
      <c r="AH90" s="12"/>
      <c r="AI90" s="12"/>
      <c r="AJ90" s="12"/>
      <c r="AK90" s="12"/>
    </row>
    <row r="91" spans="2:37" s="10" customFormat="1">
      <c r="B91" s="11"/>
      <c r="D91" s="10" t="s">
        <v>660</v>
      </c>
      <c r="E91" s="447">
        <v>0</v>
      </c>
      <c r="F91" s="447">
        <v>0</v>
      </c>
      <c r="G91" s="447">
        <v>0</v>
      </c>
      <c r="H91" s="447">
        <v>0</v>
      </c>
      <c r="I91" s="447">
        <v>0</v>
      </c>
      <c r="J91" s="447">
        <v>0</v>
      </c>
      <c r="K91" s="447">
        <v>0</v>
      </c>
      <c r="L91" s="447">
        <v>0</v>
      </c>
      <c r="M91" s="447">
        <v>0</v>
      </c>
      <c r="N91" s="447">
        <v>0</v>
      </c>
      <c r="O91" s="225" t="s">
        <v>1247</v>
      </c>
      <c r="P91" s="446"/>
      <c r="Q91" s="110"/>
      <c r="R91" s="110"/>
      <c r="S91" s="110"/>
      <c r="T91" s="110"/>
      <c r="U91" s="12"/>
      <c r="V91" s="12"/>
      <c r="W91" s="12"/>
      <c r="X91" s="12"/>
      <c r="Y91" s="12"/>
      <c r="AA91" s="12"/>
      <c r="AB91" s="12"/>
      <c r="AC91" s="12"/>
      <c r="AD91" s="12"/>
      <c r="AE91" s="12"/>
      <c r="AG91" s="12"/>
      <c r="AH91" s="12"/>
      <c r="AI91" s="12"/>
      <c r="AJ91" s="12"/>
      <c r="AK91" s="12"/>
    </row>
    <row r="92" spans="2:37" s="10" customFormat="1">
      <c r="B92" s="11"/>
      <c r="D92" s="10" t="s">
        <v>661</v>
      </c>
      <c r="E92" s="447">
        <v>0</v>
      </c>
      <c r="F92" s="447">
        <v>0</v>
      </c>
      <c r="G92" s="447">
        <v>0</v>
      </c>
      <c r="H92" s="447">
        <v>0</v>
      </c>
      <c r="I92" s="447">
        <v>0</v>
      </c>
      <c r="J92" s="447">
        <v>0</v>
      </c>
      <c r="K92" s="447">
        <v>0</v>
      </c>
      <c r="L92" s="447">
        <v>0</v>
      </c>
      <c r="M92" s="447">
        <v>0</v>
      </c>
      <c r="N92" s="447">
        <v>0</v>
      </c>
      <c r="O92" s="225" t="s">
        <v>1248</v>
      </c>
      <c r="P92" s="446"/>
      <c r="Q92" s="110"/>
      <c r="R92" s="110"/>
      <c r="S92" s="110"/>
      <c r="T92" s="110"/>
      <c r="U92" s="12"/>
      <c r="V92" s="12"/>
      <c r="W92" s="12"/>
      <c r="X92" s="12"/>
      <c r="Y92" s="12"/>
      <c r="AA92" s="12"/>
      <c r="AB92" s="12"/>
      <c r="AC92" s="12"/>
      <c r="AD92" s="12"/>
      <c r="AE92" s="12"/>
      <c r="AG92" s="12"/>
      <c r="AH92" s="12"/>
      <c r="AI92" s="12"/>
      <c r="AJ92" s="12"/>
      <c r="AK92" s="12"/>
    </row>
    <row r="93" spans="2:37" s="10" customFormat="1">
      <c r="B93" s="11"/>
      <c r="D93" s="10" t="s">
        <v>662</v>
      </c>
      <c r="E93" s="447">
        <v>0</v>
      </c>
      <c r="F93" s="447">
        <v>0</v>
      </c>
      <c r="G93" s="447">
        <v>0</v>
      </c>
      <c r="H93" s="447">
        <v>0</v>
      </c>
      <c r="I93" s="447">
        <v>0</v>
      </c>
      <c r="J93" s="447">
        <v>0</v>
      </c>
      <c r="K93" s="447">
        <v>0</v>
      </c>
      <c r="L93" s="447">
        <v>0</v>
      </c>
      <c r="M93" s="447">
        <v>0</v>
      </c>
      <c r="N93" s="447">
        <v>0</v>
      </c>
      <c r="O93" s="225" t="s">
        <v>1249</v>
      </c>
      <c r="P93" s="446"/>
      <c r="Q93" s="110"/>
      <c r="R93" s="110"/>
      <c r="S93" s="110"/>
      <c r="T93" s="110"/>
      <c r="U93" s="12"/>
      <c r="V93" s="12"/>
      <c r="W93" s="12"/>
      <c r="X93" s="12"/>
      <c r="Y93" s="12"/>
      <c r="AA93" s="12"/>
      <c r="AB93" s="12"/>
      <c r="AC93" s="12"/>
      <c r="AD93" s="12"/>
      <c r="AE93" s="12"/>
      <c r="AG93" s="12"/>
      <c r="AH93" s="12"/>
      <c r="AI93" s="12"/>
      <c r="AJ93" s="12"/>
      <c r="AK93" s="12"/>
    </row>
    <row r="94" spans="2:37" s="10" customFormat="1">
      <c r="B94" s="11"/>
      <c r="D94" s="10" t="s">
        <v>663</v>
      </c>
      <c r="E94" s="447">
        <v>0</v>
      </c>
      <c r="F94" s="447">
        <v>0</v>
      </c>
      <c r="G94" s="447">
        <v>0</v>
      </c>
      <c r="H94" s="447">
        <v>0</v>
      </c>
      <c r="I94" s="447">
        <v>0</v>
      </c>
      <c r="J94" s="447">
        <v>0</v>
      </c>
      <c r="K94" s="447">
        <v>0</v>
      </c>
      <c r="L94" s="447">
        <v>0</v>
      </c>
      <c r="M94" s="447">
        <v>0</v>
      </c>
      <c r="N94" s="447">
        <v>0</v>
      </c>
      <c r="O94" s="225" t="s">
        <v>1250</v>
      </c>
      <c r="P94" s="446"/>
      <c r="Q94" s="110"/>
      <c r="R94" s="110"/>
      <c r="S94" s="110"/>
      <c r="T94" s="110"/>
      <c r="U94" s="12"/>
      <c r="V94" s="12"/>
      <c r="W94" s="12"/>
      <c r="X94" s="12"/>
      <c r="Y94" s="12"/>
      <c r="AA94" s="12"/>
      <c r="AB94" s="12"/>
      <c r="AC94" s="12"/>
      <c r="AD94" s="12"/>
      <c r="AE94" s="12"/>
      <c r="AG94" s="12"/>
      <c r="AH94" s="12"/>
      <c r="AI94" s="12"/>
      <c r="AJ94" s="12"/>
      <c r="AK94" s="12"/>
    </row>
    <row r="95" spans="2:37">
      <c r="Q95" s="25"/>
    </row>
    <row r="96" spans="2:37" s="69" customFormat="1">
      <c r="B96" s="69" t="s">
        <v>690</v>
      </c>
      <c r="E96" s="417"/>
      <c r="F96" s="417"/>
      <c r="G96" s="417"/>
      <c r="H96" s="417"/>
      <c r="I96" s="417"/>
      <c r="J96" s="417"/>
      <c r="K96" s="417"/>
      <c r="L96" s="417"/>
      <c r="M96" s="417"/>
      <c r="N96" s="417"/>
    </row>
    <row r="97" spans="3:15" s="69" customFormat="1">
      <c r="C97" s="217" t="s">
        <v>140</v>
      </c>
      <c r="E97" s="417"/>
      <c r="F97" s="417"/>
      <c r="G97" s="417"/>
      <c r="H97" s="417"/>
      <c r="I97" s="417"/>
      <c r="J97" s="417"/>
      <c r="K97" s="417"/>
      <c r="L97" s="417"/>
      <c r="M97" s="417"/>
      <c r="N97" s="417"/>
    </row>
    <row r="98" spans="3:15" s="410" customFormat="1">
      <c r="D98" s="410" t="s">
        <v>905</v>
      </c>
      <c r="E98" s="418">
        <v>30955843.466136772</v>
      </c>
      <c r="F98" s="418">
        <v>30955843.466136772</v>
      </c>
      <c r="G98" s="418">
        <v>30955843.466136772</v>
      </c>
      <c r="H98" s="418">
        <v>30955843.466136772</v>
      </c>
      <c r="I98" s="418">
        <v>30955843.466136772</v>
      </c>
      <c r="J98" s="418">
        <v>30955843.466136772</v>
      </c>
      <c r="K98" s="418">
        <v>30955843.466136772</v>
      </c>
      <c r="L98" s="418">
        <v>30955843.466136772</v>
      </c>
      <c r="M98" s="418">
        <v>30955843.466136772</v>
      </c>
      <c r="N98" s="418">
        <v>30955843.466136772</v>
      </c>
      <c r="O98" s="410" t="s">
        <v>3371</v>
      </c>
    </row>
    <row r="99" spans="3:15" s="410" customFormat="1">
      <c r="D99" s="410" t="s">
        <v>906</v>
      </c>
      <c r="E99" s="418">
        <v>33831624.25685782</v>
      </c>
      <c r="F99" s="418">
        <v>33831624.25685782</v>
      </c>
      <c r="G99" s="418">
        <v>33831624.25685782</v>
      </c>
      <c r="H99" s="418">
        <v>33831624.25685782</v>
      </c>
      <c r="I99" s="418">
        <v>33831624.25685782</v>
      </c>
      <c r="J99" s="418">
        <v>33831624.25685782</v>
      </c>
      <c r="K99" s="418">
        <v>33831624.25685782</v>
      </c>
      <c r="L99" s="418">
        <v>33831624.25685782</v>
      </c>
      <c r="M99" s="418">
        <v>33831624.25685782</v>
      </c>
      <c r="N99" s="418">
        <v>33831624.25685782</v>
      </c>
      <c r="O99" s="410" t="s">
        <v>3372</v>
      </c>
    </row>
    <row r="100" spans="3:15" s="410" customFormat="1">
      <c r="D100" s="410" t="s">
        <v>908</v>
      </c>
      <c r="E100" s="418">
        <v>38275308.995502166</v>
      </c>
      <c r="F100" s="418">
        <v>38275308.995502166</v>
      </c>
      <c r="G100" s="418">
        <v>38275308.995502166</v>
      </c>
      <c r="H100" s="418">
        <v>38275308.995502166</v>
      </c>
      <c r="I100" s="418">
        <v>38275308.995502166</v>
      </c>
      <c r="J100" s="418">
        <v>38275308.995502166</v>
      </c>
      <c r="K100" s="418">
        <v>38275308.995502166</v>
      </c>
      <c r="L100" s="418">
        <v>38275308.995502166</v>
      </c>
      <c r="M100" s="418">
        <v>38275308.995502166</v>
      </c>
      <c r="N100" s="418">
        <v>38275308.995502166</v>
      </c>
      <c r="O100" s="410" t="s">
        <v>3373</v>
      </c>
    </row>
    <row r="101" spans="3:15" s="410" customFormat="1">
      <c r="D101" s="410" t="s">
        <v>910</v>
      </c>
      <c r="E101" s="418">
        <v>44809163.697226644</v>
      </c>
      <c r="F101" s="418">
        <v>44809163.697226644</v>
      </c>
      <c r="G101" s="418">
        <v>44809163.697226644</v>
      </c>
      <c r="H101" s="418">
        <v>44809163.697226644</v>
      </c>
      <c r="I101" s="418">
        <v>44809163.697226644</v>
      </c>
      <c r="J101" s="418">
        <v>44809163.697226644</v>
      </c>
      <c r="K101" s="418">
        <v>44809163.697226644</v>
      </c>
      <c r="L101" s="418">
        <v>44809163.697226644</v>
      </c>
      <c r="M101" s="418">
        <v>44809163.697226644</v>
      </c>
      <c r="N101" s="418">
        <v>44809163.697226644</v>
      </c>
      <c r="O101" s="410" t="s">
        <v>3374</v>
      </c>
    </row>
    <row r="102" spans="3:15">
      <c r="D102" s="217" t="s">
        <v>492</v>
      </c>
      <c r="E102" s="419">
        <v>147871940.41572341</v>
      </c>
      <c r="F102" s="419">
        <v>147871940.41572341</v>
      </c>
      <c r="G102" s="419">
        <v>147871940.41572341</v>
      </c>
      <c r="H102" s="419">
        <v>147871940.41572341</v>
      </c>
      <c r="I102" s="419">
        <v>147871940.41572341</v>
      </c>
      <c r="J102" s="419">
        <v>147871940.41572341</v>
      </c>
      <c r="K102" s="419">
        <v>147871940.41572341</v>
      </c>
      <c r="L102" s="419">
        <v>147871940.41572341</v>
      </c>
      <c r="M102" s="419">
        <v>147871940.41572341</v>
      </c>
      <c r="N102" s="419">
        <v>147871940.41572341</v>
      </c>
      <c r="O102" s="410" t="s">
        <v>3375</v>
      </c>
    </row>
    <row r="103" spans="3:15">
      <c r="D103" s="217"/>
      <c r="E103" s="419"/>
      <c r="F103" s="419"/>
      <c r="G103" s="419"/>
      <c r="H103" s="419"/>
      <c r="I103" s="419"/>
      <c r="J103" s="419"/>
      <c r="K103" s="419"/>
      <c r="L103" s="419"/>
      <c r="M103" s="419"/>
      <c r="N103" s="419"/>
      <c r="O103" s="410"/>
    </row>
    <row r="104" spans="3:15">
      <c r="C104" s="65" t="s">
        <v>434</v>
      </c>
      <c r="E104" s="419"/>
      <c r="F104" s="419"/>
      <c r="G104" s="419"/>
      <c r="H104" s="419"/>
      <c r="I104" s="419"/>
      <c r="J104" s="419"/>
      <c r="K104" s="419"/>
      <c r="L104" s="419"/>
      <c r="M104" s="419"/>
      <c r="N104" s="419"/>
    </row>
    <row r="105" spans="3:15">
      <c r="D105" s="410" t="s">
        <v>922</v>
      </c>
      <c r="E105" s="419">
        <v>6191168.6932273544</v>
      </c>
      <c r="F105" s="419">
        <v>6191168.6932273544</v>
      </c>
      <c r="G105" s="419">
        <v>6191168.6932273544</v>
      </c>
      <c r="H105" s="419">
        <v>6191168.6932273544</v>
      </c>
      <c r="I105" s="419">
        <v>6191168.6932273544</v>
      </c>
      <c r="J105" s="419">
        <v>6191168.6932273544</v>
      </c>
      <c r="K105" s="419">
        <v>6191168.6932273544</v>
      </c>
      <c r="L105" s="419">
        <v>6191168.6932273544</v>
      </c>
      <c r="M105" s="419">
        <v>6191168.6932273544</v>
      </c>
      <c r="N105" s="419">
        <v>6191168.6932273544</v>
      </c>
      <c r="O105" s="410" t="s">
        <v>3376</v>
      </c>
    </row>
    <row r="106" spans="3:15">
      <c r="D106" s="410" t="s">
        <v>928</v>
      </c>
      <c r="E106" s="419">
        <v>6766324.851371564</v>
      </c>
      <c r="F106" s="419">
        <v>6766324.851371564</v>
      </c>
      <c r="G106" s="419">
        <v>6766324.851371564</v>
      </c>
      <c r="H106" s="419">
        <v>6766324.851371564</v>
      </c>
      <c r="I106" s="419">
        <v>6766324.851371564</v>
      </c>
      <c r="J106" s="419">
        <v>6766324.851371564</v>
      </c>
      <c r="K106" s="419">
        <v>6766324.851371564</v>
      </c>
      <c r="L106" s="419">
        <v>6766324.851371564</v>
      </c>
      <c r="M106" s="419">
        <v>6766324.851371564</v>
      </c>
      <c r="N106" s="419">
        <v>6766324.851371564</v>
      </c>
      <c r="O106" s="410" t="s">
        <v>3377</v>
      </c>
    </row>
    <row r="107" spans="3:15">
      <c r="D107" s="410" t="s">
        <v>926</v>
      </c>
      <c r="E107" s="419">
        <v>7655061.7991004335</v>
      </c>
      <c r="F107" s="419">
        <v>7655061.7991004335</v>
      </c>
      <c r="G107" s="419">
        <v>7655061.7991004335</v>
      </c>
      <c r="H107" s="419">
        <v>7655061.7991004335</v>
      </c>
      <c r="I107" s="419">
        <v>7655061.7991004335</v>
      </c>
      <c r="J107" s="419">
        <v>7655061.7991004335</v>
      </c>
      <c r="K107" s="419">
        <v>7655061.7991004335</v>
      </c>
      <c r="L107" s="419">
        <v>7655061.7991004335</v>
      </c>
      <c r="M107" s="419">
        <v>7655061.7991004335</v>
      </c>
      <c r="N107" s="419">
        <v>7655061.7991004335</v>
      </c>
      <c r="O107" s="410" t="s">
        <v>3378</v>
      </c>
    </row>
    <row r="108" spans="3:15">
      <c r="D108" s="410" t="s">
        <v>924</v>
      </c>
      <c r="E108" s="419">
        <v>8961832.7394453287</v>
      </c>
      <c r="F108" s="419">
        <v>8961832.7394453287</v>
      </c>
      <c r="G108" s="419">
        <v>8961832.7394453287</v>
      </c>
      <c r="H108" s="419">
        <v>8961832.7394453287</v>
      </c>
      <c r="I108" s="419">
        <v>8961832.7394453287</v>
      </c>
      <c r="J108" s="419">
        <v>8961832.7394453287</v>
      </c>
      <c r="K108" s="419">
        <v>8961832.7394453287</v>
      </c>
      <c r="L108" s="419">
        <v>8961832.7394453287</v>
      </c>
      <c r="M108" s="419">
        <v>8961832.7394453287</v>
      </c>
      <c r="N108" s="419">
        <v>8961832.7394453287</v>
      </c>
      <c r="O108" s="410" t="s">
        <v>3379</v>
      </c>
    </row>
    <row r="109" spans="3:15" s="65" customFormat="1">
      <c r="D109" s="217" t="s">
        <v>930</v>
      </c>
      <c r="E109" s="420">
        <v>29574388.08314468</v>
      </c>
      <c r="F109" s="420">
        <v>29574388.08314468</v>
      </c>
      <c r="G109" s="420">
        <v>29574388.08314468</v>
      </c>
      <c r="H109" s="420">
        <v>29574388.08314468</v>
      </c>
      <c r="I109" s="420">
        <v>29574388.08314468</v>
      </c>
      <c r="J109" s="420">
        <v>29574388.08314468</v>
      </c>
      <c r="K109" s="420">
        <v>29574388.08314468</v>
      </c>
      <c r="L109" s="420">
        <v>29574388.08314468</v>
      </c>
      <c r="M109" s="420">
        <v>29574388.08314468</v>
      </c>
      <c r="N109" s="420">
        <v>29574388.08314468</v>
      </c>
      <c r="O109" s="217" t="s">
        <v>3380</v>
      </c>
    </row>
    <row r="110" spans="3:15">
      <c r="E110" s="419"/>
      <c r="F110" s="419"/>
      <c r="G110" s="419"/>
      <c r="H110" s="419"/>
      <c r="I110" s="419"/>
      <c r="J110" s="419"/>
      <c r="K110" s="419"/>
      <c r="L110" s="419"/>
      <c r="M110" s="419"/>
      <c r="N110" s="419"/>
    </row>
    <row r="111" spans="3:15">
      <c r="C111" t="s">
        <v>237</v>
      </c>
      <c r="E111" s="420">
        <v>118297552.33257873</v>
      </c>
      <c r="F111" s="420">
        <v>118297552.33257873</v>
      </c>
      <c r="G111" s="420">
        <v>118297552.33257873</v>
      </c>
      <c r="H111" s="420">
        <v>118297552.33257873</v>
      </c>
      <c r="I111" s="420">
        <v>118297552.33257873</v>
      </c>
      <c r="J111" s="420">
        <v>118297552.33257873</v>
      </c>
      <c r="K111" s="420">
        <v>118297552.33257873</v>
      </c>
      <c r="L111" s="420">
        <v>118297552.33257873</v>
      </c>
      <c r="M111" s="420">
        <v>118297552.33257873</v>
      </c>
      <c r="N111" s="420">
        <v>118297552.33257873</v>
      </c>
      <c r="O111" s="410" t="s">
        <v>3381</v>
      </c>
    </row>
    <row r="112" spans="3:15" s="295" customFormat="1">
      <c r="D112" s="421" t="s">
        <v>967</v>
      </c>
      <c r="E112" s="422">
        <v>0.8</v>
      </c>
      <c r="F112" s="422">
        <v>0.8</v>
      </c>
      <c r="G112" s="422">
        <v>0.8</v>
      </c>
      <c r="H112" s="422">
        <v>0.8</v>
      </c>
      <c r="I112" s="422">
        <v>0.8</v>
      </c>
      <c r="J112" s="422">
        <v>0.8</v>
      </c>
      <c r="K112" s="422">
        <v>0.8</v>
      </c>
      <c r="L112" s="422">
        <v>0.8</v>
      </c>
      <c r="M112" s="422">
        <v>0.8</v>
      </c>
      <c r="N112" s="422">
        <v>0.8</v>
      </c>
      <c r="O112" s="423" t="s">
        <v>3382</v>
      </c>
    </row>
    <row r="113" spans="1:15" s="295" customFormat="1">
      <c r="D113" s="421"/>
      <c r="E113" s="422"/>
      <c r="F113" s="422"/>
      <c r="G113" s="422"/>
      <c r="H113" s="422"/>
      <c r="I113" s="422"/>
      <c r="J113" s="422"/>
      <c r="K113" s="422"/>
      <c r="L113" s="422"/>
      <c r="M113" s="422"/>
      <c r="N113" s="422"/>
      <c r="O113" s="423"/>
    </row>
    <row r="114" spans="1:15">
      <c r="A114" s="65" t="s">
        <v>422</v>
      </c>
      <c r="E114" s="419"/>
      <c r="F114" s="419"/>
      <c r="G114" s="419"/>
      <c r="H114" s="419"/>
      <c r="I114" s="419"/>
      <c r="J114" s="419"/>
      <c r="K114" s="419"/>
      <c r="L114" s="419"/>
      <c r="M114" s="419"/>
      <c r="N114" s="419"/>
    </row>
    <row r="115" spans="1:15">
      <c r="C115" t="s">
        <v>936</v>
      </c>
      <c r="E115" s="419"/>
      <c r="F115" s="419"/>
      <c r="G115" s="419"/>
      <c r="H115" s="419"/>
      <c r="I115" s="419"/>
      <c r="J115" s="419"/>
      <c r="K115" s="419"/>
      <c r="L115" s="419"/>
      <c r="M115" s="419"/>
      <c r="N115" s="419"/>
    </row>
    <row r="116" spans="1:15">
      <c r="D116" t="s">
        <v>937</v>
      </c>
      <c r="E116" s="419">
        <v>13775350.342430864</v>
      </c>
      <c r="F116" s="419">
        <v>13775350.342430864</v>
      </c>
      <c r="G116" s="419">
        <v>13775350.342430864</v>
      </c>
      <c r="H116" s="419">
        <v>13775350.342430864</v>
      </c>
      <c r="I116" s="419">
        <v>13775350.342430864</v>
      </c>
      <c r="J116" s="419">
        <v>13775350.342430864</v>
      </c>
      <c r="K116" s="419">
        <v>13775350.342430864</v>
      </c>
      <c r="L116" s="419">
        <v>13775350.342430864</v>
      </c>
      <c r="M116" s="419">
        <v>13775350.342430864</v>
      </c>
      <c r="N116" s="419">
        <v>13775350.342430864</v>
      </c>
      <c r="O116" t="s">
        <v>3383</v>
      </c>
    </row>
    <row r="117" spans="1:15">
      <c r="D117" t="s">
        <v>939</v>
      </c>
      <c r="E117" s="419">
        <v>15055072.79430173</v>
      </c>
      <c r="F117" s="419">
        <v>15055072.79430173</v>
      </c>
      <c r="G117" s="419">
        <v>15055072.79430173</v>
      </c>
      <c r="H117" s="419">
        <v>15055072.79430173</v>
      </c>
      <c r="I117" s="419">
        <v>15055072.79430173</v>
      </c>
      <c r="J117" s="419">
        <v>15055072.79430173</v>
      </c>
      <c r="K117" s="419">
        <v>15055072.79430173</v>
      </c>
      <c r="L117" s="419">
        <v>15055072.79430173</v>
      </c>
      <c r="M117" s="419">
        <v>15055072.79430173</v>
      </c>
      <c r="N117" s="419">
        <v>15055072.79430173</v>
      </c>
      <c r="O117" t="s">
        <v>3384</v>
      </c>
    </row>
    <row r="118" spans="1:15">
      <c r="D118" t="s">
        <v>941</v>
      </c>
      <c r="E118" s="419">
        <v>17032512.502998464</v>
      </c>
      <c r="F118" s="419">
        <v>17032512.502998464</v>
      </c>
      <c r="G118" s="419">
        <v>17032512.502998464</v>
      </c>
      <c r="H118" s="419">
        <v>17032512.502998464</v>
      </c>
      <c r="I118" s="419">
        <v>17032512.502998464</v>
      </c>
      <c r="J118" s="419">
        <v>17032512.502998464</v>
      </c>
      <c r="K118" s="419">
        <v>17032512.502998464</v>
      </c>
      <c r="L118" s="419">
        <v>17032512.502998464</v>
      </c>
      <c r="M118" s="419">
        <v>17032512.502998464</v>
      </c>
      <c r="N118" s="419">
        <v>17032512.502998464</v>
      </c>
      <c r="O118" t="s">
        <v>3385</v>
      </c>
    </row>
    <row r="119" spans="1:15">
      <c r="D119" t="s">
        <v>943</v>
      </c>
      <c r="E119" s="419">
        <v>19940077.845265858</v>
      </c>
      <c r="F119" s="419">
        <v>19940077.845265858</v>
      </c>
      <c r="G119" s="419">
        <v>19940077.845265858</v>
      </c>
      <c r="H119" s="419">
        <v>19940077.845265858</v>
      </c>
      <c r="I119" s="419">
        <v>19940077.845265858</v>
      </c>
      <c r="J119" s="419">
        <v>19940077.845265858</v>
      </c>
      <c r="K119" s="419">
        <v>19940077.845265858</v>
      </c>
      <c r="L119" s="419">
        <v>19940077.845265858</v>
      </c>
      <c r="M119" s="419">
        <v>19940077.845265858</v>
      </c>
      <c r="N119" s="419">
        <v>19940077.845265858</v>
      </c>
      <c r="O119" t="s">
        <v>3386</v>
      </c>
    </row>
    <row r="120" spans="1:15" s="65" customFormat="1">
      <c r="D120" s="65" t="s">
        <v>949</v>
      </c>
      <c r="E120" s="420">
        <v>65803013.484996915</v>
      </c>
      <c r="F120" s="420">
        <v>65803013.484996915</v>
      </c>
      <c r="G120" s="420">
        <v>65803013.484996915</v>
      </c>
      <c r="H120" s="420">
        <v>65803013.484996915</v>
      </c>
      <c r="I120" s="420">
        <v>65803013.484996915</v>
      </c>
      <c r="J120" s="420">
        <v>65803013.484996915</v>
      </c>
      <c r="K120" s="420">
        <v>65803013.484996915</v>
      </c>
      <c r="L120" s="420">
        <v>65803013.484996915</v>
      </c>
      <c r="M120" s="420">
        <v>65803013.484996915</v>
      </c>
      <c r="N120" s="420">
        <v>65803013.484996915</v>
      </c>
      <c r="O120" s="65" t="s">
        <v>3387</v>
      </c>
    </row>
    <row r="121" spans="1:15">
      <c r="C121" t="s">
        <v>424</v>
      </c>
      <c r="E121" s="419"/>
      <c r="F121" s="419"/>
      <c r="G121" s="419"/>
      <c r="H121" s="419"/>
      <c r="I121" s="419"/>
      <c r="J121" s="419"/>
      <c r="K121" s="419"/>
      <c r="L121" s="419"/>
      <c r="M121" s="419"/>
      <c r="N121" s="419"/>
    </row>
    <row r="122" spans="1:15">
      <c r="D122" t="s">
        <v>1105</v>
      </c>
      <c r="E122" s="419">
        <v>10308295.874223545</v>
      </c>
      <c r="F122" s="419">
        <v>10308295.874223545</v>
      </c>
      <c r="G122" s="419">
        <v>10308295.874223545</v>
      </c>
      <c r="H122" s="419">
        <v>10308295.874223545</v>
      </c>
      <c r="I122" s="419">
        <v>10308295.874223545</v>
      </c>
      <c r="J122" s="419">
        <v>10308295.874223545</v>
      </c>
      <c r="K122" s="419">
        <v>10308295.874223545</v>
      </c>
      <c r="L122" s="419">
        <v>10308295.874223545</v>
      </c>
      <c r="M122" s="419">
        <v>10308295.874223545</v>
      </c>
      <c r="N122" s="419">
        <v>10308295.874223545</v>
      </c>
      <c r="O122" t="s">
        <v>3388</v>
      </c>
    </row>
    <row r="123" spans="1:15">
      <c r="D123" t="s">
        <v>1106</v>
      </c>
      <c r="E123" s="419">
        <v>11265930.877533654</v>
      </c>
      <c r="F123" s="419">
        <v>11265930.877533654</v>
      </c>
      <c r="G123" s="419">
        <v>11265930.877533654</v>
      </c>
      <c r="H123" s="419">
        <v>11265930.877533654</v>
      </c>
      <c r="I123" s="419">
        <v>11265930.877533654</v>
      </c>
      <c r="J123" s="419">
        <v>11265930.877533654</v>
      </c>
      <c r="K123" s="419">
        <v>11265930.877533654</v>
      </c>
      <c r="L123" s="419">
        <v>11265930.877533654</v>
      </c>
      <c r="M123" s="419">
        <v>11265930.877533654</v>
      </c>
      <c r="N123" s="419">
        <v>11265930.877533654</v>
      </c>
      <c r="O123" t="s">
        <v>3389</v>
      </c>
    </row>
    <row r="124" spans="1:15">
      <c r="D124" t="s">
        <v>1107</v>
      </c>
      <c r="E124" s="419">
        <v>12745677.895502223</v>
      </c>
      <c r="F124" s="419">
        <v>12745677.895502223</v>
      </c>
      <c r="G124" s="419">
        <v>12745677.895502223</v>
      </c>
      <c r="H124" s="419">
        <v>12745677.895502223</v>
      </c>
      <c r="I124" s="419">
        <v>12745677.895502223</v>
      </c>
      <c r="J124" s="419">
        <v>12745677.895502223</v>
      </c>
      <c r="K124" s="419">
        <v>12745677.895502223</v>
      </c>
      <c r="L124" s="419">
        <v>12745677.895502223</v>
      </c>
      <c r="M124" s="419">
        <v>12745677.895502223</v>
      </c>
      <c r="N124" s="419">
        <v>12745677.895502223</v>
      </c>
      <c r="O124" t="s">
        <v>3390</v>
      </c>
    </row>
    <row r="125" spans="1:15">
      <c r="D125" t="s">
        <v>1108</v>
      </c>
      <c r="E125" s="419">
        <v>14921451.511176473</v>
      </c>
      <c r="F125" s="419">
        <v>14921451.511176473</v>
      </c>
      <c r="G125" s="419">
        <v>14921451.511176473</v>
      </c>
      <c r="H125" s="419">
        <v>14921451.511176473</v>
      </c>
      <c r="I125" s="419">
        <v>14921451.511176473</v>
      </c>
      <c r="J125" s="419">
        <v>14921451.511176473</v>
      </c>
      <c r="K125" s="419">
        <v>14921451.511176473</v>
      </c>
      <c r="L125" s="419">
        <v>14921451.511176473</v>
      </c>
      <c r="M125" s="419">
        <v>14921451.511176473</v>
      </c>
      <c r="N125" s="419">
        <v>14921451.511176473</v>
      </c>
      <c r="O125" t="s">
        <v>3391</v>
      </c>
    </row>
    <row r="126" spans="1:15" s="65" customFormat="1">
      <c r="D126" s="65" t="s">
        <v>1109</v>
      </c>
      <c r="E126" s="420">
        <v>49241356.158435896</v>
      </c>
      <c r="F126" s="420">
        <v>49241356.158435896</v>
      </c>
      <c r="G126" s="420">
        <v>49241356.158435896</v>
      </c>
      <c r="H126" s="420">
        <v>49241356.158435896</v>
      </c>
      <c r="I126" s="420">
        <v>49241356.158435896</v>
      </c>
      <c r="J126" s="420">
        <v>49241356.158435896</v>
      </c>
      <c r="K126" s="420">
        <v>49241356.158435896</v>
      </c>
      <c r="L126" s="420">
        <v>49241356.158435896</v>
      </c>
      <c r="M126" s="420">
        <v>49241356.158435896</v>
      </c>
      <c r="N126" s="420">
        <v>49241356.158435896</v>
      </c>
      <c r="O126" s="65" t="s">
        <v>3392</v>
      </c>
    </row>
    <row r="127" spans="1:15">
      <c r="C127" t="s">
        <v>403</v>
      </c>
      <c r="E127" s="419"/>
      <c r="F127" s="419"/>
      <c r="G127" s="419"/>
      <c r="H127" s="419"/>
      <c r="I127" s="419"/>
      <c r="J127" s="419"/>
      <c r="K127" s="419"/>
      <c r="L127" s="419"/>
      <c r="M127" s="419"/>
      <c r="N127" s="419"/>
    </row>
    <row r="128" spans="1:15">
      <c r="D128" t="s">
        <v>1100</v>
      </c>
      <c r="E128" s="419">
        <v>6562638.8148209956</v>
      </c>
      <c r="F128" s="419">
        <v>6562638.8148209956</v>
      </c>
      <c r="G128" s="419">
        <v>6562638.8148209956</v>
      </c>
      <c r="H128" s="419">
        <v>6562638.8148209956</v>
      </c>
      <c r="I128" s="419">
        <v>6562638.8148209956</v>
      </c>
      <c r="J128" s="419">
        <v>6562638.8148209956</v>
      </c>
      <c r="K128" s="419">
        <v>6562638.8148209956</v>
      </c>
      <c r="L128" s="419">
        <v>6562638.8148209956</v>
      </c>
      <c r="M128" s="419">
        <v>6562638.8148209956</v>
      </c>
      <c r="N128" s="419">
        <v>6562638.8148209956</v>
      </c>
      <c r="O128" t="s">
        <v>3393</v>
      </c>
    </row>
    <row r="129" spans="1:15">
      <c r="D129" t="s">
        <v>1101</v>
      </c>
      <c r="E129" s="419">
        <v>7172304.3424538579</v>
      </c>
      <c r="F129" s="419">
        <v>7172304.3424538579</v>
      </c>
      <c r="G129" s="419">
        <v>7172304.3424538579</v>
      </c>
      <c r="H129" s="419">
        <v>7172304.3424538579</v>
      </c>
      <c r="I129" s="419">
        <v>7172304.3424538579</v>
      </c>
      <c r="J129" s="419">
        <v>7172304.3424538579</v>
      </c>
      <c r="K129" s="419">
        <v>7172304.3424538579</v>
      </c>
      <c r="L129" s="419">
        <v>7172304.3424538579</v>
      </c>
      <c r="M129" s="419">
        <v>7172304.3424538579</v>
      </c>
      <c r="N129" s="419">
        <v>7172304.3424538579</v>
      </c>
      <c r="O129" t="s">
        <v>3394</v>
      </c>
    </row>
    <row r="130" spans="1:15">
      <c r="D130" t="s">
        <v>1102</v>
      </c>
      <c r="E130" s="419">
        <v>8114365.5070464592</v>
      </c>
      <c r="F130" s="419">
        <v>8114365.5070464592</v>
      </c>
      <c r="G130" s="419">
        <v>8114365.5070464592</v>
      </c>
      <c r="H130" s="419">
        <v>8114365.5070464592</v>
      </c>
      <c r="I130" s="419">
        <v>8114365.5070464592</v>
      </c>
      <c r="J130" s="419">
        <v>8114365.5070464592</v>
      </c>
      <c r="K130" s="419">
        <v>8114365.5070464592</v>
      </c>
      <c r="L130" s="419">
        <v>8114365.5070464592</v>
      </c>
      <c r="M130" s="419">
        <v>8114365.5070464592</v>
      </c>
      <c r="N130" s="419">
        <v>8114365.5070464592</v>
      </c>
      <c r="O130" t="s">
        <v>3395</v>
      </c>
    </row>
    <row r="131" spans="1:15">
      <c r="D131" t="s">
        <v>1103</v>
      </c>
      <c r="E131" s="419">
        <v>9499542.7038120478</v>
      </c>
      <c r="F131" s="419">
        <v>9499542.7038120478</v>
      </c>
      <c r="G131" s="419">
        <v>9499542.7038120478</v>
      </c>
      <c r="H131" s="419">
        <v>9499542.7038120478</v>
      </c>
      <c r="I131" s="419">
        <v>9499542.7038120478</v>
      </c>
      <c r="J131" s="419">
        <v>9499542.7038120478</v>
      </c>
      <c r="K131" s="419">
        <v>9499542.7038120478</v>
      </c>
      <c r="L131" s="419">
        <v>9499542.7038120478</v>
      </c>
      <c r="M131" s="419">
        <v>9499542.7038120478</v>
      </c>
      <c r="N131" s="419">
        <v>9499542.7038120478</v>
      </c>
      <c r="O131" t="s">
        <v>3396</v>
      </c>
    </row>
    <row r="132" spans="1:15" s="65" customFormat="1">
      <c r="D132" s="65" t="s">
        <v>1104</v>
      </c>
      <c r="E132" s="420">
        <v>31348851.368133359</v>
      </c>
      <c r="F132" s="420">
        <v>31348851.368133359</v>
      </c>
      <c r="G132" s="420">
        <v>31348851.368133359</v>
      </c>
      <c r="H132" s="420">
        <v>31348851.368133359</v>
      </c>
      <c r="I132" s="420">
        <v>31348851.368133359</v>
      </c>
      <c r="J132" s="420">
        <v>31348851.368133359</v>
      </c>
      <c r="K132" s="420">
        <v>31348851.368133359</v>
      </c>
      <c r="L132" s="420">
        <v>31348851.368133359</v>
      </c>
      <c r="M132" s="420">
        <v>31348851.368133359</v>
      </c>
      <c r="N132" s="420">
        <v>31348851.368133359</v>
      </c>
      <c r="O132" s="65" t="s">
        <v>3397</v>
      </c>
    </row>
    <row r="133" spans="1:15">
      <c r="E133" s="419"/>
      <c r="F133" s="419"/>
      <c r="G133" s="419"/>
      <c r="H133" s="419"/>
      <c r="I133" s="419"/>
      <c r="J133" s="419"/>
      <c r="K133" s="419"/>
      <c r="L133" s="419"/>
      <c r="M133" s="419"/>
      <c r="N133" s="419"/>
    </row>
    <row r="134" spans="1:15">
      <c r="D134" t="s">
        <v>426</v>
      </c>
      <c r="E134" s="419">
        <v>-28095668.678987436</v>
      </c>
      <c r="F134" s="419">
        <v>-28095668.678987436</v>
      </c>
      <c r="G134" s="419">
        <v>-28095668.678987436</v>
      </c>
      <c r="H134" s="419">
        <v>-28095668.678987436</v>
      </c>
      <c r="I134" s="419">
        <v>-28095668.678987436</v>
      </c>
      <c r="J134" s="419">
        <v>-28095668.678987436</v>
      </c>
      <c r="K134" s="419">
        <v>-28095668.678987436</v>
      </c>
      <c r="L134" s="419">
        <v>-28095668.678987436</v>
      </c>
      <c r="M134" s="419">
        <v>-28095668.678987436</v>
      </c>
      <c r="N134" s="419">
        <v>-28095668.678987436</v>
      </c>
      <c r="O134" t="s">
        <v>3398</v>
      </c>
    </row>
    <row r="135" spans="1:15" s="295" customFormat="1">
      <c r="D135" s="421" t="s">
        <v>967</v>
      </c>
      <c r="E135" s="422">
        <v>-0.18999999999999992</v>
      </c>
      <c r="F135" s="422">
        <v>-0.18999999999999992</v>
      </c>
      <c r="G135" s="422">
        <v>-0.18999999999999992</v>
      </c>
      <c r="H135" s="422">
        <v>-0.18999999999999992</v>
      </c>
      <c r="I135" s="422">
        <v>-0.18999999999999992</v>
      </c>
      <c r="J135" s="422">
        <v>-0.18999999999999992</v>
      </c>
      <c r="K135" s="422">
        <v>-0.18999999999999992</v>
      </c>
      <c r="L135" s="422">
        <v>-0.18999999999999992</v>
      </c>
      <c r="M135" s="422">
        <v>-0.18999999999999992</v>
      </c>
      <c r="N135" s="422">
        <v>-0.18999999999999992</v>
      </c>
      <c r="O135" s="295" t="s">
        <v>3399</v>
      </c>
    </row>
    <row r="136" spans="1:15">
      <c r="E136" s="419"/>
      <c r="F136" s="419"/>
      <c r="G136" s="419"/>
      <c r="H136" s="419"/>
      <c r="I136" s="419"/>
      <c r="J136" s="419"/>
      <c r="K136" s="419"/>
      <c r="L136" s="419"/>
      <c r="M136" s="419"/>
      <c r="N136" s="419"/>
    </row>
    <row r="137" spans="1:15">
      <c r="A137" t="s">
        <v>466</v>
      </c>
      <c r="E137" s="419"/>
      <c r="F137" s="419"/>
      <c r="G137" s="419"/>
      <c r="H137" s="419"/>
      <c r="I137" s="419"/>
      <c r="J137" s="419"/>
      <c r="K137" s="419"/>
      <c r="L137" s="419"/>
      <c r="M137" s="419"/>
      <c r="N137" s="419"/>
    </row>
    <row r="138" spans="1:15">
      <c r="C138" t="s">
        <v>467</v>
      </c>
      <c r="E138" s="419"/>
      <c r="F138" s="419"/>
      <c r="G138" s="419"/>
      <c r="H138" s="419"/>
      <c r="I138" s="419"/>
      <c r="J138" s="419"/>
      <c r="K138" s="419"/>
      <c r="L138" s="419"/>
      <c r="M138" s="419"/>
      <c r="N138" s="419"/>
    </row>
    <row r="139" spans="1:15">
      <c r="D139" t="s">
        <v>973</v>
      </c>
      <c r="E139" s="419">
        <v>0</v>
      </c>
      <c r="F139" s="419">
        <v>0</v>
      </c>
      <c r="G139" s="419">
        <v>0</v>
      </c>
      <c r="H139" s="419">
        <v>0</v>
      </c>
      <c r="I139" s="419">
        <v>0</v>
      </c>
      <c r="J139" s="419">
        <v>0</v>
      </c>
      <c r="K139" s="419">
        <v>0</v>
      </c>
      <c r="L139" s="419">
        <v>0</v>
      </c>
      <c r="M139" s="419">
        <v>0</v>
      </c>
      <c r="N139" s="419">
        <v>0</v>
      </c>
      <c r="O139" t="s">
        <v>3400</v>
      </c>
    </row>
    <row r="140" spans="1:15">
      <c r="D140" t="s">
        <v>985</v>
      </c>
      <c r="E140" s="419">
        <v>0</v>
      </c>
      <c r="F140" s="419">
        <v>0</v>
      </c>
      <c r="G140" s="419">
        <v>0</v>
      </c>
      <c r="H140" s="419">
        <v>0</v>
      </c>
      <c r="I140" s="419">
        <v>0</v>
      </c>
      <c r="J140" s="419">
        <v>0</v>
      </c>
      <c r="K140" s="419">
        <v>0</v>
      </c>
      <c r="L140" s="419">
        <v>0</v>
      </c>
      <c r="M140" s="419">
        <v>0</v>
      </c>
      <c r="N140" s="419">
        <v>0</v>
      </c>
      <c r="O140" t="s">
        <v>3401</v>
      </c>
    </row>
    <row r="141" spans="1:15">
      <c r="D141" t="s">
        <v>990</v>
      </c>
      <c r="E141" s="419">
        <v>0</v>
      </c>
      <c r="F141" s="419">
        <v>0</v>
      </c>
      <c r="G141" s="419">
        <v>0</v>
      </c>
      <c r="H141" s="419">
        <v>0</v>
      </c>
      <c r="I141" s="419">
        <v>0</v>
      </c>
      <c r="J141" s="419">
        <v>0</v>
      </c>
      <c r="K141" s="419">
        <v>0</v>
      </c>
      <c r="L141" s="419">
        <v>0</v>
      </c>
      <c r="M141" s="419">
        <v>0</v>
      </c>
      <c r="N141" s="419">
        <v>0</v>
      </c>
      <c r="O141" t="s">
        <v>3402</v>
      </c>
    </row>
    <row r="142" spans="1:15">
      <c r="D142" t="s">
        <v>994</v>
      </c>
      <c r="E142" s="419">
        <v>0</v>
      </c>
      <c r="F142" s="419">
        <v>0</v>
      </c>
      <c r="G142" s="419">
        <v>0</v>
      </c>
      <c r="H142" s="419">
        <v>0</v>
      </c>
      <c r="I142" s="419">
        <v>0</v>
      </c>
      <c r="J142" s="419">
        <v>0</v>
      </c>
      <c r="K142" s="419">
        <v>0</v>
      </c>
      <c r="L142" s="419">
        <v>0</v>
      </c>
      <c r="M142" s="419">
        <v>0</v>
      </c>
      <c r="N142" s="419">
        <v>0</v>
      </c>
      <c r="O142" t="s">
        <v>3403</v>
      </c>
    </row>
    <row r="143" spans="1:15" s="65" customFormat="1">
      <c r="D143" s="65" t="s">
        <v>1003</v>
      </c>
      <c r="E143" s="420">
        <v>0</v>
      </c>
      <c r="F143" s="420">
        <v>0</v>
      </c>
      <c r="G143" s="420">
        <v>0</v>
      </c>
      <c r="H143" s="420">
        <v>0</v>
      </c>
      <c r="I143" s="420">
        <v>0</v>
      </c>
      <c r="J143" s="420">
        <v>0</v>
      </c>
      <c r="K143" s="420">
        <v>0</v>
      </c>
      <c r="L143" s="420">
        <v>0</v>
      </c>
      <c r="M143" s="420">
        <v>0</v>
      </c>
      <c r="N143" s="420">
        <v>0</v>
      </c>
      <c r="O143" s="65" t="s">
        <v>3404</v>
      </c>
    </row>
    <row r="144" spans="1:15" s="65" customFormat="1">
      <c r="C144" s="65" t="s">
        <v>401</v>
      </c>
      <c r="E144" s="420"/>
      <c r="F144" s="420"/>
      <c r="G144" s="420"/>
      <c r="H144" s="420"/>
      <c r="I144" s="420"/>
      <c r="J144" s="420"/>
      <c r="K144" s="420"/>
      <c r="L144" s="420"/>
      <c r="M144" s="420"/>
      <c r="N144" s="420"/>
    </row>
    <row r="145" spans="3:15">
      <c r="D145" t="s">
        <v>1018</v>
      </c>
      <c r="E145" s="419">
        <v>0</v>
      </c>
      <c r="F145" s="419">
        <v>0</v>
      </c>
      <c r="G145" s="419">
        <v>0</v>
      </c>
      <c r="H145" s="419">
        <v>0</v>
      </c>
      <c r="I145" s="419">
        <v>0</v>
      </c>
      <c r="J145" s="419">
        <v>0</v>
      </c>
      <c r="K145" s="419">
        <v>0</v>
      </c>
      <c r="L145" s="419">
        <v>0</v>
      </c>
      <c r="M145" s="419">
        <v>0</v>
      </c>
      <c r="N145" s="419">
        <v>0</v>
      </c>
      <c r="O145" t="s">
        <v>3405</v>
      </c>
    </row>
    <row r="146" spans="3:15">
      <c r="D146" t="s">
        <v>1019</v>
      </c>
      <c r="E146" s="419">
        <v>0</v>
      </c>
      <c r="F146" s="419">
        <v>0</v>
      </c>
      <c r="G146" s="419">
        <v>0</v>
      </c>
      <c r="H146" s="419">
        <v>0</v>
      </c>
      <c r="I146" s="419">
        <v>0</v>
      </c>
      <c r="J146" s="419">
        <v>0</v>
      </c>
      <c r="K146" s="419">
        <v>0</v>
      </c>
      <c r="L146" s="419">
        <v>0</v>
      </c>
      <c r="M146" s="419">
        <v>0</v>
      </c>
      <c r="N146" s="419">
        <v>0</v>
      </c>
      <c r="O146" t="s">
        <v>3406</v>
      </c>
    </row>
    <row r="147" spans="3:15">
      <c r="D147" t="s">
        <v>1020</v>
      </c>
      <c r="E147" s="419">
        <v>0</v>
      </c>
      <c r="F147" s="419">
        <v>0</v>
      </c>
      <c r="G147" s="419">
        <v>0</v>
      </c>
      <c r="H147" s="419">
        <v>0</v>
      </c>
      <c r="I147" s="419">
        <v>0</v>
      </c>
      <c r="J147" s="419">
        <v>0</v>
      </c>
      <c r="K147" s="419">
        <v>0</v>
      </c>
      <c r="L147" s="419">
        <v>0</v>
      </c>
      <c r="M147" s="419">
        <v>0</v>
      </c>
      <c r="N147" s="419">
        <v>0</v>
      </c>
      <c r="O147" t="s">
        <v>3407</v>
      </c>
    </row>
    <row r="148" spans="3:15">
      <c r="D148" t="s">
        <v>1021</v>
      </c>
      <c r="E148" s="419">
        <v>0</v>
      </c>
      <c r="F148" s="419">
        <v>0</v>
      </c>
      <c r="G148" s="419">
        <v>0</v>
      </c>
      <c r="H148" s="419">
        <v>0</v>
      </c>
      <c r="I148" s="419">
        <v>0</v>
      </c>
      <c r="J148" s="419">
        <v>0</v>
      </c>
      <c r="K148" s="419">
        <v>0</v>
      </c>
      <c r="L148" s="419">
        <v>0</v>
      </c>
      <c r="M148" s="419">
        <v>0</v>
      </c>
      <c r="N148" s="419">
        <v>0</v>
      </c>
      <c r="O148" t="s">
        <v>3408</v>
      </c>
    </row>
    <row r="149" spans="3:15" s="65" customFormat="1">
      <c r="D149" s="65" t="s">
        <v>1022</v>
      </c>
      <c r="E149" s="420">
        <v>0</v>
      </c>
      <c r="F149" s="420">
        <v>0</v>
      </c>
      <c r="G149" s="420">
        <v>0</v>
      </c>
      <c r="H149" s="420">
        <v>0</v>
      </c>
      <c r="I149" s="420">
        <v>0</v>
      </c>
      <c r="J149" s="420">
        <v>0</v>
      </c>
      <c r="K149" s="420">
        <v>0</v>
      </c>
      <c r="L149" s="420">
        <v>0</v>
      </c>
      <c r="M149" s="420">
        <v>0</v>
      </c>
      <c r="N149" s="420">
        <v>0</v>
      </c>
      <c r="O149" s="65" t="s">
        <v>3409</v>
      </c>
    </row>
    <row r="150" spans="3:15">
      <c r="C150" t="s">
        <v>1332</v>
      </c>
      <c r="E150" s="419"/>
      <c r="F150" s="419"/>
      <c r="G150" s="419"/>
      <c r="H150" s="419"/>
      <c r="I150" s="419"/>
      <c r="J150" s="419"/>
      <c r="K150" s="419"/>
      <c r="L150" s="419"/>
      <c r="M150" s="419"/>
      <c r="N150" s="419"/>
    </row>
    <row r="151" spans="3:15">
      <c r="D151" t="s">
        <v>1358</v>
      </c>
      <c r="E151" s="419">
        <v>0</v>
      </c>
      <c r="F151" s="419">
        <v>0</v>
      </c>
      <c r="G151" s="419">
        <v>0</v>
      </c>
      <c r="H151" s="419">
        <v>0</v>
      </c>
      <c r="I151" s="419">
        <v>0</v>
      </c>
      <c r="J151" s="419">
        <v>0</v>
      </c>
      <c r="K151" s="419">
        <v>0</v>
      </c>
      <c r="L151" s="419">
        <v>0</v>
      </c>
      <c r="M151" s="419">
        <v>0</v>
      </c>
      <c r="N151" s="419">
        <v>0</v>
      </c>
      <c r="O151" t="s">
        <v>3410</v>
      </c>
    </row>
    <row r="152" spans="3:15">
      <c r="D152" t="s">
        <v>1359</v>
      </c>
      <c r="E152" s="419">
        <v>0</v>
      </c>
      <c r="F152" s="419">
        <v>0</v>
      </c>
      <c r="G152" s="419">
        <v>0</v>
      </c>
      <c r="H152" s="419">
        <v>0</v>
      </c>
      <c r="I152" s="419">
        <v>0</v>
      </c>
      <c r="J152" s="419">
        <v>0</v>
      </c>
      <c r="K152" s="419">
        <v>0</v>
      </c>
      <c r="L152" s="419">
        <v>0</v>
      </c>
      <c r="M152" s="419">
        <v>0</v>
      </c>
      <c r="N152" s="419">
        <v>0</v>
      </c>
      <c r="O152" t="s">
        <v>3411</v>
      </c>
    </row>
    <row r="153" spans="3:15">
      <c r="D153" t="s">
        <v>1360</v>
      </c>
      <c r="E153" s="419">
        <v>0</v>
      </c>
      <c r="F153" s="419">
        <v>0</v>
      </c>
      <c r="G153" s="419">
        <v>0</v>
      </c>
      <c r="H153" s="419">
        <v>0</v>
      </c>
      <c r="I153" s="419">
        <v>0</v>
      </c>
      <c r="J153" s="419">
        <v>0</v>
      </c>
      <c r="K153" s="419">
        <v>0</v>
      </c>
      <c r="L153" s="419">
        <v>0</v>
      </c>
      <c r="M153" s="419">
        <v>0</v>
      </c>
      <c r="N153" s="419">
        <v>0</v>
      </c>
      <c r="O153" t="s">
        <v>3412</v>
      </c>
    </row>
    <row r="154" spans="3:15">
      <c r="D154" t="s">
        <v>1361</v>
      </c>
      <c r="E154" s="419">
        <v>0</v>
      </c>
      <c r="F154" s="419">
        <v>0</v>
      </c>
      <c r="G154" s="419">
        <v>0</v>
      </c>
      <c r="H154" s="419">
        <v>0</v>
      </c>
      <c r="I154" s="419">
        <v>0</v>
      </c>
      <c r="J154" s="419">
        <v>0</v>
      </c>
      <c r="K154" s="419">
        <v>0</v>
      </c>
      <c r="L154" s="419">
        <v>0</v>
      </c>
      <c r="M154" s="419">
        <v>0</v>
      </c>
      <c r="N154" s="419">
        <v>0</v>
      </c>
      <c r="O154" t="s">
        <v>3413</v>
      </c>
    </row>
    <row r="155" spans="3:15" s="65" customFormat="1">
      <c r="D155" s="65" t="s">
        <v>1022</v>
      </c>
      <c r="E155" s="420">
        <v>0</v>
      </c>
      <c r="F155" s="420">
        <v>0</v>
      </c>
      <c r="G155" s="420">
        <v>0</v>
      </c>
      <c r="H155" s="420">
        <v>0</v>
      </c>
      <c r="I155" s="420">
        <v>0</v>
      </c>
      <c r="J155" s="420">
        <v>0</v>
      </c>
      <c r="K155" s="420">
        <v>0</v>
      </c>
      <c r="L155" s="420">
        <v>0</v>
      </c>
      <c r="M155" s="420">
        <v>0</v>
      </c>
      <c r="N155" s="420">
        <v>0</v>
      </c>
      <c r="O155" s="65" t="s">
        <v>3414</v>
      </c>
    </row>
    <row r="156" spans="3:15">
      <c r="C156" t="s">
        <v>1333</v>
      </c>
      <c r="E156" s="419"/>
      <c r="F156" s="419"/>
      <c r="G156" s="419"/>
      <c r="H156" s="419"/>
      <c r="I156" s="419"/>
      <c r="J156" s="419"/>
      <c r="K156" s="419"/>
      <c r="L156" s="419"/>
      <c r="M156" s="419"/>
      <c r="N156" s="419"/>
    </row>
    <row r="157" spans="3:15">
      <c r="D157" t="s">
        <v>1321</v>
      </c>
      <c r="E157" s="419"/>
      <c r="F157" s="419"/>
      <c r="G157" s="419"/>
      <c r="H157" s="419"/>
      <c r="I157" s="419"/>
      <c r="J157" s="419"/>
      <c r="K157" s="419"/>
      <c r="L157" s="419"/>
      <c r="M157" s="419"/>
      <c r="N157" s="419"/>
      <c r="O157" t="s">
        <v>3415</v>
      </c>
    </row>
    <row r="158" spans="3:15">
      <c r="D158" t="s">
        <v>1322</v>
      </c>
      <c r="E158" s="419"/>
      <c r="F158" s="419"/>
      <c r="G158" s="419"/>
      <c r="H158" s="419"/>
      <c r="I158" s="419"/>
      <c r="J158" s="419"/>
      <c r="K158" s="419"/>
      <c r="L158" s="419"/>
      <c r="M158" s="419"/>
      <c r="N158" s="419"/>
      <c r="O158" t="s">
        <v>3416</v>
      </c>
    </row>
    <row r="159" spans="3:15">
      <c r="D159" t="s">
        <v>1323</v>
      </c>
      <c r="E159" s="419"/>
      <c r="F159" s="419"/>
      <c r="G159" s="419"/>
      <c r="H159" s="419"/>
      <c r="I159" s="419"/>
      <c r="J159" s="419"/>
      <c r="K159" s="419"/>
      <c r="L159" s="419"/>
      <c r="M159" s="419"/>
      <c r="N159" s="419"/>
      <c r="O159" t="s">
        <v>3417</v>
      </c>
    </row>
    <row r="160" spans="3:15">
      <c r="D160" t="s">
        <v>1324</v>
      </c>
      <c r="E160" s="419"/>
      <c r="F160" s="419"/>
      <c r="G160" s="419"/>
      <c r="H160" s="419"/>
      <c r="I160" s="419"/>
      <c r="J160" s="419"/>
      <c r="K160" s="419"/>
      <c r="L160" s="419"/>
      <c r="M160" s="419"/>
      <c r="N160" s="419"/>
      <c r="O160" t="s">
        <v>3418</v>
      </c>
    </row>
    <row r="161" spans="3:15" s="65" customFormat="1">
      <c r="D161" s="65" t="s">
        <v>1366</v>
      </c>
      <c r="E161" s="420">
        <v>0</v>
      </c>
      <c r="F161" s="420">
        <v>0</v>
      </c>
      <c r="G161" s="420">
        <v>0</v>
      </c>
      <c r="H161" s="420">
        <v>0</v>
      </c>
      <c r="I161" s="420">
        <v>0</v>
      </c>
      <c r="J161" s="420">
        <v>0</v>
      </c>
      <c r="K161" s="420">
        <v>0</v>
      </c>
      <c r="L161" s="420">
        <v>0</v>
      </c>
      <c r="M161" s="420">
        <v>0</v>
      </c>
      <c r="N161" s="420">
        <v>0</v>
      </c>
      <c r="O161" s="65" t="s">
        <v>3419</v>
      </c>
    </row>
    <row r="162" spans="3:15" s="65" customFormat="1">
      <c r="C162" s="65" t="s">
        <v>1057</v>
      </c>
      <c r="E162" s="420"/>
      <c r="F162" s="420"/>
      <c r="G162" s="420"/>
      <c r="H162" s="420"/>
      <c r="I162" s="420"/>
      <c r="J162" s="420"/>
      <c r="K162" s="420"/>
      <c r="L162" s="420"/>
      <c r="M162" s="420"/>
      <c r="N162" s="420"/>
    </row>
    <row r="163" spans="3:15">
      <c r="D163" t="s">
        <v>1077</v>
      </c>
      <c r="E163" s="419">
        <v>0</v>
      </c>
      <c r="F163" s="419">
        <v>0</v>
      </c>
      <c r="G163" s="419">
        <v>0</v>
      </c>
      <c r="H163" s="419">
        <v>0</v>
      </c>
      <c r="I163" s="419">
        <v>0</v>
      </c>
      <c r="J163" s="419">
        <v>0</v>
      </c>
      <c r="K163" s="419">
        <v>0</v>
      </c>
      <c r="L163" s="419">
        <v>0</v>
      </c>
      <c r="M163" s="419">
        <v>0</v>
      </c>
      <c r="N163" s="419">
        <v>0</v>
      </c>
      <c r="O163" t="s">
        <v>3420</v>
      </c>
    </row>
    <row r="164" spans="3:15">
      <c r="D164" t="s">
        <v>1081</v>
      </c>
      <c r="E164" s="419">
        <v>0</v>
      </c>
      <c r="F164" s="419">
        <v>0</v>
      </c>
      <c r="G164" s="419">
        <v>0</v>
      </c>
      <c r="H164" s="419">
        <v>0</v>
      </c>
      <c r="I164" s="419">
        <v>0</v>
      </c>
      <c r="J164" s="419">
        <v>0</v>
      </c>
      <c r="K164" s="419">
        <v>0</v>
      </c>
      <c r="L164" s="419">
        <v>0</v>
      </c>
      <c r="M164" s="419">
        <v>0</v>
      </c>
      <c r="N164" s="419">
        <v>0</v>
      </c>
      <c r="O164" t="s">
        <v>3421</v>
      </c>
    </row>
    <row r="165" spans="3:15">
      <c r="D165" t="s">
        <v>1085</v>
      </c>
      <c r="E165" s="419">
        <v>0</v>
      </c>
      <c r="F165" s="419">
        <v>0</v>
      </c>
      <c r="G165" s="419">
        <v>0</v>
      </c>
      <c r="H165" s="419">
        <v>0</v>
      </c>
      <c r="I165" s="419">
        <v>0</v>
      </c>
      <c r="J165" s="419">
        <v>0</v>
      </c>
      <c r="K165" s="419">
        <v>0</v>
      </c>
      <c r="L165" s="419">
        <v>0</v>
      </c>
      <c r="M165" s="419">
        <v>0</v>
      </c>
      <c r="N165" s="419">
        <v>0</v>
      </c>
      <c r="O165" t="s">
        <v>3422</v>
      </c>
    </row>
    <row r="166" spans="3:15">
      <c r="D166" t="s">
        <v>1089</v>
      </c>
      <c r="E166" s="419">
        <v>0</v>
      </c>
      <c r="F166" s="419">
        <v>0</v>
      </c>
      <c r="G166" s="419">
        <v>0</v>
      </c>
      <c r="H166" s="419">
        <v>0</v>
      </c>
      <c r="I166" s="419">
        <v>0</v>
      </c>
      <c r="J166" s="419">
        <v>0</v>
      </c>
      <c r="K166" s="419">
        <v>0</v>
      </c>
      <c r="L166" s="419">
        <v>0</v>
      </c>
      <c r="M166" s="419">
        <v>0</v>
      </c>
      <c r="N166" s="419">
        <v>0</v>
      </c>
      <c r="O166" t="s">
        <v>3423</v>
      </c>
    </row>
    <row r="167" spans="3:15" s="65" customFormat="1">
      <c r="D167" s="65" t="s">
        <v>1097</v>
      </c>
      <c r="E167" s="420">
        <v>0</v>
      </c>
      <c r="F167" s="420">
        <v>0</v>
      </c>
      <c r="G167" s="420">
        <v>0</v>
      </c>
      <c r="H167" s="420">
        <v>0</v>
      </c>
      <c r="I167" s="420">
        <v>0</v>
      </c>
      <c r="J167" s="420">
        <v>0</v>
      </c>
      <c r="K167" s="420">
        <v>0</v>
      </c>
      <c r="L167" s="420">
        <v>0</v>
      </c>
      <c r="M167" s="420">
        <v>0</v>
      </c>
      <c r="N167" s="420">
        <v>0</v>
      </c>
      <c r="O167" s="65" t="s">
        <v>3424</v>
      </c>
    </row>
    <row r="168" spans="3:15">
      <c r="E168" s="419"/>
      <c r="F168" s="419"/>
      <c r="G168" s="419"/>
      <c r="H168" s="419"/>
      <c r="I168" s="419"/>
      <c r="J168" s="419"/>
      <c r="K168" s="419"/>
      <c r="L168" s="419"/>
      <c r="M168" s="419"/>
      <c r="N168" s="419"/>
    </row>
    <row r="169" spans="3:15">
      <c r="C169" s="65" t="s">
        <v>2282</v>
      </c>
      <c r="E169" s="419"/>
      <c r="F169" s="419"/>
      <c r="G169" s="419"/>
      <c r="H169" s="419"/>
      <c r="I169" s="419"/>
      <c r="J169" s="419"/>
      <c r="K169" s="419"/>
      <c r="L169" s="419"/>
      <c r="M169" s="419"/>
      <c r="N169" s="419"/>
    </row>
    <row r="170" spans="3:15">
      <c r="D170" t="s">
        <v>899</v>
      </c>
      <c r="E170" s="419">
        <v>0</v>
      </c>
      <c r="F170" s="419">
        <v>0</v>
      </c>
      <c r="G170" s="419">
        <v>0</v>
      </c>
      <c r="H170" s="419">
        <v>0</v>
      </c>
      <c r="I170" s="419">
        <v>0</v>
      </c>
      <c r="J170" s="419">
        <v>0</v>
      </c>
      <c r="K170" s="419">
        <v>0</v>
      </c>
      <c r="L170" s="419">
        <v>0</v>
      </c>
      <c r="M170" s="419">
        <v>0</v>
      </c>
      <c r="N170" s="419">
        <v>0</v>
      </c>
      <c r="O170" t="s">
        <v>3425</v>
      </c>
    </row>
    <row r="171" spans="3:15">
      <c r="D171" t="s">
        <v>900</v>
      </c>
      <c r="E171" s="419">
        <v>0</v>
      </c>
      <c r="F171" s="419">
        <v>0</v>
      </c>
      <c r="G171" s="419">
        <v>0</v>
      </c>
      <c r="H171" s="419">
        <v>0</v>
      </c>
      <c r="I171" s="419">
        <v>0</v>
      </c>
      <c r="J171" s="419">
        <v>0</v>
      </c>
      <c r="K171" s="419">
        <v>0</v>
      </c>
      <c r="L171" s="419">
        <v>0</v>
      </c>
      <c r="M171" s="419">
        <v>0</v>
      </c>
      <c r="N171" s="419">
        <v>0</v>
      </c>
      <c r="O171" t="s">
        <v>3426</v>
      </c>
    </row>
    <row r="172" spans="3:15">
      <c r="D172" t="s">
        <v>901</v>
      </c>
      <c r="E172" s="419">
        <v>0</v>
      </c>
      <c r="F172" s="419">
        <v>0</v>
      </c>
      <c r="G172" s="419">
        <v>0</v>
      </c>
      <c r="H172" s="419">
        <v>0</v>
      </c>
      <c r="I172" s="419">
        <v>0</v>
      </c>
      <c r="J172" s="419">
        <v>0</v>
      </c>
      <c r="K172" s="419">
        <v>0</v>
      </c>
      <c r="L172" s="419">
        <v>0</v>
      </c>
      <c r="M172" s="419">
        <v>0</v>
      </c>
      <c r="N172" s="419">
        <v>0</v>
      </c>
      <c r="O172" t="s">
        <v>3427</v>
      </c>
    </row>
    <row r="173" spans="3:15">
      <c r="D173" t="s">
        <v>902</v>
      </c>
      <c r="E173" s="419">
        <v>0</v>
      </c>
      <c r="F173" s="419">
        <v>0</v>
      </c>
      <c r="G173" s="419">
        <v>0</v>
      </c>
      <c r="H173" s="419">
        <v>0</v>
      </c>
      <c r="I173" s="419">
        <v>0</v>
      </c>
      <c r="J173" s="419">
        <v>0</v>
      </c>
      <c r="K173" s="419">
        <v>0</v>
      </c>
      <c r="L173" s="419">
        <v>0</v>
      </c>
      <c r="M173" s="419">
        <v>0</v>
      </c>
      <c r="N173" s="419">
        <v>0</v>
      </c>
      <c r="O173" t="s">
        <v>3428</v>
      </c>
    </row>
    <row r="174" spans="3:15">
      <c r="D174" t="s">
        <v>2297</v>
      </c>
      <c r="E174" s="420">
        <v>0</v>
      </c>
      <c r="F174" s="420">
        <v>0</v>
      </c>
      <c r="G174" s="420">
        <v>0</v>
      </c>
      <c r="H174" s="420">
        <v>0</v>
      </c>
      <c r="I174" s="420">
        <v>0</v>
      </c>
      <c r="J174" s="420">
        <v>0</v>
      </c>
      <c r="K174" s="420">
        <v>0</v>
      </c>
      <c r="L174" s="420">
        <v>0</v>
      </c>
      <c r="M174" s="420">
        <v>0</v>
      </c>
      <c r="N174" s="420">
        <v>0</v>
      </c>
      <c r="O174" t="s">
        <v>3429</v>
      </c>
    </row>
    <row r="175" spans="3:15">
      <c r="E175" s="419"/>
      <c r="F175" s="419"/>
      <c r="G175" s="419"/>
      <c r="H175" s="419"/>
      <c r="I175" s="419"/>
      <c r="J175" s="419"/>
      <c r="K175" s="419"/>
      <c r="L175" s="419"/>
      <c r="M175" s="419"/>
      <c r="N175" s="419"/>
    </row>
    <row r="176" spans="3:15">
      <c r="C176" s="65" t="s">
        <v>3079</v>
      </c>
      <c r="E176" s="419"/>
      <c r="F176" s="419"/>
      <c r="G176" s="419"/>
      <c r="H176" s="419"/>
      <c r="I176" s="419"/>
      <c r="J176" s="419"/>
      <c r="K176" s="419"/>
      <c r="L176" s="419"/>
      <c r="M176" s="419"/>
      <c r="N176" s="419"/>
    </row>
    <row r="177" spans="3:15">
      <c r="D177" t="s">
        <v>899</v>
      </c>
      <c r="E177" s="419">
        <v>0</v>
      </c>
      <c r="F177" s="419">
        <v>0</v>
      </c>
      <c r="G177" s="419">
        <v>0</v>
      </c>
      <c r="H177" s="419">
        <v>0</v>
      </c>
      <c r="I177" s="419">
        <v>0</v>
      </c>
      <c r="J177" s="419">
        <v>0</v>
      </c>
      <c r="K177" s="419">
        <v>0</v>
      </c>
      <c r="L177" s="419">
        <v>0</v>
      </c>
      <c r="M177" s="419">
        <v>0</v>
      </c>
      <c r="N177" s="419">
        <v>0</v>
      </c>
      <c r="O177" t="s">
        <v>3430</v>
      </c>
    </row>
    <row r="178" spans="3:15">
      <c r="D178" t="s">
        <v>900</v>
      </c>
      <c r="E178" s="419">
        <v>0</v>
      </c>
      <c r="F178" s="419">
        <v>0</v>
      </c>
      <c r="G178" s="419">
        <v>0</v>
      </c>
      <c r="H178" s="419">
        <v>0</v>
      </c>
      <c r="I178" s="419">
        <v>0</v>
      </c>
      <c r="J178" s="419">
        <v>0</v>
      </c>
      <c r="K178" s="419">
        <v>0</v>
      </c>
      <c r="L178" s="419">
        <v>0</v>
      </c>
      <c r="M178" s="419">
        <v>0</v>
      </c>
      <c r="N178" s="419">
        <v>0</v>
      </c>
      <c r="O178" t="s">
        <v>3431</v>
      </c>
    </row>
    <row r="179" spans="3:15">
      <c r="D179" t="s">
        <v>901</v>
      </c>
      <c r="E179" s="419">
        <v>0</v>
      </c>
      <c r="F179" s="419">
        <v>0</v>
      </c>
      <c r="G179" s="419">
        <v>0</v>
      </c>
      <c r="H179" s="419">
        <v>0</v>
      </c>
      <c r="I179" s="419">
        <v>0</v>
      </c>
      <c r="J179" s="419">
        <v>0</v>
      </c>
      <c r="K179" s="419">
        <v>0</v>
      </c>
      <c r="L179" s="419">
        <v>0</v>
      </c>
      <c r="M179" s="419">
        <v>0</v>
      </c>
      <c r="N179" s="419">
        <v>0</v>
      </c>
      <c r="O179" t="s">
        <v>3432</v>
      </c>
    </row>
    <row r="180" spans="3:15">
      <c r="D180" t="s">
        <v>902</v>
      </c>
      <c r="E180" s="419">
        <v>0</v>
      </c>
      <c r="F180" s="419">
        <v>0</v>
      </c>
      <c r="G180" s="419">
        <v>0</v>
      </c>
      <c r="H180" s="419">
        <v>0</v>
      </c>
      <c r="I180" s="419">
        <v>0</v>
      </c>
      <c r="J180" s="419">
        <v>0</v>
      </c>
      <c r="K180" s="419">
        <v>0</v>
      </c>
      <c r="L180" s="419">
        <v>0</v>
      </c>
      <c r="M180" s="419">
        <v>0</v>
      </c>
      <c r="N180" s="419">
        <v>0</v>
      </c>
      <c r="O180" t="s">
        <v>3433</v>
      </c>
    </row>
    <row r="181" spans="3:15">
      <c r="D181" t="s">
        <v>2297</v>
      </c>
      <c r="E181" s="420">
        <v>0</v>
      </c>
      <c r="F181" s="420">
        <v>0</v>
      </c>
      <c r="G181" s="420">
        <v>0</v>
      </c>
      <c r="H181" s="420">
        <v>0</v>
      </c>
      <c r="I181" s="420">
        <v>0</v>
      </c>
      <c r="J181" s="420">
        <v>0</v>
      </c>
      <c r="K181" s="420">
        <v>0</v>
      </c>
      <c r="L181" s="420">
        <v>0</v>
      </c>
      <c r="M181" s="420">
        <v>0</v>
      </c>
      <c r="N181" s="420">
        <v>0</v>
      </c>
      <c r="O181" t="s">
        <v>3434</v>
      </c>
    </row>
    <row r="182" spans="3:15">
      <c r="E182" s="419"/>
      <c r="F182" s="419"/>
      <c r="G182" s="419"/>
      <c r="H182" s="419"/>
      <c r="I182" s="419"/>
      <c r="J182" s="419"/>
      <c r="K182" s="419"/>
      <c r="L182" s="419"/>
      <c r="M182" s="419"/>
      <c r="N182" s="419"/>
    </row>
    <row r="183" spans="3:15">
      <c r="C183" s="65" t="s">
        <v>2391</v>
      </c>
      <c r="E183" s="419"/>
      <c r="F183" s="419"/>
      <c r="G183" s="419"/>
      <c r="H183" s="419"/>
      <c r="I183" s="419"/>
      <c r="J183" s="419"/>
      <c r="K183" s="419"/>
      <c r="L183" s="419"/>
      <c r="M183" s="419"/>
      <c r="N183" s="419"/>
    </row>
    <row r="184" spans="3:15">
      <c r="D184" t="s">
        <v>899</v>
      </c>
      <c r="E184" s="419">
        <v>0</v>
      </c>
      <c r="F184" s="419">
        <v>0</v>
      </c>
      <c r="G184" s="419">
        <v>0</v>
      </c>
      <c r="H184" s="419">
        <v>0</v>
      </c>
      <c r="I184" s="419">
        <v>0</v>
      </c>
      <c r="J184" s="419">
        <v>0</v>
      </c>
      <c r="K184" s="419">
        <v>0</v>
      </c>
      <c r="L184" s="419">
        <v>0</v>
      </c>
      <c r="M184" s="419">
        <v>0</v>
      </c>
      <c r="N184" s="419">
        <v>0</v>
      </c>
      <c r="O184" t="s">
        <v>3435</v>
      </c>
    </row>
    <row r="185" spans="3:15">
      <c r="D185" t="s">
        <v>900</v>
      </c>
      <c r="E185" s="419">
        <v>0</v>
      </c>
      <c r="F185" s="419">
        <v>0</v>
      </c>
      <c r="G185" s="419">
        <v>0</v>
      </c>
      <c r="H185" s="419">
        <v>0</v>
      </c>
      <c r="I185" s="419">
        <v>0</v>
      </c>
      <c r="J185" s="419">
        <v>0</v>
      </c>
      <c r="K185" s="419">
        <v>0</v>
      </c>
      <c r="L185" s="419">
        <v>0</v>
      </c>
      <c r="M185" s="419">
        <v>0</v>
      </c>
      <c r="N185" s="419">
        <v>0</v>
      </c>
      <c r="O185" t="s">
        <v>3436</v>
      </c>
    </row>
    <row r="186" spans="3:15">
      <c r="D186" t="s">
        <v>901</v>
      </c>
      <c r="E186" s="419">
        <v>0</v>
      </c>
      <c r="F186" s="419">
        <v>0</v>
      </c>
      <c r="G186" s="419">
        <v>0</v>
      </c>
      <c r="H186" s="419">
        <v>0</v>
      </c>
      <c r="I186" s="419">
        <v>0</v>
      </c>
      <c r="J186" s="419">
        <v>0</v>
      </c>
      <c r="K186" s="419">
        <v>0</v>
      </c>
      <c r="L186" s="419">
        <v>0</v>
      </c>
      <c r="M186" s="419">
        <v>0</v>
      </c>
      <c r="N186" s="419">
        <v>0</v>
      </c>
      <c r="O186" t="s">
        <v>3437</v>
      </c>
    </row>
    <row r="187" spans="3:15">
      <c r="D187" t="s">
        <v>902</v>
      </c>
      <c r="E187" s="419">
        <v>0</v>
      </c>
      <c r="F187" s="419">
        <v>0</v>
      </c>
      <c r="G187" s="419">
        <v>0</v>
      </c>
      <c r="H187" s="419">
        <v>0</v>
      </c>
      <c r="I187" s="419">
        <v>0</v>
      </c>
      <c r="J187" s="419">
        <v>0</v>
      </c>
      <c r="K187" s="419">
        <v>0</v>
      </c>
      <c r="L187" s="419">
        <v>0</v>
      </c>
      <c r="M187" s="419">
        <v>0</v>
      </c>
      <c r="N187" s="419">
        <v>0</v>
      </c>
      <c r="O187" t="s">
        <v>3438</v>
      </c>
    </row>
    <row r="188" spans="3:15">
      <c r="D188" t="s">
        <v>2297</v>
      </c>
      <c r="E188" s="420">
        <v>0</v>
      </c>
      <c r="F188" s="420">
        <v>0</v>
      </c>
      <c r="G188" s="420">
        <v>0</v>
      </c>
      <c r="H188" s="420">
        <v>0</v>
      </c>
      <c r="I188" s="420">
        <v>0</v>
      </c>
      <c r="J188" s="420">
        <v>0</v>
      </c>
      <c r="K188" s="420">
        <v>0</v>
      </c>
      <c r="L188" s="420">
        <v>0</v>
      </c>
      <c r="M188" s="420">
        <v>0</v>
      </c>
      <c r="N188" s="420">
        <v>0</v>
      </c>
      <c r="O188" t="s">
        <v>3439</v>
      </c>
    </row>
    <row r="189" spans="3:15">
      <c r="C189" t="s">
        <v>1099</v>
      </c>
      <c r="E189" s="419"/>
      <c r="F189" s="419"/>
      <c r="G189" s="419"/>
      <c r="H189" s="419"/>
      <c r="I189" s="419"/>
      <c r="J189" s="419"/>
      <c r="K189" s="419"/>
      <c r="L189" s="419"/>
      <c r="M189" s="419"/>
      <c r="N189" s="419"/>
    </row>
    <row r="190" spans="3:15" s="65" customFormat="1">
      <c r="C190" s="65" t="s">
        <v>1139</v>
      </c>
      <c r="E190" s="420"/>
      <c r="F190" s="420"/>
      <c r="G190" s="420"/>
      <c r="H190" s="420"/>
      <c r="I190" s="420"/>
      <c r="J190" s="420"/>
      <c r="K190" s="420"/>
      <c r="L190" s="420"/>
      <c r="M190" s="420"/>
      <c r="N190" s="420"/>
    </row>
    <row r="191" spans="3:15">
      <c r="D191" t="s">
        <v>1123</v>
      </c>
      <c r="E191" s="419">
        <v>0</v>
      </c>
      <c r="F191" s="419">
        <v>0</v>
      </c>
      <c r="G191" s="419">
        <v>0</v>
      </c>
      <c r="H191" s="419">
        <v>0</v>
      </c>
      <c r="I191" s="419">
        <v>0</v>
      </c>
      <c r="J191" s="419">
        <v>0</v>
      </c>
      <c r="K191" s="419">
        <v>0</v>
      </c>
      <c r="L191" s="419">
        <v>0</v>
      </c>
      <c r="M191" s="419">
        <v>0</v>
      </c>
      <c r="N191" s="419">
        <v>0</v>
      </c>
      <c r="O191" t="s">
        <v>3440</v>
      </c>
    </row>
    <row r="192" spans="3:15">
      <c r="D192" t="s">
        <v>1127</v>
      </c>
      <c r="E192" s="419">
        <v>0</v>
      </c>
      <c r="F192" s="419">
        <v>0</v>
      </c>
      <c r="G192" s="419">
        <v>0</v>
      </c>
      <c r="H192" s="419">
        <v>0</v>
      </c>
      <c r="I192" s="419">
        <v>0</v>
      </c>
      <c r="J192" s="419">
        <v>0</v>
      </c>
      <c r="K192" s="419">
        <v>0</v>
      </c>
      <c r="L192" s="419">
        <v>0</v>
      </c>
      <c r="M192" s="419">
        <v>0</v>
      </c>
      <c r="N192" s="419">
        <v>0</v>
      </c>
      <c r="O192" t="s">
        <v>3441</v>
      </c>
    </row>
    <row r="193" spans="3:15">
      <c r="D193" t="s">
        <v>1131</v>
      </c>
      <c r="E193" s="419">
        <v>0</v>
      </c>
      <c r="F193" s="419">
        <v>0</v>
      </c>
      <c r="G193" s="419">
        <v>0</v>
      </c>
      <c r="H193" s="419">
        <v>0</v>
      </c>
      <c r="I193" s="419">
        <v>0</v>
      </c>
      <c r="J193" s="419">
        <v>0</v>
      </c>
      <c r="K193" s="419">
        <v>0</v>
      </c>
      <c r="L193" s="419">
        <v>0</v>
      </c>
      <c r="M193" s="419">
        <v>0</v>
      </c>
      <c r="N193" s="419">
        <v>0</v>
      </c>
      <c r="O193" t="s">
        <v>3442</v>
      </c>
    </row>
    <row r="194" spans="3:15">
      <c r="D194" t="s">
        <v>1135</v>
      </c>
      <c r="E194" s="419">
        <v>0</v>
      </c>
      <c r="F194" s="419">
        <v>0</v>
      </c>
      <c r="G194" s="419">
        <v>0</v>
      </c>
      <c r="H194" s="419">
        <v>0</v>
      </c>
      <c r="I194" s="419">
        <v>0</v>
      </c>
      <c r="J194" s="419">
        <v>0</v>
      </c>
      <c r="K194" s="419">
        <v>0</v>
      </c>
      <c r="L194" s="419">
        <v>0</v>
      </c>
      <c r="M194" s="419">
        <v>0</v>
      </c>
      <c r="N194" s="419">
        <v>0</v>
      </c>
      <c r="O194" t="s">
        <v>3443</v>
      </c>
    </row>
    <row r="195" spans="3:15" s="65" customFormat="1">
      <c r="D195" s="65" t="s">
        <v>1144</v>
      </c>
      <c r="E195" s="420">
        <v>0</v>
      </c>
      <c r="F195" s="420">
        <v>0</v>
      </c>
      <c r="G195" s="420">
        <v>0</v>
      </c>
      <c r="H195" s="420">
        <v>0</v>
      </c>
      <c r="I195" s="420">
        <v>0</v>
      </c>
      <c r="J195" s="420">
        <v>0</v>
      </c>
      <c r="K195" s="420">
        <v>0</v>
      </c>
      <c r="L195" s="420">
        <v>0</v>
      </c>
      <c r="M195" s="420">
        <v>0</v>
      </c>
      <c r="N195" s="420">
        <v>0</v>
      </c>
      <c r="O195" s="65" t="s">
        <v>3444</v>
      </c>
    </row>
    <row r="196" spans="3:15" s="65" customFormat="1">
      <c r="C196" s="65" t="s">
        <v>507</v>
      </c>
      <c r="E196" s="420"/>
      <c r="F196" s="420"/>
      <c r="G196" s="420"/>
      <c r="H196" s="420"/>
      <c r="I196" s="420"/>
      <c r="J196" s="420"/>
      <c r="K196" s="420"/>
      <c r="L196" s="420"/>
      <c r="M196" s="420"/>
      <c r="N196" s="420"/>
    </row>
    <row r="197" spans="3:15">
      <c r="D197" t="s">
        <v>1160</v>
      </c>
      <c r="E197" s="419">
        <v>0</v>
      </c>
      <c r="F197" s="419">
        <v>0</v>
      </c>
      <c r="G197" s="419">
        <v>0</v>
      </c>
      <c r="H197" s="419">
        <v>0</v>
      </c>
      <c r="I197" s="419">
        <v>0</v>
      </c>
      <c r="J197" s="419">
        <v>0</v>
      </c>
      <c r="K197" s="419">
        <v>0</v>
      </c>
      <c r="L197" s="419">
        <v>0</v>
      </c>
      <c r="M197" s="419">
        <v>0</v>
      </c>
      <c r="N197" s="419">
        <v>0</v>
      </c>
      <c r="O197" t="s">
        <v>3445</v>
      </c>
    </row>
    <row r="198" spans="3:15">
      <c r="D198" t="s">
        <v>1164</v>
      </c>
      <c r="E198" s="419">
        <v>0</v>
      </c>
      <c r="F198" s="419">
        <v>0</v>
      </c>
      <c r="G198" s="419">
        <v>0</v>
      </c>
      <c r="H198" s="419">
        <v>0</v>
      </c>
      <c r="I198" s="419">
        <v>0</v>
      </c>
      <c r="J198" s="419">
        <v>0</v>
      </c>
      <c r="K198" s="419">
        <v>0</v>
      </c>
      <c r="L198" s="419">
        <v>0</v>
      </c>
      <c r="M198" s="419">
        <v>0</v>
      </c>
      <c r="N198" s="419">
        <v>0</v>
      </c>
      <c r="O198" t="s">
        <v>3446</v>
      </c>
    </row>
    <row r="199" spans="3:15">
      <c r="D199" t="s">
        <v>1168</v>
      </c>
      <c r="E199" s="419">
        <v>0</v>
      </c>
      <c r="F199" s="419">
        <v>0</v>
      </c>
      <c r="G199" s="419">
        <v>0</v>
      </c>
      <c r="H199" s="419">
        <v>0</v>
      </c>
      <c r="I199" s="419">
        <v>0</v>
      </c>
      <c r="J199" s="419">
        <v>0</v>
      </c>
      <c r="K199" s="419">
        <v>0</v>
      </c>
      <c r="L199" s="419">
        <v>0</v>
      </c>
      <c r="M199" s="419">
        <v>0</v>
      </c>
      <c r="N199" s="419">
        <v>0</v>
      </c>
      <c r="O199" t="s">
        <v>3447</v>
      </c>
    </row>
    <row r="200" spans="3:15">
      <c r="D200" t="s">
        <v>1172</v>
      </c>
      <c r="E200" s="419">
        <v>0</v>
      </c>
      <c r="F200" s="419">
        <v>0</v>
      </c>
      <c r="G200" s="419">
        <v>0</v>
      </c>
      <c r="H200" s="419">
        <v>0</v>
      </c>
      <c r="I200" s="419">
        <v>0</v>
      </c>
      <c r="J200" s="419">
        <v>0</v>
      </c>
      <c r="K200" s="419">
        <v>0</v>
      </c>
      <c r="L200" s="419">
        <v>0</v>
      </c>
      <c r="M200" s="419">
        <v>0</v>
      </c>
      <c r="N200" s="419">
        <v>0</v>
      </c>
      <c r="O200" t="s">
        <v>3448</v>
      </c>
    </row>
    <row r="201" spans="3:15" s="65" customFormat="1">
      <c r="D201" s="65" t="s">
        <v>1181</v>
      </c>
      <c r="E201" s="420">
        <v>0</v>
      </c>
      <c r="F201" s="420">
        <v>0</v>
      </c>
      <c r="G201" s="420">
        <v>0</v>
      </c>
      <c r="H201" s="420">
        <v>0</v>
      </c>
      <c r="I201" s="420">
        <v>0</v>
      </c>
      <c r="J201" s="420">
        <v>0</v>
      </c>
      <c r="K201" s="420">
        <v>0</v>
      </c>
      <c r="L201" s="420">
        <v>0</v>
      </c>
      <c r="M201" s="420">
        <v>0</v>
      </c>
      <c r="N201" s="420">
        <v>0</v>
      </c>
      <c r="O201" s="65" t="s">
        <v>3449</v>
      </c>
    </row>
    <row r="202" spans="3:15" s="65" customFormat="1">
      <c r="C202" s="65" t="s">
        <v>494</v>
      </c>
      <c r="E202" s="420"/>
      <c r="F202" s="420"/>
      <c r="G202" s="420"/>
      <c r="H202" s="420"/>
      <c r="I202" s="420"/>
      <c r="J202" s="420"/>
      <c r="K202" s="420"/>
      <c r="L202" s="420"/>
      <c r="M202" s="420"/>
      <c r="N202" s="420"/>
    </row>
    <row r="203" spans="3:15">
      <c r="D203" t="s">
        <v>1328</v>
      </c>
      <c r="E203" s="419"/>
      <c r="F203" s="419"/>
      <c r="G203" s="419"/>
      <c r="H203" s="419"/>
      <c r="I203" s="419"/>
      <c r="J203" s="419"/>
      <c r="K203" s="419"/>
      <c r="L203" s="419"/>
      <c r="M203" s="419"/>
      <c r="N203" s="419"/>
      <c r="O203" t="s">
        <v>3450</v>
      </c>
    </row>
    <row r="204" spans="3:15">
      <c r="D204" t="s">
        <v>1329</v>
      </c>
      <c r="E204" s="419"/>
      <c r="F204" s="419"/>
      <c r="G204" s="419"/>
      <c r="H204" s="419"/>
      <c r="I204" s="419"/>
      <c r="J204" s="419"/>
      <c r="K204" s="419"/>
      <c r="L204" s="419"/>
      <c r="M204" s="419"/>
      <c r="N204" s="419"/>
      <c r="O204" t="s">
        <v>3451</v>
      </c>
    </row>
    <row r="205" spans="3:15">
      <c r="D205" t="s">
        <v>1330</v>
      </c>
      <c r="E205" s="419"/>
      <c r="F205" s="419"/>
      <c r="G205" s="419"/>
      <c r="H205" s="419"/>
      <c r="I205" s="419"/>
      <c r="J205" s="419"/>
      <c r="K205" s="419"/>
      <c r="L205" s="419"/>
      <c r="M205" s="419"/>
      <c r="N205" s="419"/>
      <c r="O205" t="s">
        <v>3452</v>
      </c>
    </row>
    <row r="206" spans="3:15">
      <c r="D206" t="s">
        <v>1331</v>
      </c>
      <c r="E206" s="419"/>
      <c r="F206" s="419"/>
      <c r="G206" s="419"/>
      <c r="H206" s="419"/>
      <c r="I206" s="419"/>
      <c r="J206" s="419"/>
      <c r="K206" s="419"/>
      <c r="L206" s="419"/>
      <c r="M206" s="419"/>
      <c r="N206" s="419"/>
      <c r="O206" t="s">
        <v>3453</v>
      </c>
    </row>
    <row r="207" spans="3:15" s="65" customFormat="1">
      <c r="D207" s="65" t="s">
        <v>1372</v>
      </c>
      <c r="E207" s="420"/>
      <c r="F207" s="420"/>
      <c r="G207" s="420"/>
      <c r="H207" s="420"/>
      <c r="I207" s="420"/>
      <c r="J207" s="420"/>
      <c r="K207" s="420"/>
      <c r="L207" s="420"/>
      <c r="M207" s="420"/>
      <c r="N207" s="420"/>
      <c r="O207" s="65" t="s">
        <v>3454</v>
      </c>
    </row>
    <row r="208" spans="3:15" s="65" customFormat="1">
      <c r="C208" s="65" t="s">
        <v>494</v>
      </c>
      <c r="E208" s="420"/>
      <c r="F208" s="420"/>
      <c r="G208" s="420"/>
      <c r="H208" s="420"/>
      <c r="I208" s="420"/>
      <c r="J208" s="420"/>
      <c r="K208" s="420"/>
      <c r="L208" s="420"/>
      <c r="M208" s="420"/>
      <c r="N208" s="420"/>
    </row>
    <row r="209" spans="1:15">
      <c r="D209" t="s">
        <v>1673</v>
      </c>
      <c r="E209" s="419">
        <v>0</v>
      </c>
      <c r="F209" s="419">
        <v>0</v>
      </c>
      <c r="G209" s="419">
        <v>0</v>
      </c>
      <c r="H209" s="419">
        <v>0</v>
      </c>
      <c r="I209" s="419">
        <v>0</v>
      </c>
      <c r="J209" s="419">
        <v>0</v>
      </c>
      <c r="K209" s="419">
        <v>0</v>
      </c>
      <c r="L209" s="419">
        <v>0</v>
      </c>
      <c r="M209" s="419">
        <v>0</v>
      </c>
      <c r="N209" s="419">
        <v>0</v>
      </c>
      <c r="O209" t="s">
        <v>3455</v>
      </c>
    </row>
    <row r="210" spans="1:15">
      <c r="D210" t="s">
        <v>1677</v>
      </c>
      <c r="E210" s="419">
        <v>0</v>
      </c>
      <c r="F210" s="419">
        <v>0</v>
      </c>
      <c r="G210" s="419">
        <v>0</v>
      </c>
      <c r="H210" s="419">
        <v>0</v>
      </c>
      <c r="I210" s="419">
        <v>0</v>
      </c>
      <c r="J210" s="419">
        <v>0</v>
      </c>
      <c r="K210" s="419">
        <v>0</v>
      </c>
      <c r="L210" s="419">
        <v>0</v>
      </c>
      <c r="M210" s="419">
        <v>0</v>
      </c>
      <c r="N210" s="419">
        <v>0</v>
      </c>
      <c r="O210" t="s">
        <v>3456</v>
      </c>
    </row>
    <row r="211" spans="1:15">
      <c r="D211" t="s">
        <v>1681</v>
      </c>
      <c r="E211" s="419">
        <v>0</v>
      </c>
      <c r="F211" s="419">
        <v>0</v>
      </c>
      <c r="G211" s="419">
        <v>0</v>
      </c>
      <c r="H211" s="419">
        <v>0</v>
      </c>
      <c r="I211" s="419">
        <v>0</v>
      </c>
      <c r="J211" s="419">
        <v>0</v>
      </c>
      <c r="K211" s="419">
        <v>0</v>
      </c>
      <c r="L211" s="419">
        <v>0</v>
      </c>
      <c r="M211" s="419">
        <v>0</v>
      </c>
      <c r="N211" s="419">
        <v>0</v>
      </c>
      <c r="O211" t="s">
        <v>3457</v>
      </c>
    </row>
    <row r="212" spans="1:15">
      <c r="D212" t="s">
        <v>1685</v>
      </c>
      <c r="E212" s="419">
        <v>0</v>
      </c>
      <c r="F212" s="419">
        <v>0</v>
      </c>
      <c r="G212" s="419">
        <v>0</v>
      </c>
      <c r="H212" s="419">
        <v>0</v>
      </c>
      <c r="I212" s="419">
        <v>0</v>
      </c>
      <c r="J212" s="419">
        <v>0</v>
      </c>
      <c r="K212" s="419">
        <v>0</v>
      </c>
      <c r="L212" s="419">
        <v>0</v>
      </c>
      <c r="M212" s="419">
        <v>0</v>
      </c>
      <c r="N212" s="419">
        <v>0</v>
      </c>
      <c r="O212" t="s">
        <v>3458</v>
      </c>
    </row>
    <row r="213" spans="1:15" s="65" customFormat="1">
      <c r="D213" s="65" t="s">
        <v>1710</v>
      </c>
      <c r="E213" s="420">
        <v>0</v>
      </c>
      <c r="F213" s="420">
        <v>0</v>
      </c>
      <c r="G213" s="420">
        <v>0</v>
      </c>
      <c r="H213" s="420">
        <v>0</v>
      </c>
      <c r="I213" s="420">
        <v>0</v>
      </c>
      <c r="J213" s="420">
        <v>0</v>
      </c>
      <c r="K213" s="420">
        <v>0</v>
      </c>
      <c r="L213" s="420">
        <v>0</v>
      </c>
      <c r="M213" s="420">
        <v>0</v>
      </c>
      <c r="N213" s="420">
        <v>0</v>
      </c>
      <c r="O213" s="65" t="s">
        <v>3459</v>
      </c>
    </row>
    <row r="214" spans="1:15" s="65" customFormat="1">
      <c r="C214" s="65" t="s">
        <v>1386</v>
      </c>
      <c r="E214" s="420"/>
      <c r="F214" s="420"/>
      <c r="G214" s="420"/>
      <c r="H214" s="420"/>
      <c r="I214" s="420"/>
      <c r="J214" s="420"/>
      <c r="K214" s="420"/>
      <c r="L214" s="420"/>
      <c r="M214" s="420"/>
      <c r="N214" s="420"/>
    </row>
    <row r="215" spans="1:15">
      <c r="D215" t="s">
        <v>1387</v>
      </c>
      <c r="E215" s="419">
        <v>0</v>
      </c>
      <c r="F215" s="419">
        <v>0</v>
      </c>
      <c r="G215" s="419">
        <v>0</v>
      </c>
      <c r="H215" s="419">
        <v>0</v>
      </c>
      <c r="I215" s="419">
        <v>0</v>
      </c>
      <c r="J215" s="419">
        <v>0</v>
      </c>
      <c r="K215" s="419">
        <v>0</v>
      </c>
      <c r="L215" s="419">
        <v>0</v>
      </c>
      <c r="M215" s="419">
        <v>0</v>
      </c>
      <c r="N215" s="419">
        <v>0</v>
      </c>
      <c r="O215" t="s">
        <v>3460</v>
      </c>
    </row>
    <row r="216" spans="1:15">
      <c r="D216" t="s">
        <v>1389</v>
      </c>
      <c r="E216" s="419">
        <v>0</v>
      </c>
      <c r="F216" s="419">
        <v>0</v>
      </c>
      <c r="G216" s="419">
        <v>0</v>
      </c>
      <c r="H216" s="419">
        <v>0</v>
      </c>
      <c r="I216" s="419">
        <v>0</v>
      </c>
      <c r="J216" s="419">
        <v>0</v>
      </c>
      <c r="K216" s="419">
        <v>0</v>
      </c>
      <c r="L216" s="419">
        <v>0</v>
      </c>
      <c r="M216" s="419">
        <v>0</v>
      </c>
      <c r="N216" s="419">
        <v>0</v>
      </c>
      <c r="O216" t="s">
        <v>3461</v>
      </c>
    </row>
    <row r="217" spans="1:15">
      <c r="D217" t="s">
        <v>1391</v>
      </c>
      <c r="E217" s="419">
        <v>0</v>
      </c>
      <c r="F217" s="419">
        <v>0</v>
      </c>
      <c r="G217" s="419">
        <v>0</v>
      </c>
      <c r="H217" s="419">
        <v>0</v>
      </c>
      <c r="I217" s="419">
        <v>0</v>
      </c>
      <c r="J217" s="419">
        <v>0</v>
      </c>
      <c r="K217" s="419">
        <v>0</v>
      </c>
      <c r="L217" s="419">
        <v>0</v>
      </c>
      <c r="M217" s="419">
        <v>0</v>
      </c>
      <c r="N217" s="419">
        <v>0</v>
      </c>
      <c r="O217" t="s">
        <v>3462</v>
      </c>
    </row>
    <row r="218" spans="1:15">
      <c r="D218" t="s">
        <v>1393</v>
      </c>
      <c r="E218" s="419">
        <v>0</v>
      </c>
      <c r="F218" s="419">
        <v>0</v>
      </c>
      <c r="G218" s="419">
        <v>0</v>
      </c>
      <c r="H218" s="419">
        <v>0</v>
      </c>
      <c r="I218" s="419">
        <v>0</v>
      </c>
      <c r="J218" s="419">
        <v>0</v>
      </c>
      <c r="K218" s="419">
        <v>0</v>
      </c>
      <c r="L218" s="419">
        <v>0</v>
      </c>
      <c r="M218" s="419">
        <v>0</v>
      </c>
      <c r="N218" s="419">
        <v>0</v>
      </c>
      <c r="O218" t="s">
        <v>3463</v>
      </c>
    </row>
    <row r="219" spans="1:15" s="65" customFormat="1">
      <c r="D219" s="65" t="s">
        <v>1395</v>
      </c>
      <c r="E219" s="420">
        <v>0</v>
      </c>
      <c r="F219" s="420">
        <v>0</v>
      </c>
      <c r="G219" s="420">
        <v>0</v>
      </c>
      <c r="H219" s="420">
        <v>0</v>
      </c>
      <c r="I219" s="420">
        <v>0</v>
      </c>
      <c r="J219" s="420">
        <v>0</v>
      </c>
      <c r="K219" s="420">
        <v>0</v>
      </c>
      <c r="L219" s="420">
        <v>0</v>
      </c>
      <c r="M219" s="420">
        <v>0</v>
      </c>
      <c r="N219" s="420">
        <v>0</v>
      </c>
      <c r="O219" s="65" t="s">
        <v>3464</v>
      </c>
    </row>
    <row r="220" spans="1:15">
      <c r="A220" s="65" t="s">
        <v>1148</v>
      </c>
      <c r="E220" s="419"/>
      <c r="F220" s="419"/>
      <c r="G220" s="419"/>
      <c r="H220" s="419"/>
      <c r="I220" s="419"/>
      <c r="J220" s="419"/>
      <c r="K220" s="419"/>
      <c r="L220" s="419"/>
      <c r="M220" s="419"/>
      <c r="N220" s="419"/>
    </row>
    <row r="221" spans="1:15">
      <c r="D221" t="s">
        <v>426</v>
      </c>
      <c r="E221" s="419">
        <v>-28095668.678987436</v>
      </c>
      <c r="F221" s="419">
        <v>-28095668.678987436</v>
      </c>
      <c r="G221" s="419">
        <v>-28095668.678987436</v>
      </c>
      <c r="H221" s="419">
        <v>-28095668.678987436</v>
      </c>
      <c r="I221" s="419">
        <v>-28095668.678987436</v>
      </c>
      <c r="J221" s="419">
        <v>-28095668.678987436</v>
      </c>
      <c r="K221" s="419">
        <v>-28095668.678987436</v>
      </c>
      <c r="L221" s="419">
        <v>-28095668.678987436</v>
      </c>
      <c r="M221" s="419">
        <v>-28095668.678987436</v>
      </c>
      <c r="N221" s="419">
        <v>-28095668.678987436</v>
      </c>
      <c r="O221" t="s">
        <v>3465</v>
      </c>
    </row>
    <row r="222" spans="1:15">
      <c r="D222" t="s">
        <v>967</v>
      </c>
      <c r="E222" s="442">
        <v>-0.18999999999999992</v>
      </c>
      <c r="F222" s="442">
        <v>-0.18999999999999992</v>
      </c>
      <c r="G222" s="442">
        <v>-0.18999999999999992</v>
      </c>
      <c r="H222" s="442">
        <v>-0.18999999999999992</v>
      </c>
      <c r="I222" s="442">
        <v>-0.18999999999999992</v>
      </c>
      <c r="J222" s="442">
        <v>-0.18999999999999992</v>
      </c>
      <c r="K222" s="442">
        <v>-0.18999999999999992</v>
      </c>
      <c r="L222" s="442">
        <v>-0.18999999999999992</v>
      </c>
      <c r="M222" s="442">
        <v>-0.18999999999999992</v>
      </c>
      <c r="N222" s="442">
        <v>-0.18999999999999992</v>
      </c>
      <c r="O222" t="s">
        <v>3466</v>
      </c>
    </row>
    <row r="223" spans="1:15">
      <c r="E223" s="419"/>
      <c r="F223" s="419"/>
      <c r="G223" s="419"/>
      <c r="H223" s="419"/>
      <c r="I223" s="419"/>
      <c r="J223" s="419"/>
      <c r="K223" s="419"/>
      <c r="L223" s="419"/>
      <c r="M223" s="419"/>
      <c r="N223" s="419"/>
    </row>
    <row r="224" spans="1:15" s="69" customFormat="1">
      <c r="B224" s="69" t="s">
        <v>690</v>
      </c>
      <c r="E224" s="417"/>
      <c r="F224" s="417"/>
      <c r="G224" s="417"/>
      <c r="H224" s="417"/>
      <c r="I224" s="417"/>
      <c r="J224" s="417"/>
      <c r="K224" s="417"/>
      <c r="L224" s="417"/>
      <c r="M224" s="417"/>
      <c r="N224" s="417"/>
    </row>
    <row r="225" spans="3:15" s="69" customFormat="1">
      <c r="C225" s="217" t="s">
        <v>140</v>
      </c>
      <c r="E225" s="417"/>
      <c r="F225" s="417"/>
      <c r="G225" s="417"/>
      <c r="H225" s="417"/>
      <c r="I225" s="417"/>
      <c r="J225" s="417"/>
      <c r="K225" s="417"/>
      <c r="L225" s="417"/>
      <c r="M225" s="417"/>
      <c r="N225" s="417"/>
    </row>
    <row r="226" spans="3:15" s="410" customFormat="1">
      <c r="D226" s="410" t="s">
        <v>1544</v>
      </c>
      <c r="E226" s="418">
        <v>47751016.926157117</v>
      </c>
      <c r="F226" s="418">
        <v>47751016.926157117</v>
      </c>
      <c r="G226" s="418">
        <v>47751016.926157117</v>
      </c>
      <c r="H226" s="418">
        <v>47751016.926157117</v>
      </c>
      <c r="I226" s="418">
        <v>47751016.926157117</v>
      </c>
      <c r="J226" s="418">
        <v>47751016.926157117</v>
      </c>
      <c r="K226" s="418">
        <v>47751016.926157117</v>
      </c>
      <c r="L226" s="418">
        <v>47751016.926157117</v>
      </c>
      <c r="M226" s="418">
        <v>47751016.926157117</v>
      </c>
      <c r="N226" s="418">
        <v>47751016.926157117</v>
      </c>
      <c r="O226" s="410" t="s">
        <v>3467</v>
      </c>
    </row>
    <row r="227" spans="3:15" s="410" customFormat="1">
      <c r="D227" s="410" t="s">
        <v>1565</v>
      </c>
      <c r="E227" s="418">
        <v>51348833.619274132</v>
      </c>
      <c r="F227" s="418">
        <v>51348833.619274132</v>
      </c>
      <c r="G227" s="418">
        <v>51348833.619274132</v>
      </c>
      <c r="H227" s="418">
        <v>51348833.619274132</v>
      </c>
      <c r="I227" s="418">
        <v>51348833.619274132</v>
      </c>
      <c r="J227" s="418">
        <v>51348833.619274132</v>
      </c>
      <c r="K227" s="418">
        <v>51348833.619274132</v>
      </c>
      <c r="L227" s="418">
        <v>51348833.619274132</v>
      </c>
      <c r="M227" s="418">
        <v>51348833.619274132</v>
      </c>
      <c r="N227" s="418">
        <v>51348833.619274132</v>
      </c>
      <c r="O227" s="410" t="s">
        <v>3468</v>
      </c>
    </row>
    <row r="228" spans="3:15" s="410" customFormat="1">
      <c r="D228" s="410" t="s">
        <v>1586</v>
      </c>
      <c r="E228" s="418">
        <v>56908390.58385019</v>
      </c>
      <c r="F228" s="418">
        <v>56908390.58385019</v>
      </c>
      <c r="G228" s="418">
        <v>56908390.58385019</v>
      </c>
      <c r="H228" s="418">
        <v>56908390.58385019</v>
      </c>
      <c r="I228" s="418">
        <v>56908390.58385019</v>
      </c>
      <c r="J228" s="418">
        <v>56908390.58385019</v>
      </c>
      <c r="K228" s="418">
        <v>56908390.58385019</v>
      </c>
      <c r="L228" s="418">
        <v>56908390.58385019</v>
      </c>
      <c r="M228" s="418">
        <v>56908390.58385019</v>
      </c>
      <c r="N228" s="418">
        <v>56908390.58385019</v>
      </c>
      <c r="O228" s="410" t="s">
        <v>3469</v>
      </c>
    </row>
    <row r="229" spans="3:15" s="410" customFormat="1">
      <c r="D229" s="410" t="s">
        <v>1607</v>
      </c>
      <c r="E229" s="418">
        <v>65083231.854531035</v>
      </c>
      <c r="F229" s="418">
        <v>65083231.854531035</v>
      </c>
      <c r="G229" s="418">
        <v>65083231.854531035</v>
      </c>
      <c r="H229" s="418">
        <v>65083231.854531035</v>
      </c>
      <c r="I229" s="418">
        <v>65083231.854531035</v>
      </c>
      <c r="J229" s="418">
        <v>65083231.854531035</v>
      </c>
      <c r="K229" s="418">
        <v>65083231.854531035</v>
      </c>
      <c r="L229" s="418">
        <v>65083231.854531035</v>
      </c>
      <c r="M229" s="418">
        <v>65083231.854531035</v>
      </c>
      <c r="N229" s="418">
        <v>65083231.854531035</v>
      </c>
      <c r="O229" s="410" t="s">
        <v>3470</v>
      </c>
    </row>
    <row r="230" spans="3:15">
      <c r="D230" s="217" t="s">
        <v>492</v>
      </c>
      <c r="E230" s="419">
        <v>221091472.98381251</v>
      </c>
      <c r="F230" s="419">
        <v>221091472.98381251</v>
      </c>
      <c r="G230" s="419">
        <v>221091472.98381251</v>
      </c>
      <c r="H230" s="419">
        <v>221091472.98381251</v>
      </c>
      <c r="I230" s="419">
        <v>221091472.98381251</v>
      </c>
      <c r="J230" s="419">
        <v>221091472.98381251</v>
      </c>
      <c r="K230" s="419">
        <v>221091472.98381251</v>
      </c>
      <c r="L230" s="419">
        <v>221091472.98381251</v>
      </c>
      <c r="M230" s="419">
        <v>221091472.98381251</v>
      </c>
      <c r="N230" s="419">
        <v>221091472.98381251</v>
      </c>
      <c r="O230" s="410" t="s">
        <v>3471</v>
      </c>
    </row>
    <row r="231" spans="3:15">
      <c r="D231" s="217"/>
      <c r="E231" s="419"/>
      <c r="F231" s="777"/>
      <c r="G231" s="419"/>
      <c r="H231" s="419"/>
      <c r="I231" s="419"/>
      <c r="J231" s="419"/>
      <c r="K231" s="419"/>
      <c r="L231" s="419"/>
      <c r="M231" s="419"/>
      <c r="N231" s="419"/>
      <c r="O231" s="410"/>
    </row>
    <row r="232" spans="3:15">
      <c r="C232" s="65" t="s">
        <v>434</v>
      </c>
      <c r="E232" s="419"/>
      <c r="F232" s="419"/>
      <c r="G232" s="419"/>
      <c r="H232" s="419"/>
      <c r="I232" s="419"/>
      <c r="J232" s="419"/>
      <c r="K232" s="419"/>
      <c r="L232" s="419"/>
      <c r="M232" s="419"/>
      <c r="N232" s="419"/>
    </row>
    <row r="233" spans="3:15">
      <c r="D233" s="410" t="s">
        <v>1546</v>
      </c>
      <c r="E233" s="419">
        <v>9550203.3852314241</v>
      </c>
      <c r="F233" s="419">
        <v>9550203.3852314241</v>
      </c>
      <c r="G233" s="419">
        <v>9550203.3852314241</v>
      </c>
      <c r="H233" s="419">
        <v>9550203.3852314241</v>
      </c>
      <c r="I233" s="419">
        <v>9550203.3852314241</v>
      </c>
      <c r="J233" s="419">
        <v>9550203.3852314241</v>
      </c>
      <c r="K233" s="419">
        <v>9550203.3852314241</v>
      </c>
      <c r="L233" s="419">
        <v>9550203.3852314241</v>
      </c>
      <c r="M233" s="419">
        <v>9550203.3852314241</v>
      </c>
      <c r="N233" s="419">
        <v>9550203.3852314241</v>
      </c>
      <c r="O233" s="410" t="s">
        <v>3472</v>
      </c>
    </row>
    <row r="234" spans="3:15">
      <c r="D234" s="410" t="s">
        <v>1567</v>
      </c>
      <c r="E234" s="419">
        <v>10269766.723854827</v>
      </c>
      <c r="F234" s="419">
        <v>10269766.723854827</v>
      </c>
      <c r="G234" s="419">
        <v>10269766.723854827</v>
      </c>
      <c r="H234" s="419">
        <v>10269766.723854827</v>
      </c>
      <c r="I234" s="419">
        <v>10269766.723854827</v>
      </c>
      <c r="J234" s="419">
        <v>10269766.723854827</v>
      </c>
      <c r="K234" s="419">
        <v>10269766.723854827</v>
      </c>
      <c r="L234" s="419">
        <v>10269766.723854827</v>
      </c>
      <c r="M234" s="419">
        <v>10269766.723854827</v>
      </c>
      <c r="N234" s="419">
        <v>10269766.723854827</v>
      </c>
      <c r="O234" s="410" t="s">
        <v>3473</v>
      </c>
    </row>
    <row r="235" spans="3:15">
      <c r="D235" s="410" t="s">
        <v>1588</v>
      </c>
      <c r="E235" s="419">
        <v>11381678.116770038</v>
      </c>
      <c r="F235" s="419">
        <v>11381678.116770038</v>
      </c>
      <c r="G235" s="419">
        <v>11381678.116770038</v>
      </c>
      <c r="H235" s="419">
        <v>11381678.116770038</v>
      </c>
      <c r="I235" s="419">
        <v>11381678.116770038</v>
      </c>
      <c r="J235" s="419">
        <v>11381678.116770038</v>
      </c>
      <c r="K235" s="419">
        <v>11381678.116770038</v>
      </c>
      <c r="L235" s="419">
        <v>11381678.116770038</v>
      </c>
      <c r="M235" s="419">
        <v>11381678.116770038</v>
      </c>
      <c r="N235" s="419">
        <v>11381678.116770038</v>
      </c>
      <c r="O235" s="410" t="s">
        <v>3474</v>
      </c>
    </row>
    <row r="236" spans="3:15">
      <c r="D236" s="410" t="s">
        <v>1609</v>
      </c>
      <c r="E236" s="419">
        <v>13016646.370906208</v>
      </c>
      <c r="F236" s="419">
        <v>13016646.370906208</v>
      </c>
      <c r="G236" s="419">
        <v>13016646.370906208</v>
      </c>
      <c r="H236" s="419">
        <v>13016646.370906208</v>
      </c>
      <c r="I236" s="419">
        <v>13016646.370906208</v>
      </c>
      <c r="J236" s="419">
        <v>13016646.370906208</v>
      </c>
      <c r="K236" s="419">
        <v>13016646.370906208</v>
      </c>
      <c r="L236" s="419">
        <v>13016646.370906208</v>
      </c>
      <c r="M236" s="419">
        <v>13016646.370906208</v>
      </c>
      <c r="N236" s="419">
        <v>13016646.370906208</v>
      </c>
      <c r="O236" s="410" t="s">
        <v>3475</v>
      </c>
    </row>
    <row r="237" spans="3:15" s="65" customFormat="1">
      <c r="D237" s="217" t="s">
        <v>930</v>
      </c>
      <c r="E237" s="420">
        <v>44218294.596762493</v>
      </c>
      <c r="F237" s="420">
        <v>44218294.596762493</v>
      </c>
      <c r="G237" s="420">
        <v>44218294.596762493</v>
      </c>
      <c r="H237" s="420">
        <v>44218294.596762493</v>
      </c>
      <c r="I237" s="420">
        <v>44218294.596762493</v>
      </c>
      <c r="J237" s="420">
        <v>44218294.596762493</v>
      </c>
      <c r="K237" s="420">
        <v>44218294.596762493</v>
      </c>
      <c r="L237" s="420">
        <v>44218294.596762493</v>
      </c>
      <c r="M237" s="420">
        <v>44218294.596762493</v>
      </c>
      <c r="N237" s="420">
        <v>44218294.596762493</v>
      </c>
      <c r="O237" s="217" t="s">
        <v>3476</v>
      </c>
    </row>
    <row r="238" spans="3:15">
      <c r="E238" s="419"/>
      <c r="F238" s="419"/>
      <c r="G238" s="419"/>
      <c r="H238" s="419"/>
      <c r="I238" s="419"/>
      <c r="J238" s="419"/>
      <c r="K238" s="419"/>
      <c r="L238" s="419"/>
      <c r="M238" s="419"/>
      <c r="N238" s="419"/>
    </row>
    <row r="239" spans="3:15">
      <c r="C239" t="s">
        <v>237</v>
      </c>
      <c r="E239" s="420">
        <v>176873178.38705003</v>
      </c>
      <c r="F239" s="420">
        <v>176873178.38705003</v>
      </c>
      <c r="G239" s="420">
        <v>176873178.38705003</v>
      </c>
      <c r="H239" s="420">
        <v>176873178.38705003</v>
      </c>
      <c r="I239" s="420">
        <v>176873178.38705003</v>
      </c>
      <c r="J239" s="420">
        <v>176873178.38705003</v>
      </c>
      <c r="K239" s="420">
        <v>176873178.38705003</v>
      </c>
      <c r="L239" s="420">
        <v>176873178.38705003</v>
      </c>
      <c r="M239" s="420">
        <v>176873178.38705003</v>
      </c>
      <c r="N239" s="420">
        <v>176873178.38705003</v>
      </c>
      <c r="O239" s="410" t="s">
        <v>3477</v>
      </c>
    </row>
    <row r="240" spans="3:15" s="295" customFormat="1">
      <c r="D240" s="421" t="s">
        <v>967</v>
      </c>
      <c r="E240" s="422">
        <v>0.8</v>
      </c>
      <c r="F240" s="422">
        <v>0.8</v>
      </c>
      <c r="G240" s="422">
        <v>0.8</v>
      </c>
      <c r="H240" s="422">
        <v>0.8</v>
      </c>
      <c r="I240" s="422">
        <v>0.8</v>
      </c>
      <c r="J240" s="422">
        <v>0.8</v>
      </c>
      <c r="K240" s="422">
        <v>0.8</v>
      </c>
      <c r="L240" s="422">
        <v>0.8</v>
      </c>
      <c r="M240" s="422">
        <v>0.8</v>
      </c>
      <c r="N240" s="422">
        <v>0.8</v>
      </c>
      <c r="O240" s="423" t="s">
        <v>3478</v>
      </c>
    </row>
    <row r="241" spans="1:15" s="295" customFormat="1">
      <c r="D241" s="421"/>
      <c r="E241" s="422"/>
      <c r="F241" s="422"/>
      <c r="G241" s="422"/>
      <c r="H241" s="422"/>
      <c r="I241" s="422"/>
      <c r="J241" s="422"/>
      <c r="K241" s="422"/>
      <c r="L241" s="422"/>
      <c r="M241" s="422"/>
      <c r="N241" s="422"/>
      <c r="O241" s="423"/>
    </row>
    <row r="242" spans="1:15">
      <c r="A242" s="65" t="s">
        <v>422</v>
      </c>
      <c r="E242" s="419"/>
      <c r="F242" s="419"/>
      <c r="G242" s="419"/>
      <c r="H242" s="419"/>
      <c r="I242" s="419"/>
      <c r="J242" s="419"/>
      <c r="K242" s="419"/>
      <c r="L242" s="419"/>
      <c r="M242" s="419"/>
      <c r="N242" s="419"/>
    </row>
    <row r="243" spans="1:15">
      <c r="C243" t="s">
        <v>936</v>
      </c>
      <c r="E243" s="419"/>
      <c r="F243" s="419"/>
      <c r="G243" s="419"/>
      <c r="H243" s="419"/>
      <c r="I243" s="419"/>
      <c r="J243" s="419"/>
      <c r="K243" s="419"/>
      <c r="L243" s="419"/>
      <c r="M243" s="419"/>
      <c r="N243" s="419"/>
    </row>
    <row r="244" spans="1:15">
      <c r="D244" t="s">
        <v>1548</v>
      </c>
      <c r="E244" s="419">
        <v>21249202.532139916</v>
      </c>
      <c r="F244" s="419">
        <v>21249202.532139916</v>
      </c>
      <c r="G244" s="419">
        <v>21249202.532139916</v>
      </c>
      <c r="H244" s="419">
        <v>21249202.532139916</v>
      </c>
      <c r="I244" s="419">
        <v>21249202.532139916</v>
      </c>
      <c r="J244" s="419">
        <v>21249202.532139916</v>
      </c>
      <c r="K244" s="419">
        <v>21249202.532139916</v>
      </c>
      <c r="L244" s="419">
        <v>21249202.532139916</v>
      </c>
      <c r="M244" s="419">
        <v>21249202.532139916</v>
      </c>
      <c r="N244" s="419">
        <v>21249202.532139916</v>
      </c>
      <c r="O244" t="s">
        <v>3479</v>
      </c>
    </row>
    <row r="245" spans="1:15">
      <c r="D245" t="s">
        <v>1569</v>
      </c>
      <c r="E245" s="419">
        <v>22850230.960576989</v>
      </c>
      <c r="F245" s="419">
        <v>22850230.960576989</v>
      </c>
      <c r="G245" s="419">
        <v>22850230.960576989</v>
      </c>
      <c r="H245" s="419">
        <v>22850230.960576989</v>
      </c>
      <c r="I245" s="419">
        <v>22850230.960576989</v>
      </c>
      <c r="J245" s="419">
        <v>22850230.960576989</v>
      </c>
      <c r="K245" s="419">
        <v>22850230.960576989</v>
      </c>
      <c r="L245" s="419">
        <v>22850230.960576989</v>
      </c>
      <c r="M245" s="419">
        <v>22850230.960576989</v>
      </c>
      <c r="N245" s="419">
        <v>22850230.960576989</v>
      </c>
      <c r="O245" t="s">
        <v>3480</v>
      </c>
    </row>
    <row r="246" spans="1:15">
      <c r="D246" t="s">
        <v>1590</v>
      </c>
      <c r="E246" s="419">
        <v>25324233.809813336</v>
      </c>
      <c r="F246" s="419">
        <v>25324233.809813336</v>
      </c>
      <c r="G246" s="419">
        <v>25324233.809813336</v>
      </c>
      <c r="H246" s="419">
        <v>25324233.809813336</v>
      </c>
      <c r="I246" s="419">
        <v>25324233.809813336</v>
      </c>
      <c r="J246" s="419">
        <v>25324233.809813336</v>
      </c>
      <c r="K246" s="419">
        <v>25324233.809813336</v>
      </c>
      <c r="L246" s="419">
        <v>25324233.809813336</v>
      </c>
      <c r="M246" s="419">
        <v>25324233.809813336</v>
      </c>
      <c r="N246" s="419">
        <v>25324233.809813336</v>
      </c>
      <c r="O246" t="s">
        <v>3481</v>
      </c>
    </row>
    <row r="247" spans="1:15">
      <c r="D247" t="s">
        <v>1611</v>
      </c>
      <c r="E247" s="419">
        <v>28962038.175266311</v>
      </c>
      <c r="F247" s="419">
        <v>28962038.175266311</v>
      </c>
      <c r="G247" s="419">
        <v>28962038.175266311</v>
      </c>
      <c r="H247" s="419">
        <v>28962038.175266311</v>
      </c>
      <c r="I247" s="419">
        <v>28962038.175266311</v>
      </c>
      <c r="J247" s="419">
        <v>28962038.175266311</v>
      </c>
      <c r="K247" s="419">
        <v>28962038.175266311</v>
      </c>
      <c r="L247" s="419">
        <v>28962038.175266311</v>
      </c>
      <c r="M247" s="419">
        <v>28962038.175266311</v>
      </c>
      <c r="N247" s="419">
        <v>28962038.175266311</v>
      </c>
      <c r="O247" t="s">
        <v>3482</v>
      </c>
    </row>
    <row r="248" spans="1:15" s="65" customFormat="1">
      <c r="D248" s="65" t="s">
        <v>949</v>
      </c>
      <c r="E248" s="420">
        <v>98385705.477796555</v>
      </c>
      <c r="F248" s="420">
        <v>98385705.477796555</v>
      </c>
      <c r="G248" s="420">
        <v>98385705.477796555</v>
      </c>
      <c r="H248" s="420">
        <v>98385705.477796555</v>
      </c>
      <c r="I248" s="420">
        <v>98385705.477796555</v>
      </c>
      <c r="J248" s="420">
        <v>98385705.477796555</v>
      </c>
      <c r="K248" s="420">
        <v>98385705.477796555</v>
      </c>
      <c r="L248" s="420">
        <v>98385705.477796555</v>
      </c>
      <c r="M248" s="420">
        <v>98385705.477796555</v>
      </c>
      <c r="N248" s="420">
        <v>98385705.477796555</v>
      </c>
      <c r="O248" s="65" t="s">
        <v>3483</v>
      </c>
    </row>
    <row r="249" spans="1:15">
      <c r="C249" t="s">
        <v>424</v>
      </c>
      <c r="E249" s="419"/>
      <c r="F249" s="419"/>
      <c r="G249" s="419"/>
      <c r="H249" s="419"/>
      <c r="I249" s="419"/>
      <c r="J249" s="419"/>
      <c r="K249" s="419"/>
      <c r="L249" s="419"/>
      <c r="M249" s="419"/>
      <c r="N249" s="419"/>
    </row>
    <row r="250" spans="1:15">
      <c r="D250" t="s">
        <v>1550</v>
      </c>
      <c r="E250" s="419">
        <v>15901088.63641032</v>
      </c>
      <c r="F250" s="419">
        <v>15901088.63641032</v>
      </c>
      <c r="G250" s="419">
        <v>15901088.63641032</v>
      </c>
      <c r="H250" s="419">
        <v>15901088.63641032</v>
      </c>
      <c r="I250" s="419">
        <v>15901088.63641032</v>
      </c>
      <c r="J250" s="419">
        <v>15901088.63641032</v>
      </c>
      <c r="K250" s="419">
        <v>15901088.63641032</v>
      </c>
      <c r="L250" s="419">
        <v>15901088.63641032</v>
      </c>
      <c r="M250" s="419">
        <v>15901088.63641032</v>
      </c>
      <c r="N250" s="419">
        <v>15901088.63641032</v>
      </c>
      <c r="O250" t="s">
        <v>3484</v>
      </c>
    </row>
    <row r="251" spans="1:15">
      <c r="D251" t="s">
        <v>1571</v>
      </c>
      <c r="E251" s="419">
        <v>17099161.595218286</v>
      </c>
      <c r="F251" s="419">
        <v>17099161.595218286</v>
      </c>
      <c r="G251" s="419">
        <v>17099161.595218286</v>
      </c>
      <c r="H251" s="419">
        <v>17099161.595218286</v>
      </c>
      <c r="I251" s="419">
        <v>17099161.595218286</v>
      </c>
      <c r="J251" s="419">
        <v>17099161.595218286</v>
      </c>
      <c r="K251" s="419">
        <v>17099161.595218286</v>
      </c>
      <c r="L251" s="419">
        <v>17099161.595218286</v>
      </c>
      <c r="M251" s="419">
        <v>17099161.595218286</v>
      </c>
      <c r="N251" s="419">
        <v>17099161.595218286</v>
      </c>
      <c r="O251" t="s">
        <v>3485</v>
      </c>
    </row>
    <row r="252" spans="1:15">
      <c r="D252" t="s">
        <v>1592</v>
      </c>
      <c r="E252" s="419">
        <v>18950494.064422116</v>
      </c>
      <c r="F252" s="419">
        <v>18950494.064422116</v>
      </c>
      <c r="G252" s="419">
        <v>18950494.064422116</v>
      </c>
      <c r="H252" s="419">
        <v>18950494.064422116</v>
      </c>
      <c r="I252" s="419">
        <v>18950494.064422116</v>
      </c>
      <c r="J252" s="419">
        <v>18950494.064422116</v>
      </c>
      <c r="K252" s="419">
        <v>18950494.064422116</v>
      </c>
      <c r="L252" s="419">
        <v>18950494.064422116</v>
      </c>
      <c r="M252" s="419">
        <v>18950494.064422116</v>
      </c>
      <c r="N252" s="419">
        <v>18950494.064422116</v>
      </c>
      <c r="O252" t="s">
        <v>3486</v>
      </c>
    </row>
    <row r="253" spans="1:15">
      <c r="D253" t="s">
        <v>1613</v>
      </c>
      <c r="E253" s="419">
        <v>21672716.207558837</v>
      </c>
      <c r="F253" s="419">
        <v>21672716.207558837</v>
      </c>
      <c r="G253" s="419">
        <v>21672716.207558837</v>
      </c>
      <c r="H253" s="419">
        <v>21672716.207558837</v>
      </c>
      <c r="I253" s="419">
        <v>21672716.207558837</v>
      </c>
      <c r="J253" s="419">
        <v>21672716.207558837</v>
      </c>
      <c r="K253" s="419">
        <v>21672716.207558837</v>
      </c>
      <c r="L253" s="419">
        <v>21672716.207558837</v>
      </c>
      <c r="M253" s="419">
        <v>21672716.207558837</v>
      </c>
      <c r="N253" s="419">
        <v>21672716.207558837</v>
      </c>
      <c r="O253" t="s">
        <v>3487</v>
      </c>
    </row>
    <row r="254" spans="1:15" s="65" customFormat="1">
      <c r="D254" s="65" t="s">
        <v>1109</v>
      </c>
      <c r="E254" s="420">
        <v>73623460.503609553</v>
      </c>
      <c r="F254" s="420">
        <v>73623460.503609553</v>
      </c>
      <c r="G254" s="420">
        <v>73623460.503609553</v>
      </c>
      <c r="H254" s="420">
        <v>73623460.503609553</v>
      </c>
      <c r="I254" s="420">
        <v>73623460.503609553</v>
      </c>
      <c r="J254" s="420">
        <v>73623460.503609553</v>
      </c>
      <c r="K254" s="420">
        <v>73623460.503609553</v>
      </c>
      <c r="L254" s="420">
        <v>73623460.503609553</v>
      </c>
      <c r="M254" s="420">
        <v>73623460.503609553</v>
      </c>
      <c r="N254" s="420">
        <v>73623460.503609553</v>
      </c>
      <c r="O254" s="65" t="s">
        <v>3488</v>
      </c>
    </row>
    <row r="255" spans="1:15">
      <c r="C255" t="s">
        <v>403</v>
      </c>
      <c r="E255" s="419"/>
      <c r="F255" s="419"/>
      <c r="G255" s="419"/>
      <c r="H255" s="419"/>
      <c r="I255" s="419"/>
      <c r="J255" s="419"/>
      <c r="K255" s="419"/>
      <c r="L255" s="419"/>
      <c r="M255" s="419"/>
      <c r="N255" s="419"/>
    </row>
    <row r="256" spans="1:15">
      <c r="D256" t="s">
        <v>1552</v>
      </c>
      <c r="E256" s="419">
        <v>10123215.588345308</v>
      </c>
      <c r="F256" s="419">
        <v>10123215.588345308</v>
      </c>
      <c r="G256" s="419">
        <v>10123215.588345308</v>
      </c>
      <c r="H256" s="419">
        <v>10123215.588345308</v>
      </c>
      <c r="I256" s="419">
        <v>10123215.588345308</v>
      </c>
      <c r="J256" s="419">
        <v>10123215.588345308</v>
      </c>
      <c r="K256" s="419">
        <v>10123215.588345308</v>
      </c>
      <c r="L256" s="419">
        <v>10123215.588345308</v>
      </c>
      <c r="M256" s="419">
        <v>10123215.588345308</v>
      </c>
      <c r="N256" s="419">
        <v>10123215.588345308</v>
      </c>
      <c r="O256" t="s">
        <v>3489</v>
      </c>
    </row>
    <row r="257" spans="1:15">
      <c r="D257" t="s">
        <v>1573</v>
      </c>
      <c r="E257" s="419">
        <v>10885952.727286115</v>
      </c>
      <c r="F257" s="419">
        <v>10885952.727286115</v>
      </c>
      <c r="G257" s="419">
        <v>10885952.727286115</v>
      </c>
      <c r="H257" s="419">
        <v>10885952.727286115</v>
      </c>
      <c r="I257" s="419">
        <v>10885952.727286115</v>
      </c>
      <c r="J257" s="419">
        <v>10885952.727286115</v>
      </c>
      <c r="K257" s="419">
        <v>10885952.727286115</v>
      </c>
      <c r="L257" s="419">
        <v>10885952.727286115</v>
      </c>
      <c r="M257" s="419">
        <v>10885952.727286115</v>
      </c>
      <c r="N257" s="419">
        <v>10885952.727286115</v>
      </c>
      <c r="O257" t="s">
        <v>3490</v>
      </c>
    </row>
    <row r="258" spans="1:15">
      <c r="D258" t="s">
        <v>1594</v>
      </c>
      <c r="E258" s="419">
        <v>12064578.80377624</v>
      </c>
      <c r="F258" s="419">
        <v>12064578.80377624</v>
      </c>
      <c r="G258" s="419">
        <v>12064578.80377624</v>
      </c>
      <c r="H258" s="419">
        <v>12064578.80377624</v>
      </c>
      <c r="I258" s="419">
        <v>12064578.80377624</v>
      </c>
      <c r="J258" s="419">
        <v>12064578.80377624</v>
      </c>
      <c r="K258" s="419">
        <v>12064578.80377624</v>
      </c>
      <c r="L258" s="419">
        <v>12064578.80377624</v>
      </c>
      <c r="M258" s="419">
        <v>12064578.80377624</v>
      </c>
      <c r="N258" s="419">
        <v>12064578.80377624</v>
      </c>
      <c r="O258" t="s">
        <v>3491</v>
      </c>
    </row>
    <row r="259" spans="1:15">
      <c r="D259" t="s">
        <v>1615</v>
      </c>
      <c r="E259" s="419">
        <v>13797645.15316058</v>
      </c>
      <c r="F259" s="419">
        <v>13797645.15316058</v>
      </c>
      <c r="G259" s="419">
        <v>13797645.15316058</v>
      </c>
      <c r="H259" s="419">
        <v>13797645.15316058</v>
      </c>
      <c r="I259" s="419">
        <v>13797645.15316058</v>
      </c>
      <c r="J259" s="419">
        <v>13797645.15316058</v>
      </c>
      <c r="K259" s="419">
        <v>13797645.15316058</v>
      </c>
      <c r="L259" s="419">
        <v>13797645.15316058</v>
      </c>
      <c r="M259" s="419">
        <v>13797645.15316058</v>
      </c>
      <c r="N259" s="419">
        <v>13797645.15316058</v>
      </c>
      <c r="O259" t="s">
        <v>3492</v>
      </c>
    </row>
    <row r="260" spans="1:15" s="65" customFormat="1">
      <c r="D260" s="65" t="s">
        <v>1104</v>
      </c>
      <c r="E260" s="420">
        <v>46871392.272568241</v>
      </c>
      <c r="F260" s="420">
        <v>46871392.272568241</v>
      </c>
      <c r="G260" s="420">
        <v>46871392.272568241</v>
      </c>
      <c r="H260" s="420">
        <v>46871392.272568241</v>
      </c>
      <c r="I260" s="420">
        <v>46871392.272568241</v>
      </c>
      <c r="J260" s="420">
        <v>46871392.272568241</v>
      </c>
      <c r="K260" s="420">
        <v>46871392.272568241</v>
      </c>
      <c r="L260" s="420">
        <v>46871392.272568241</v>
      </c>
      <c r="M260" s="420">
        <v>46871392.272568241</v>
      </c>
      <c r="N260" s="420">
        <v>46871392.272568241</v>
      </c>
      <c r="O260" s="65" t="s">
        <v>3493</v>
      </c>
    </row>
    <row r="261" spans="1:15">
      <c r="E261" s="419"/>
      <c r="F261" s="419"/>
      <c r="G261" s="419"/>
      <c r="H261" s="419"/>
      <c r="I261" s="419"/>
      <c r="J261" s="419"/>
      <c r="K261" s="419"/>
      <c r="L261" s="419"/>
      <c r="M261" s="419"/>
      <c r="N261" s="419"/>
    </row>
    <row r="262" spans="1:15">
      <c r="D262" t="s">
        <v>426</v>
      </c>
      <c r="E262" s="419">
        <v>-42007379.866924316</v>
      </c>
      <c r="F262" s="419">
        <v>-42007379.866924316</v>
      </c>
      <c r="G262" s="419">
        <v>-42007379.866924316</v>
      </c>
      <c r="H262" s="419">
        <v>-42007379.866924316</v>
      </c>
      <c r="I262" s="419">
        <v>-42007379.866924316</v>
      </c>
      <c r="J262" s="419">
        <v>-42007379.866924316</v>
      </c>
      <c r="K262" s="419">
        <v>-42007379.866924316</v>
      </c>
      <c r="L262" s="419">
        <v>-42007379.866924316</v>
      </c>
      <c r="M262" s="419">
        <v>-42007379.866924316</v>
      </c>
      <c r="N262" s="419">
        <v>-42007379.866924316</v>
      </c>
      <c r="O262" t="s">
        <v>3494</v>
      </c>
    </row>
    <row r="263" spans="1:15" s="295" customFormat="1">
      <c r="D263" s="421" t="s">
        <v>967</v>
      </c>
      <c r="E263" s="422">
        <v>-0.18999999999999972</v>
      </c>
      <c r="F263" s="422">
        <v>-0.18999999999999972</v>
      </c>
      <c r="G263" s="422">
        <v>-0.18999999999999972</v>
      </c>
      <c r="H263" s="422">
        <v>-0.18999999999999972</v>
      </c>
      <c r="I263" s="422">
        <v>-0.18999999999999972</v>
      </c>
      <c r="J263" s="422">
        <v>-0.18999999999999972</v>
      </c>
      <c r="K263" s="422">
        <v>-0.18999999999999972</v>
      </c>
      <c r="L263" s="422">
        <v>-0.18999999999999972</v>
      </c>
      <c r="M263" s="422">
        <v>-0.18999999999999972</v>
      </c>
      <c r="N263" s="422">
        <v>-0.18999999999999972</v>
      </c>
      <c r="O263" s="295" t="s">
        <v>3495</v>
      </c>
    </row>
    <row r="264" spans="1:15">
      <c r="E264" s="419"/>
      <c r="F264" s="419"/>
      <c r="G264" s="419"/>
      <c r="H264" s="419"/>
      <c r="I264" s="419"/>
      <c r="J264" s="419"/>
      <c r="K264" s="419"/>
      <c r="L264" s="419"/>
      <c r="M264" s="419"/>
      <c r="N264" s="419"/>
    </row>
    <row r="265" spans="1:15">
      <c r="A265" t="s">
        <v>466</v>
      </c>
      <c r="E265" s="419"/>
      <c r="F265" s="419"/>
      <c r="G265" s="419"/>
      <c r="H265" s="419"/>
      <c r="I265" s="419"/>
      <c r="J265" s="419"/>
      <c r="K265" s="419"/>
      <c r="L265" s="419"/>
      <c r="M265" s="419"/>
      <c r="N265" s="419"/>
    </row>
    <row r="266" spans="1:15">
      <c r="C266" t="s">
        <v>467</v>
      </c>
      <c r="E266" s="419"/>
      <c r="F266" s="419"/>
      <c r="G266" s="419"/>
      <c r="H266" s="419"/>
      <c r="I266" s="419"/>
      <c r="J266" s="419"/>
      <c r="K266" s="419"/>
      <c r="L266" s="419"/>
      <c r="M266" s="419"/>
      <c r="N266" s="419"/>
    </row>
    <row r="267" spans="1:15">
      <c r="D267" t="s">
        <v>1403</v>
      </c>
      <c r="E267" s="419">
        <v>0</v>
      </c>
      <c r="F267" s="419">
        <v>0</v>
      </c>
      <c r="G267" s="419">
        <v>0</v>
      </c>
      <c r="H267" s="419">
        <v>0</v>
      </c>
      <c r="I267" s="419">
        <v>0</v>
      </c>
      <c r="J267" s="419">
        <v>0</v>
      </c>
      <c r="K267" s="419">
        <v>0</v>
      </c>
      <c r="L267" s="419">
        <v>0</v>
      </c>
      <c r="M267" s="419">
        <v>0</v>
      </c>
      <c r="N267" s="419">
        <v>0</v>
      </c>
      <c r="O267" t="s">
        <v>3496</v>
      </c>
    </row>
    <row r="268" spans="1:15">
      <c r="D268" t="s">
        <v>1437</v>
      </c>
      <c r="E268" s="419">
        <v>0</v>
      </c>
      <c r="F268" s="419">
        <v>0</v>
      </c>
      <c r="G268" s="419">
        <v>0</v>
      </c>
      <c r="H268" s="419">
        <v>0</v>
      </c>
      <c r="I268" s="419">
        <v>0</v>
      </c>
      <c r="J268" s="419">
        <v>0</v>
      </c>
      <c r="K268" s="419">
        <v>0</v>
      </c>
      <c r="L268" s="419">
        <v>0</v>
      </c>
      <c r="M268" s="419">
        <v>0</v>
      </c>
      <c r="N268" s="419">
        <v>0</v>
      </c>
      <c r="O268" t="s">
        <v>3497</v>
      </c>
    </row>
    <row r="269" spans="1:15">
      <c r="D269" t="s">
        <v>1471</v>
      </c>
      <c r="E269" s="419">
        <v>0</v>
      </c>
      <c r="F269" s="419">
        <v>0</v>
      </c>
      <c r="G269" s="419">
        <v>0</v>
      </c>
      <c r="H269" s="419">
        <v>0</v>
      </c>
      <c r="I269" s="419">
        <v>0</v>
      </c>
      <c r="J269" s="419">
        <v>0</v>
      </c>
      <c r="K269" s="419">
        <v>0</v>
      </c>
      <c r="L269" s="419">
        <v>0</v>
      </c>
      <c r="M269" s="419">
        <v>0</v>
      </c>
      <c r="N269" s="419">
        <v>0</v>
      </c>
      <c r="O269" t="s">
        <v>3498</v>
      </c>
    </row>
    <row r="270" spans="1:15">
      <c r="D270" t="s">
        <v>1505</v>
      </c>
      <c r="E270" s="419">
        <v>0</v>
      </c>
      <c r="F270" s="419">
        <v>0</v>
      </c>
      <c r="G270" s="419">
        <v>0</v>
      </c>
      <c r="H270" s="419">
        <v>0</v>
      </c>
      <c r="I270" s="419">
        <v>0</v>
      </c>
      <c r="J270" s="419">
        <v>0</v>
      </c>
      <c r="K270" s="419">
        <v>0</v>
      </c>
      <c r="L270" s="419">
        <v>0</v>
      </c>
      <c r="M270" s="419">
        <v>0</v>
      </c>
      <c r="N270" s="419">
        <v>0</v>
      </c>
      <c r="O270" t="s">
        <v>3499</v>
      </c>
    </row>
    <row r="271" spans="1:15" s="65" customFormat="1">
      <c r="D271" s="65" t="s">
        <v>1003</v>
      </c>
      <c r="E271" s="420">
        <v>0</v>
      </c>
      <c r="F271" s="420">
        <v>0</v>
      </c>
      <c r="G271" s="420">
        <v>0</v>
      </c>
      <c r="H271" s="420">
        <v>0</v>
      </c>
      <c r="I271" s="420">
        <v>0</v>
      </c>
      <c r="J271" s="420">
        <v>0</v>
      </c>
      <c r="K271" s="420">
        <v>0</v>
      </c>
      <c r="L271" s="420">
        <v>0</v>
      </c>
      <c r="M271" s="420">
        <v>0</v>
      </c>
      <c r="N271" s="420">
        <v>0</v>
      </c>
      <c r="O271" s="65" t="s">
        <v>3500</v>
      </c>
    </row>
    <row r="272" spans="1:15" s="65" customFormat="1">
      <c r="C272" s="65" t="s">
        <v>401</v>
      </c>
      <c r="E272" s="420"/>
      <c r="F272" s="420"/>
      <c r="G272" s="420"/>
      <c r="H272" s="420"/>
      <c r="I272" s="420"/>
      <c r="J272" s="420"/>
      <c r="K272" s="420"/>
      <c r="L272" s="420"/>
      <c r="M272" s="420"/>
      <c r="N272" s="420"/>
    </row>
    <row r="273" spans="3:15">
      <c r="D273" t="s">
        <v>1407</v>
      </c>
      <c r="E273" s="419">
        <v>0</v>
      </c>
      <c r="F273" s="419">
        <v>0</v>
      </c>
      <c r="G273" s="419">
        <v>0</v>
      </c>
      <c r="H273" s="419">
        <v>0</v>
      </c>
      <c r="I273" s="419">
        <v>0</v>
      </c>
      <c r="J273" s="419">
        <v>0</v>
      </c>
      <c r="K273" s="419">
        <v>0</v>
      </c>
      <c r="L273" s="419">
        <v>0</v>
      </c>
      <c r="M273" s="419">
        <v>0</v>
      </c>
      <c r="N273" s="419">
        <v>0</v>
      </c>
      <c r="O273" t="s">
        <v>3501</v>
      </c>
    </row>
    <row r="274" spans="3:15">
      <c r="D274" t="s">
        <v>1441</v>
      </c>
      <c r="E274" s="419">
        <v>0</v>
      </c>
      <c r="F274" s="419">
        <v>0</v>
      </c>
      <c r="G274" s="419">
        <v>0</v>
      </c>
      <c r="H274" s="419">
        <v>0</v>
      </c>
      <c r="I274" s="419">
        <v>0</v>
      </c>
      <c r="J274" s="419">
        <v>0</v>
      </c>
      <c r="K274" s="419">
        <v>0</v>
      </c>
      <c r="L274" s="419">
        <v>0</v>
      </c>
      <c r="M274" s="419">
        <v>0</v>
      </c>
      <c r="N274" s="419">
        <v>0</v>
      </c>
      <c r="O274" t="s">
        <v>3502</v>
      </c>
    </row>
    <row r="275" spans="3:15">
      <c r="D275" t="s">
        <v>1475</v>
      </c>
      <c r="E275" s="419">
        <v>0</v>
      </c>
      <c r="F275" s="419">
        <v>0</v>
      </c>
      <c r="G275" s="419">
        <v>0</v>
      </c>
      <c r="H275" s="419">
        <v>0</v>
      </c>
      <c r="I275" s="419">
        <v>0</v>
      </c>
      <c r="J275" s="419">
        <v>0</v>
      </c>
      <c r="K275" s="419">
        <v>0</v>
      </c>
      <c r="L275" s="419">
        <v>0</v>
      </c>
      <c r="M275" s="419">
        <v>0</v>
      </c>
      <c r="N275" s="419">
        <v>0</v>
      </c>
      <c r="O275" t="s">
        <v>3503</v>
      </c>
    </row>
    <row r="276" spans="3:15">
      <c r="D276" t="s">
        <v>1509</v>
      </c>
      <c r="E276" s="419">
        <v>0</v>
      </c>
      <c r="F276" s="419">
        <v>0</v>
      </c>
      <c r="G276" s="419">
        <v>0</v>
      </c>
      <c r="H276" s="419">
        <v>0</v>
      </c>
      <c r="I276" s="419">
        <v>0</v>
      </c>
      <c r="J276" s="419">
        <v>0</v>
      </c>
      <c r="K276" s="419">
        <v>0</v>
      </c>
      <c r="L276" s="419">
        <v>0</v>
      </c>
      <c r="M276" s="419">
        <v>0</v>
      </c>
      <c r="N276" s="419">
        <v>0</v>
      </c>
      <c r="O276" t="s">
        <v>3504</v>
      </c>
    </row>
    <row r="277" spans="3:15" s="65" customFormat="1">
      <c r="D277" s="65" t="s">
        <v>1022</v>
      </c>
      <c r="E277" s="420">
        <v>0</v>
      </c>
      <c r="F277" s="420">
        <v>0</v>
      </c>
      <c r="G277" s="420">
        <v>0</v>
      </c>
      <c r="H277" s="420">
        <v>0</v>
      </c>
      <c r="I277" s="420">
        <v>0</v>
      </c>
      <c r="J277" s="420">
        <v>0</v>
      </c>
      <c r="K277" s="420">
        <v>0</v>
      </c>
      <c r="L277" s="420">
        <v>0</v>
      </c>
      <c r="M277" s="420">
        <v>0</v>
      </c>
      <c r="N277" s="420">
        <v>0</v>
      </c>
      <c r="O277" s="65" t="s">
        <v>3505</v>
      </c>
    </row>
    <row r="278" spans="3:15">
      <c r="C278" t="s">
        <v>1332</v>
      </c>
      <c r="E278" s="419"/>
      <c r="F278" s="419"/>
      <c r="G278" s="419"/>
      <c r="H278" s="419"/>
      <c r="I278" s="419"/>
      <c r="J278" s="419"/>
      <c r="K278" s="419"/>
      <c r="L278" s="419"/>
      <c r="M278" s="419"/>
      <c r="N278" s="419"/>
    </row>
    <row r="279" spans="3:15">
      <c r="D279" t="s">
        <v>1556</v>
      </c>
      <c r="E279" s="419">
        <v>0</v>
      </c>
      <c r="F279" s="419">
        <v>0</v>
      </c>
      <c r="G279" s="419">
        <v>0</v>
      </c>
      <c r="H279" s="419">
        <v>0</v>
      </c>
      <c r="I279" s="419">
        <v>0</v>
      </c>
      <c r="J279" s="419">
        <v>0</v>
      </c>
      <c r="K279" s="419">
        <v>0</v>
      </c>
      <c r="L279" s="419">
        <v>0</v>
      </c>
      <c r="M279" s="419">
        <v>0</v>
      </c>
      <c r="N279" s="419">
        <v>0</v>
      </c>
      <c r="O279" t="s">
        <v>3506</v>
      </c>
    </row>
    <row r="280" spans="3:15">
      <c r="D280" t="s">
        <v>1577</v>
      </c>
      <c r="E280" s="419">
        <v>0</v>
      </c>
      <c r="F280" s="419">
        <v>0</v>
      </c>
      <c r="G280" s="419">
        <v>0</v>
      </c>
      <c r="H280" s="419">
        <v>0</v>
      </c>
      <c r="I280" s="419">
        <v>0</v>
      </c>
      <c r="J280" s="419">
        <v>0</v>
      </c>
      <c r="K280" s="419">
        <v>0</v>
      </c>
      <c r="L280" s="419">
        <v>0</v>
      </c>
      <c r="M280" s="419">
        <v>0</v>
      </c>
      <c r="N280" s="419">
        <v>0</v>
      </c>
      <c r="O280" t="s">
        <v>3507</v>
      </c>
    </row>
    <row r="281" spans="3:15">
      <c r="D281" t="s">
        <v>1598</v>
      </c>
      <c r="E281" s="419">
        <v>0</v>
      </c>
      <c r="F281" s="419">
        <v>0</v>
      </c>
      <c r="G281" s="419">
        <v>0</v>
      </c>
      <c r="H281" s="419">
        <v>0</v>
      </c>
      <c r="I281" s="419">
        <v>0</v>
      </c>
      <c r="J281" s="419">
        <v>0</v>
      </c>
      <c r="K281" s="419">
        <v>0</v>
      </c>
      <c r="L281" s="419">
        <v>0</v>
      </c>
      <c r="M281" s="419">
        <v>0</v>
      </c>
      <c r="N281" s="419">
        <v>0</v>
      </c>
      <c r="O281" t="s">
        <v>3508</v>
      </c>
    </row>
    <row r="282" spans="3:15">
      <c r="D282" t="s">
        <v>1619</v>
      </c>
      <c r="E282" s="419">
        <v>0</v>
      </c>
      <c r="F282" s="419">
        <v>0</v>
      </c>
      <c r="G282" s="419">
        <v>0</v>
      </c>
      <c r="H282" s="419">
        <v>0</v>
      </c>
      <c r="I282" s="419">
        <v>0</v>
      </c>
      <c r="J282" s="419">
        <v>0</v>
      </c>
      <c r="K282" s="419">
        <v>0</v>
      </c>
      <c r="L282" s="419">
        <v>0</v>
      </c>
      <c r="M282" s="419">
        <v>0</v>
      </c>
      <c r="N282" s="419">
        <v>0</v>
      </c>
      <c r="O282" t="s">
        <v>3509</v>
      </c>
    </row>
    <row r="283" spans="3:15" s="65" customFormat="1">
      <c r="D283" s="65" t="s">
        <v>1022</v>
      </c>
      <c r="E283" s="420">
        <v>0</v>
      </c>
      <c r="F283" s="420">
        <v>0</v>
      </c>
      <c r="G283" s="420">
        <v>0</v>
      </c>
      <c r="H283" s="420">
        <v>0</v>
      </c>
      <c r="I283" s="420">
        <v>0</v>
      </c>
      <c r="J283" s="420">
        <v>0</v>
      </c>
      <c r="K283" s="420">
        <v>0</v>
      </c>
      <c r="L283" s="420">
        <v>0</v>
      </c>
      <c r="M283" s="420">
        <v>0</v>
      </c>
      <c r="N283" s="420">
        <v>0</v>
      </c>
      <c r="O283" s="65" t="s">
        <v>3510</v>
      </c>
    </row>
    <row r="284" spans="3:15">
      <c r="C284" t="s">
        <v>1333</v>
      </c>
      <c r="E284" s="419"/>
      <c r="F284" s="419"/>
      <c r="G284" s="419"/>
      <c r="H284" s="419"/>
      <c r="I284" s="419"/>
      <c r="J284" s="419"/>
      <c r="K284" s="419"/>
      <c r="L284" s="419"/>
      <c r="M284" s="419"/>
      <c r="N284" s="419"/>
    </row>
    <row r="285" spans="3:15">
      <c r="D285" t="s">
        <v>1411</v>
      </c>
      <c r="E285" s="419"/>
      <c r="F285" s="419"/>
      <c r="G285" s="419"/>
      <c r="H285" s="419"/>
      <c r="I285" s="419"/>
      <c r="J285" s="419"/>
      <c r="K285" s="419"/>
      <c r="L285" s="419"/>
      <c r="M285" s="419"/>
      <c r="N285" s="419"/>
      <c r="O285" t="s">
        <v>3511</v>
      </c>
    </row>
    <row r="286" spans="3:15">
      <c r="D286" t="s">
        <v>1445</v>
      </c>
      <c r="E286" s="419"/>
      <c r="F286" s="419"/>
      <c r="G286" s="419"/>
      <c r="H286" s="419"/>
      <c r="I286" s="419"/>
      <c r="J286" s="419"/>
      <c r="K286" s="419"/>
      <c r="L286" s="419"/>
      <c r="M286" s="419"/>
      <c r="N286" s="419"/>
      <c r="O286" t="s">
        <v>3512</v>
      </c>
    </row>
    <row r="287" spans="3:15">
      <c r="D287" t="s">
        <v>1479</v>
      </c>
      <c r="E287" s="419"/>
      <c r="F287" s="419"/>
      <c r="G287" s="419"/>
      <c r="H287" s="419"/>
      <c r="I287" s="419"/>
      <c r="J287" s="419"/>
      <c r="K287" s="419"/>
      <c r="L287" s="419"/>
      <c r="M287" s="419"/>
      <c r="N287" s="419"/>
      <c r="O287" t="s">
        <v>3513</v>
      </c>
    </row>
    <row r="288" spans="3:15">
      <c r="D288" t="s">
        <v>1513</v>
      </c>
      <c r="E288" s="419"/>
      <c r="F288" s="419"/>
      <c r="G288" s="419"/>
      <c r="H288" s="419"/>
      <c r="I288" s="419"/>
      <c r="J288" s="419"/>
      <c r="K288" s="419"/>
      <c r="L288" s="419"/>
      <c r="M288" s="419"/>
      <c r="N288" s="419"/>
      <c r="O288" t="s">
        <v>3514</v>
      </c>
    </row>
    <row r="289" spans="3:15" s="65" customFormat="1">
      <c r="D289" s="65" t="s">
        <v>1366</v>
      </c>
      <c r="E289" s="420"/>
      <c r="F289" s="420"/>
      <c r="G289" s="420"/>
      <c r="H289" s="420"/>
      <c r="I289" s="420"/>
      <c r="J289" s="420"/>
      <c r="K289" s="420"/>
      <c r="L289" s="420"/>
      <c r="M289" s="420"/>
      <c r="N289" s="420"/>
      <c r="O289" s="65" t="s">
        <v>3515</v>
      </c>
    </row>
    <row r="290" spans="3:15" s="65" customFormat="1">
      <c r="C290" s="65" t="s">
        <v>1057</v>
      </c>
      <c r="E290" s="420"/>
      <c r="F290" s="420"/>
      <c r="G290" s="420"/>
      <c r="H290" s="420"/>
      <c r="I290" s="420"/>
      <c r="J290" s="420"/>
      <c r="K290" s="420"/>
      <c r="L290" s="420"/>
      <c r="M290" s="420"/>
      <c r="N290" s="420"/>
    </row>
    <row r="291" spans="3:15">
      <c r="D291" t="s">
        <v>1416</v>
      </c>
      <c r="E291" s="419">
        <v>0</v>
      </c>
      <c r="F291" s="419">
        <v>0</v>
      </c>
      <c r="G291" s="419">
        <v>0</v>
      </c>
      <c r="H291" s="419">
        <v>0</v>
      </c>
      <c r="I291" s="419">
        <v>0</v>
      </c>
      <c r="J291" s="419">
        <v>0</v>
      </c>
      <c r="K291" s="419">
        <v>0</v>
      </c>
      <c r="L291" s="419">
        <v>0</v>
      </c>
      <c r="M291" s="419">
        <v>0</v>
      </c>
      <c r="N291" s="419">
        <v>0</v>
      </c>
      <c r="O291" t="s">
        <v>3516</v>
      </c>
    </row>
    <row r="292" spans="3:15">
      <c r="D292" t="s">
        <v>1450</v>
      </c>
      <c r="E292" s="419">
        <v>0</v>
      </c>
      <c r="F292" s="419">
        <v>0</v>
      </c>
      <c r="G292" s="419">
        <v>0</v>
      </c>
      <c r="H292" s="419">
        <v>0</v>
      </c>
      <c r="I292" s="419">
        <v>0</v>
      </c>
      <c r="J292" s="419">
        <v>0</v>
      </c>
      <c r="K292" s="419">
        <v>0</v>
      </c>
      <c r="L292" s="419">
        <v>0</v>
      </c>
      <c r="M292" s="419">
        <v>0</v>
      </c>
      <c r="N292" s="419">
        <v>0</v>
      </c>
      <c r="O292" t="s">
        <v>3517</v>
      </c>
    </row>
    <row r="293" spans="3:15">
      <c r="D293" t="s">
        <v>1484</v>
      </c>
      <c r="E293" s="419">
        <v>0</v>
      </c>
      <c r="F293" s="419">
        <v>0</v>
      </c>
      <c r="G293" s="419">
        <v>0</v>
      </c>
      <c r="H293" s="419">
        <v>0</v>
      </c>
      <c r="I293" s="419">
        <v>0</v>
      </c>
      <c r="J293" s="419">
        <v>0</v>
      </c>
      <c r="K293" s="419">
        <v>0</v>
      </c>
      <c r="L293" s="419">
        <v>0</v>
      </c>
      <c r="M293" s="419">
        <v>0</v>
      </c>
      <c r="N293" s="419">
        <v>0</v>
      </c>
      <c r="O293" t="s">
        <v>3518</v>
      </c>
    </row>
    <row r="294" spans="3:15">
      <c r="D294" t="s">
        <v>1518</v>
      </c>
      <c r="E294" s="419">
        <v>0</v>
      </c>
      <c r="F294" s="419">
        <v>0</v>
      </c>
      <c r="G294" s="419">
        <v>0</v>
      </c>
      <c r="H294" s="419">
        <v>0</v>
      </c>
      <c r="I294" s="419">
        <v>0</v>
      </c>
      <c r="J294" s="419">
        <v>0</v>
      </c>
      <c r="K294" s="419">
        <v>0</v>
      </c>
      <c r="L294" s="419">
        <v>0</v>
      </c>
      <c r="M294" s="419">
        <v>0</v>
      </c>
      <c r="N294" s="419">
        <v>0</v>
      </c>
      <c r="O294" t="s">
        <v>3519</v>
      </c>
    </row>
    <row r="295" spans="3:15" s="65" customFormat="1">
      <c r="D295" s="65" t="s">
        <v>1097</v>
      </c>
      <c r="E295" s="420">
        <v>0</v>
      </c>
      <c r="F295" s="420">
        <v>0</v>
      </c>
      <c r="G295" s="420">
        <v>0</v>
      </c>
      <c r="H295" s="420">
        <v>0</v>
      </c>
      <c r="I295" s="420">
        <v>0</v>
      </c>
      <c r="J295" s="420">
        <v>0</v>
      </c>
      <c r="K295" s="420">
        <v>0</v>
      </c>
      <c r="L295" s="420">
        <v>0</v>
      </c>
      <c r="M295" s="420">
        <v>0</v>
      </c>
      <c r="N295" s="420">
        <v>0</v>
      </c>
      <c r="O295" s="65" t="s">
        <v>3520</v>
      </c>
    </row>
    <row r="296" spans="3:15">
      <c r="E296" s="419"/>
      <c r="F296" s="419"/>
      <c r="G296" s="419"/>
      <c r="H296" s="419"/>
      <c r="I296" s="419"/>
      <c r="J296" s="419"/>
      <c r="K296" s="419"/>
      <c r="L296" s="419"/>
      <c r="M296" s="419"/>
      <c r="N296" s="419"/>
    </row>
    <row r="297" spans="3:15">
      <c r="C297" t="s">
        <v>1099</v>
      </c>
      <c r="E297" s="419"/>
      <c r="F297" s="419"/>
      <c r="G297" s="419"/>
      <c r="H297" s="419"/>
      <c r="I297" s="419"/>
      <c r="J297" s="419"/>
      <c r="K297" s="419"/>
      <c r="L297" s="419"/>
      <c r="M297" s="419"/>
      <c r="N297" s="419"/>
    </row>
    <row r="298" spans="3:15" s="65" customFormat="1">
      <c r="C298" s="65" t="s">
        <v>1139</v>
      </c>
      <c r="E298" s="420"/>
      <c r="F298" s="420"/>
      <c r="G298" s="420"/>
      <c r="H298" s="420"/>
      <c r="I298" s="420"/>
      <c r="J298" s="420"/>
      <c r="K298" s="420"/>
      <c r="L298" s="420"/>
      <c r="M298" s="420"/>
      <c r="N298" s="420"/>
    </row>
    <row r="299" spans="3:15">
      <c r="D299" t="s">
        <v>1420</v>
      </c>
      <c r="E299" s="419">
        <v>0</v>
      </c>
      <c r="F299" s="419">
        <v>0</v>
      </c>
      <c r="G299" s="419">
        <v>0</v>
      </c>
      <c r="H299" s="419">
        <v>0</v>
      </c>
      <c r="I299" s="419">
        <v>0</v>
      </c>
      <c r="J299" s="419">
        <v>0</v>
      </c>
      <c r="K299" s="419">
        <v>0</v>
      </c>
      <c r="L299" s="419">
        <v>0</v>
      </c>
      <c r="M299" s="419">
        <v>0</v>
      </c>
      <c r="N299" s="419">
        <v>0</v>
      </c>
      <c r="O299" t="s">
        <v>3521</v>
      </c>
    </row>
    <row r="300" spans="3:15">
      <c r="D300" t="s">
        <v>1454</v>
      </c>
      <c r="E300" s="419">
        <v>0</v>
      </c>
      <c r="F300" s="419">
        <v>0</v>
      </c>
      <c r="G300" s="419">
        <v>0</v>
      </c>
      <c r="H300" s="419">
        <v>0</v>
      </c>
      <c r="I300" s="419">
        <v>0</v>
      </c>
      <c r="J300" s="419">
        <v>0</v>
      </c>
      <c r="K300" s="419">
        <v>0</v>
      </c>
      <c r="L300" s="419">
        <v>0</v>
      </c>
      <c r="M300" s="419">
        <v>0</v>
      </c>
      <c r="N300" s="419">
        <v>0</v>
      </c>
      <c r="O300" t="s">
        <v>3522</v>
      </c>
    </row>
    <row r="301" spans="3:15">
      <c r="D301" t="s">
        <v>1488</v>
      </c>
      <c r="E301" s="419">
        <v>0</v>
      </c>
      <c r="F301" s="419">
        <v>0</v>
      </c>
      <c r="G301" s="419">
        <v>0</v>
      </c>
      <c r="H301" s="419">
        <v>0</v>
      </c>
      <c r="I301" s="419">
        <v>0</v>
      </c>
      <c r="J301" s="419">
        <v>0</v>
      </c>
      <c r="K301" s="419">
        <v>0</v>
      </c>
      <c r="L301" s="419">
        <v>0</v>
      </c>
      <c r="M301" s="419">
        <v>0</v>
      </c>
      <c r="N301" s="419">
        <v>0</v>
      </c>
      <c r="O301" t="s">
        <v>3523</v>
      </c>
    </row>
    <row r="302" spans="3:15">
      <c r="D302" t="s">
        <v>1522</v>
      </c>
      <c r="E302" s="419">
        <v>0</v>
      </c>
      <c r="F302" s="419">
        <v>0</v>
      </c>
      <c r="G302" s="419">
        <v>0</v>
      </c>
      <c r="H302" s="419">
        <v>0</v>
      </c>
      <c r="I302" s="419">
        <v>0</v>
      </c>
      <c r="J302" s="419">
        <v>0</v>
      </c>
      <c r="K302" s="419">
        <v>0</v>
      </c>
      <c r="L302" s="419">
        <v>0</v>
      </c>
      <c r="M302" s="419">
        <v>0</v>
      </c>
      <c r="N302" s="419">
        <v>0</v>
      </c>
      <c r="O302" t="s">
        <v>3524</v>
      </c>
    </row>
    <row r="303" spans="3:15" s="65" customFormat="1">
      <c r="D303" s="65" t="s">
        <v>1144</v>
      </c>
      <c r="E303" s="420">
        <v>0</v>
      </c>
      <c r="F303" s="420">
        <v>0</v>
      </c>
      <c r="G303" s="420">
        <v>0</v>
      </c>
      <c r="H303" s="420">
        <v>0</v>
      </c>
      <c r="I303" s="420">
        <v>0</v>
      </c>
      <c r="J303" s="420">
        <v>0</v>
      </c>
      <c r="K303" s="420">
        <v>0</v>
      </c>
      <c r="L303" s="420">
        <v>0</v>
      </c>
      <c r="M303" s="420">
        <v>0</v>
      </c>
      <c r="N303" s="420">
        <v>0</v>
      </c>
      <c r="O303" s="65" t="s">
        <v>3525</v>
      </c>
    </row>
    <row r="304" spans="3:15" s="65" customFormat="1">
      <c r="C304" s="65" t="s">
        <v>507</v>
      </c>
      <c r="E304" s="420"/>
      <c r="F304" s="420"/>
      <c r="G304" s="420"/>
      <c r="H304" s="420"/>
      <c r="I304" s="420"/>
      <c r="J304" s="420"/>
      <c r="K304" s="420"/>
      <c r="L304" s="420"/>
      <c r="M304" s="420"/>
      <c r="N304" s="420"/>
    </row>
    <row r="305" spans="3:15">
      <c r="D305" t="s">
        <v>1424</v>
      </c>
      <c r="E305" s="419">
        <v>0</v>
      </c>
      <c r="F305" s="419">
        <v>0</v>
      </c>
      <c r="G305" s="419">
        <v>0</v>
      </c>
      <c r="H305" s="419">
        <v>0</v>
      </c>
      <c r="I305" s="419">
        <v>0</v>
      </c>
      <c r="J305" s="419">
        <v>0</v>
      </c>
      <c r="K305" s="419">
        <v>0</v>
      </c>
      <c r="L305" s="419">
        <v>0</v>
      </c>
      <c r="M305" s="419">
        <v>0</v>
      </c>
      <c r="N305" s="419">
        <v>0</v>
      </c>
      <c r="O305" t="s">
        <v>3526</v>
      </c>
    </row>
    <row r="306" spans="3:15">
      <c r="D306" t="s">
        <v>1458</v>
      </c>
      <c r="E306" s="419">
        <v>0</v>
      </c>
      <c r="F306" s="419">
        <v>0</v>
      </c>
      <c r="G306" s="419">
        <v>0</v>
      </c>
      <c r="H306" s="419">
        <v>0</v>
      </c>
      <c r="I306" s="419">
        <v>0</v>
      </c>
      <c r="J306" s="419">
        <v>0</v>
      </c>
      <c r="K306" s="419">
        <v>0</v>
      </c>
      <c r="L306" s="419">
        <v>0</v>
      </c>
      <c r="M306" s="419">
        <v>0</v>
      </c>
      <c r="N306" s="419">
        <v>0</v>
      </c>
      <c r="O306" t="s">
        <v>3527</v>
      </c>
    </row>
    <row r="307" spans="3:15">
      <c r="D307" t="s">
        <v>1492</v>
      </c>
      <c r="E307" s="419">
        <v>0</v>
      </c>
      <c r="F307" s="419">
        <v>0</v>
      </c>
      <c r="G307" s="419">
        <v>0</v>
      </c>
      <c r="H307" s="419">
        <v>0</v>
      </c>
      <c r="I307" s="419">
        <v>0</v>
      </c>
      <c r="J307" s="419">
        <v>0</v>
      </c>
      <c r="K307" s="419">
        <v>0</v>
      </c>
      <c r="L307" s="419">
        <v>0</v>
      </c>
      <c r="M307" s="419">
        <v>0</v>
      </c>
      <c r="N307" s="419">
        <v>0</v>
      </c>
      <c r="O307" t="s">
        <v>3528</v>
      </c>
    </row>
    <row r="308" spans="3:15">
      <c r="D308" t="s">
        <v>1526</v>
      </c>
      <c r="E308" s="419">
        <v>0</v>
      </c>
      <c r="F308" s="419">
        <v>0</v>
      </c>
      <c r="G308" s="419">
        <v>0</v>
      </c>
      <c r="H308" s="419">
        <v>0</v>
      </c>
      <c r="I308" s="419">
        <v>0</v>
      </c>
      <c r="J308" s="419">
        <v>0</v>
      </c>
      <c r="K308" s="419">
        <v>0</v>
      </c>
      <c r="L308" s="419">
        <v>0</v>
      </c>
      <c r="M308" s="419">
        <v>0</v>
      </c>
      <c r="N308" s="419">
        <v>0</v>
      </c>
      <c r="O308" t="s">
        <v>3529</v>
      </c>
    </row>
    <row r="309" spans="3:15" s="65" customFormat="1">
      <c r="D309" s="65" t="s">
        <v>1181</v>
      </c>
      <c r="E309" s="420">
        <v>0</v>
      </c>
      <c r="F309" s="420">
        <v>0</v>
      </c>
      <c r="G309" s="420">
        <v>0</v>
      </c>
      <c r="H309" s="420">
        <v>0</v>
      </c>
      <c r="I309" s="420">
        <v>0</v>
      </c>
      <c r="J309" s="420">
        <v>0</v>
      </c>
      <c r="K309" s="420">
        <v>0</v>
      </c>
      <c r="L309" s="420">
        <v>0</v>
      </c>
      <c r="M309" s="420">
        <v>0</v>
      </c>
      <c r="N309" s="420">
        <v>0</v>
      </c>
      <c r="O309" s="65" t="s">
        <v>3530</v>
      </c>
    </row>
    <row r="310" spans="3:15" s="65" customFormat="1">
      <c r="C310" s="65" t="s">
        <v>2336</v>
      </c>
      <c r="E310" s="420"/>
      <c r="F310" s="420"/>
      <c r="G310" s="420"/>
      <c r="H310" s="420"/>
      <c r="I310" s="420"/>
      <c r="J310" s="420"/>
      <c r="K310" s="420"/>
      <c r="L310" s="420"/>
      <c r="M310" s="420"/>
      <c r="N310" s="420"/>
    </row>
    <row r="311" spans="3:15">
      <c r="D311" t="s">
        <v>2320</v>
      </c>
      <c r="E311" s="419">
        <v>0</v>
      </c>
      <c r="F311" s="419">
        <v>0</v>
      </c>
      <c r="G311" s="419">
        <v>0</v>
      </c>
      <c r="H311" s="419">
        <v>0</v>
      </c>
      <c r="I311" s="419">
        <v>0</v>
      </c>
      <c r="J311" s="419">
        <v>0</v>
      </c>
      <c r="K311" s="419">
        <v>0</v>
      </c>
      <c r="L311" s="419">
        <v>0</v>
      </c>
      <c r="M311" s="419">
        <v>0</v>
      </c>
      <c r="N311" s="419">
        <v>0</v>
      </c>
      <c r="O311" t="s">
        <v>3531</v>
      </c>
    </row>
    <row r="312" spans="3:15">
      <c r="D312" t="s">
        <v>2324</v>
      </c>
      <c r="E312" s="419">
        <v>0</v>
      </c>
      <c r="F312" s="419">
        <v>0</v>
      </c>
      <c r="G312" s="419">
        <v>0</v>
      </c>
      <c r="H312" s="419">
        <v>0</v>
      </c>
      <c r="I312" s="419">
        <v>0</v>
      </c>
      <c r="J312" s="419">
        <v>0</v>
      </c>
      <c r="K312" s="419">
        <v>0</v>
      </c>
      <c r="L312" s="419">
        <v>0</v>
      </c>
      <c r="M312" s="419">
        <v>0</v>
      </c>
      <c r="N312" s="419">
        <v>0</v>
      </c>
      <c r="O312" t="s">
        <v>3532</v>
      </c>
    </row>
    <row r="313" spans="3:15">
      <c r="D313" t="s">
        <v>2328</v>
      </c>
      <c r="E313" s="419">
        <v>0</v>
      </c>
      <c r="F313" s="419">
        <v>0</v>
      </c>
      <c r="G313" s="419">
        <v>0</v>
      </c>
      <c r="H313" s="419">
        <v>0</v>
      </c>
      <c r="I313" s="419">
        <v>0</v>
      </c>
      <c r="J313" s="419">
        <v>0</v>
      </c>
      <c r="K313" s="419">
        <v>0</v>
      </c>
      <c r="L313" s="419">
        <v>0</v>
      </c>
      <c r="M313" s="419">
        <v>0</v>
      </c>
      <c r="N313" s="419">
        <v>0</v>
      </c>
      <c r="O313" t="s">
        <v>3533</v>
      </c>
    </row>
    <row r="314" spans="3:15">
      <c r="D314" t="s">
        <v>2332</v>
      </c>
      <c r="E314" s="419">
        <v>0</v>
      </c>
      <c r="F314" s="419">
        <v>0</v>
      </c>
      <c r="G314" s="419">
        <v>0</v>
      </c>
      <c r="H314" s="419">
        <v>0</v>
      </c>
      <c r="I314" s="419">
        <v>0</v>
      </c>
      <c r="J314" s="419">
        <v>0</v>
      </c>
      <c r="K314" s="419">
        <v>0</v>
      </c>
      <c r="L314" s="419">
        <v>0</v>
      </c>
      <c r="M314" s="419">
        <v>0</v>
      </c>
      <c r="N314" s="419">
        <v>0</v>
      </c>
      <c r="O314" t="s">
        <v>3534</v>
      </c>
    </row>
    <row r="315" spans="3:15" s="65" customFormat="1">
      <c r="D315" s="65" t="s">
        <v>2341</v>
      </c>
      <c r="E315" s="420">
        <v>0</v>
      </c>
      <c r="F315" s="420">
        <v>0</v>
      </c>
      <c r="G315" s="420">
        <v>0</v>
      </c>
      <c r="H315" s="420">
        <v>0</v>
      </c>
      <c r="I315" s="420">
        <v>0</v>
      </c>
      <c r="J315" s="420">
        <v>0</v>
      </c>
      <c r="K315" s="420">
        <v>0</v>
      </c>
      <c r="L315" s="420">
        <v>0</v>
      </c>
      <c r="M315" s="420">
        <v>0</v>
      </c>
      <c r="N315" s="420">
        <v>0</v>
      </c>
      <c r="O315" s="65" t="s">
        <v>3535</v>
      </c>
    </row>
    <row r="316" spans="3:15" s="65" customFormat="1">
      <c r="C316" s="65" t="s">
        <v>3079</v>
      </c>
      <c r="E316" s="420"/>
      <c r="F316" s="420"/>
      <c r="G316" s="420"/>
      <c r="H316" s="420"/>
      <c r="I316" s="420"/>
      <c r="J316" s="420"/>
      <c r="K316" s="420"/>
      <c r="L316" s="420"/>
      <c r="M316" s="420"/>
      <c r="N316" s="420"/>
    </row>
    <row r="317" spans="3:15">
      <c r="D317" t="s">
        <v>3122</v>
      </c>
      <c r="E317" s="419">
        <v>0</v>
      </c>
      <c r="F317" s="419">
        <v>0</v>
      </c>
      <c r="G317" s="419">
        <v>0</v>
      </c>
      <c r="H317" s="419">
        <v>0</v>
      </c>
      <c r="I317" s="419">
        <v>0</v>
      </c>
      <c r="J317" s="419">
        <v>0</v>
      </c>
      <c r="K317" s="419">
        <v>0</v>
      </c>
      <c r="L317" s="419">
        <v>0</v>
      </c>
      <c r="M317" s="419">
        <v>0</v>
      </c>
      <c r="N317" s="419">
        <v>0</v>
      </c>
      <c r="O317" t="s">
        <v>3536</v>
      </c>
    </row>
    <row r="318" spans="3:15">
      <c r="D318" t="s">
        <v>3124</v>
      </c>
      <c r="E318" s="419">
        <v>0</v>
      </c>
      <c r="F318" s="419">
        <v>0</v>
      </c>
      <c r="G318" s="419">
        <v>0</v>
      </c>
      <c r="H318" s="419">
        <v>0</v>
      </c>
      <c r="I318" s="419">
        <v>0</v>
      </c>
      <c r="J318" s="419">
        <v>0</v>
      </c>
      <c r="K318" s="419">
        <v>0</v>
      </c>
      <c r="L318" s="419">
        <v>0</v>
      </c>
      <c r="M318" s="419">
        <v>0</v>
      </c>
      <c r="N318" s="419">
        <v>0</v>
      </c>
      <c r="O318" t="s">
        <v>3537</v>
      </c>
    </row>
    <row r="319" spans="3:15">
      <c r="D319" t="s">
        <v>3126</v>
      </c>
      <c r="E319" s="419">
        <v>0</v>
      </c>
      <c r="F319" s="419">
        <v>0</v>
      </c>
      <c r="G319" s="419">
        <v>0</v>
      </c>
      <c r="H319" s="419">
        <v>0</v>
      </c>
      <c r="I319" s="419">
        <v>0</v>
      </c>
      <c r="J319" s="419">
        <v>0</v>
      </c>
      <c r="K319" s="419">
        <v>0</v>
      </c>
      <c r="L319" s="419">
        <v>0</v>
      </c>
      <c r="M319" s="419">
        <v>0</v>
      </c>
      <c r="N319" s="419">
        <v>0</v>
      </c>
      <c r="O319" t="s">
        <v>3538</v>
      </c>
    </row>
    <row r="320" spans="3:15">
      <c r="D320" t="s">
        <v>3128</v>
      </c>
      <c r="E320" s="419">
        <v>0</v>
      </c>
      <c r="F320" s="419">
        <v>0</v>
      </c>
      <c r="G320" s="419">
        <v>0</v>
      </c>
      <c r="H320" s="419">
        <v>0</v>
      </c>
      <c r="I320" s="419">
        <v>0</v>
      </c>
      <c r="J320" s="419">
        <v>0</v>
      </c>
      <c r="K320" s="419">
        <v>0</v>
      </c>
      <c r="L320" s="419">
        <v>0</v>
      </c>
      <c r="M320" s="419">
        <v>0</v>
      </c>
      <c r="N320" s="419">
        <v>0</v>
      </c>
      <c r="O320" t="s">
        <v>3539</v>
      </c>
    </row>
    <row r="321" spans="3:15" s="65" customFormat="1">
      <c r="D321" s="65" t="s">
        <v>2341</v>
      </c>
      <c r="E321" s="420">
        <v>0</v>
      </c>
      <c r="F321" s="420">
        <v>0</v>
      </c>
      <c r="G321" s="420">
        <v>0</v>
      </c>
      <c r="H321" s="420">
        <v>0</v>
      </c>
      <c r="I321" s="420">
        <v>0</v>
      </c>
      <c r="J321" s="420">
        <v>0</v>
      </c>
      <c r="K321" s="420">
        <v>0</v>
      </c>
      <c r="L321" s="420">
        <v>0</v>
      </c>
      <c r="M321" s="420">
        <v>0</v>
      </c>
      <c r="N321" s="420">
        <v>0</v>
      </c>
      <c r="O321" s="65" t="s">
        <v>3540</v>
      </c>
    </row>
    <row r="322" spans="3:15" s="65" customFormat="1">
      <c r="C322" s="65" t="s">
        <v>2397</v>
      </c>
      <c r="E322" s="420"/>
      <c r="F322" s="420"/>
      <c r="G322" s="420"/>
      <c r="H322" s="420"/>
      <c r="I322" s="420"/>
      <c r="J322" s="420"/>
      <c r="K322" s="420"/>
      <c r="L322" s="420"/>
      <c r="M322" s="420"/>
      <c r="N322" s="420"/>
    </row>
    <row r="323" spans="3:15">
      <c r="D323" t="s">
        <v>2374</v>
      </c>
      <c r="E323" s="419">
        <v>0</v>
      </c>
      <c r="F323" s="419">
        <v>0</v>
      </c>
      <c r="G323" s="419">
        <v>0</v>
      </c>
      <c r="H323" s="419">
        <v>0</v>
      </c>
      <c r="I323" s="419">
        <v>0</v>
      </c>
      <c r="J323" s="419">
        <v>0</v>
      </c>
      <c r="K323" s="419">
        <v>0</v>
      </c>
      <c r="L323" s="419">
        <v>0</v>
      </c>
      <c r="M323" s="419">
        <v>0</v>
      </c>
      <c r="N323" s="419">
        <v>0</v>
      </c>
      <c r="O323" t="s">
        <v>3541</v>
      </c>
    </row>
    <row r="324" spans="3:15">
      <c r="D324" t="s">
        <v>2378</v>
      </c>
      <c r="E324" s="419">
        <v>0</v>
      </c>
      <c r="F324" s="419">
        <v>0</v>
      </c>
      <c r="G324" s="419">
        <v>0</v>
      </c>
      <c r="H324" s="419">
        <v>0</v>
      </c>
      <c r="I324" s="419">
        <v>0</v>
      </c>
      <c r="J324" s="419">
        <v>0</v>
      </c>
      <c r="K324" s="419">
        <v>0</v>
      </c>
      <c r="L324" s="419">
        <v>0</v>
      </c>
      <c r="M324" s="419">
        <v>0</v>
      </c>
      <c r="N324" s="419">
        <v>0</v>
      </c>
      <c r="O324" t="s">
        <v>3542</v>
      </c>
    </row>
    <row r="325" spans="3:15">
      <c r="D325" t="s">
        <v>2382</v>
      </c>
      <c r="E325" s="419">
        <v>0</v>
      </c>
      <c r="F325" s="419">
        <v>0</v>
      </c>
      <c r="G325" s="419">
        <v>0</v>
      </c>
      <c r="H325" s="419">
        <v>0</v>
      </c>
      <c r="I325" s="419">
        <v>0</v>
      </c>
      <c r="J325" s="419">
        <v>0</v>
      </c>
      <c r="K325" s="419">
        <v>0</v>
      </c>
      <c r="L325" s="419">
        <v>0</v>
      </c>
      <c r="M325" s="419">
        <v>0</v>
      </c>
      <c r="N325" s="419">
        <v>0</v>
      </c>
      <c r="O325" t="s">
        <v>3543</v>
      </c>
    </row>
    <row r="326" spans="3:15">
      <c r="D326" t="s">
        <v>2386</v>
      </c>
      <c r="E326" s="419">
        <v>0</v>
      </c>
      <c r="F326" s="419">
        <v>0</v>
      </c>
      <c r="G326" s="419">
        <v>0</v>
      </c>
      <c r="H326" s="419">
        <v>0</v>
      </c>
      <c r="I326" s="419">
        <v>0</v>
      </c>
      <c r="J326" s="419">
        <v>0</v>
      </c>
      <c r="K326" s="419">
        <v>0</v>
      </c>
      <c r="L326" s="419">
        <v>0</v>
      </c>
      <c r="M326" s="419">
        <v>0</v>
      </c>
      <c r="N326" s="419">
        <v>0</v>
      </c>
      <c r="O326" t="s">
        <v>3544</v>
      </c>
    </row>
    <row r="327" spans="3:15" s="65" customFormat="1">
      <c r="D327" s="65" t="s">
        <v>2402</v>
      </c>
      <c r="E327" s="420">
        <v>0</v>
      </c>
      <c r="F327" s="420">
        <v>0</v>
      </c>
      <c r="G327" s="420">
        <v>0</v>
      </c>
      <c r="H327" s="420">
        <v>0</v>
      </c>
      <c r="I327" s="420">
        <v>0</v>
      </c>
      <c r="J327" s="420">
        <v>0</v>
      </c>
      <c r="K327" s="420">
        <v>0</v>
      </c>
      <c r="L327" s="420">
        <v>0</v>
      </c>
      <c r="M327" s="420">
        <v>0</v>
      </c>
      <c r="N327" s="420">
        <v>0</v>
      </c>
      <c r="O327" s="65" t="s">
        <v>3545</v>
      </c>
    </row>
    <row r="328" spans="3:15" s="65" customFormat="1">
      <c r="C328" s="65" t="s">
        <v>494</v>
      </c>
      <c r="E328" s="420"/>
      <c r="F328" s="420"/>
      <c r="G328" s="420"/>
      <c r="H328" s="420"/>
      <c r="I328" s="420"/>
      <c r="J328" s="420"/>
      <c r="K328" s="420"/>
      <c r="L328" s="420"/>
      <c r="M328" s="420"/>
      <c r="N328" s="420"/>
    </row>
    <row r="329" spans="3:15">
      <c r="D329" t="s">
        <v>1428</v>
      </c>
      <c r="E329" s="419"/>
      <c r="F329" s="419"/>
      <c r="G329" s="419"/>
      <c r="H329" s="419"/>
      <c r="I329" s="419"/>
      <c r="J329" s="419"/>
      <c r="K329" s="419"/>
      <c r="L329" s="419"/>
      <c r="M329" s="419"/>
      <c r="N329" s="419"/>
      <c r="O329" t="s">
        <v>3546</v>
      </c>
    </row>
    <row r="330" spans="3:15">
      <c r="D330" t="s">
        <v>1462</v>
      </c>
      <c r="E330" s="419"/>
      <c r="F330" s="419"/>
      <c r="G330" s="419"/>
      <c r="H330" s="419"/>
      <c r="I330" s="419"/>
      <c r="J330" s="419"/>
      <c r="K330" s="419"/>
      <c r="L330" s="419"/>
      <c r="M330" s="419"/>
      <c r="N330" s="419"/>
      <c r="O330" t="s">
        <v>3547</v>
      </c>
    </row>
    <row r="331" spans="3:15">
      <c r="D331" t="s">
        <v>1496</v>
      </c>
      <c r="E331" s="419"/>
      <c r="F331" s="419"/>
      <c r="G331" s="419"/>
      <c r="H331" s="419"/>
      <c r="I331" s="419"/>
      <c r="J331" s="419"/>
      <c r="K331" s="419"/>
      <c r="L331" s="419"/>
      <c r="M331" s="419"/>
      <c r="N331" s="419"/>
      <c r="O331" t="s">
        <v>3548</v>
      </c>
    </row>
    <row r="332" spans="3:15">
      <c r="D332" t="s">
        <v>1530</v>
      </c>
      <c r="E332" s="419"/>
      <c r="F332" s="419"/>
      <c r="G332" s="419"/>
      <c r="H332" s="419"/>
      <c r="I332" s="419"/>
      <c r="J332" s="419"/>
      <c r="K332" s="419"/>
      <c r="L332" s="419"/>
      <c r="M332" s="419"/>
      <c r="N332" s="419"/>
      <c r="O332" t="s">
        <v>3549</v>
      </c>
    </row>
    <row r="333" spans="3:15" s="65" customFormat="1">
      <c r="D333" s="65" t="s">
        <v>1372</v>
      </c>
      <c r="E333" s="420"/>
      <c r="F333" s="420"/>
      <c r="G333" s="420"/>
      <c r="H333" s="420"/>
      <c r="I333" s="420"/>
      <c r="J333" s="420"/>
      <c r="K333" s="420"/>
      <c r="L333" s="420"/>
      <c r="M333" s="420"/>
      <c r="N333" s="420"/>
      <c r="O333" s="65" t="s">
        <v>3550</v>
      </c>
    </row>
    <row r="334" spans="3:15" s="65" customFormat="1">
      <c r="C334" s="65" t="s">
        <v>494</v>
      </c>
      <c r="E334" s="420"/>
      <c r="F334" s="420"/>
      <c r="G334" s="420"/>
      <c r="H334" s="420"/>
      <c r="I334" s="420"/>
      <c r="J334" s="420"/>
      <c r="K334" s="420"/>
      <c r="L334" s="420"/>
      <c r="M334" s="420"/>
      <c r="N334" s="420"/>
    </row>
    <row r="335" spans="3:15">
      <c r="D335" t="s">
        <v>1689</v>
      </c>
      <c r="E335" s="419">
        <v>0</v>
      </c>
      <c r="F335" s="419">
        <v>0</v>
      </c>
      <c r="G335" s="419">
        <v>0</v>
      </c>
      <c r="H335" s="419">
        <v>0</v>
      </c>
      <c r="I335" s="419">
        <v>0</v>
      </c>
      <c r="J335" s="419">
        <v>0</v>
      </c>
      <c r="K335" s="419">
        <v>0</v>
      </c>
      <c r="L335" s="419">
        <v>0</v>
      </c>
      <c r="M335" s="419">
        <v>0</v>
      </c>
      <c r="N335" s="419">
        <v>0</v>
      </c>
      <c r="O335" t="s">
        <v>3551</v>
      </c>
    </row>
    <row r="336" spans="3:15">
      <c r="D336" t="s">
        <v>1693</v>
      </c>
      <c r="E336" s="419">
        <v>0</v>
      </c>
      <c r="F336" s="419">
        <v>0</v>
      </c>
      <c r="G336" s="419">
        <v>0</v>
      </c>
      <c r="H336" s="419">
        <v>0</v>
      </c>
      <c r="I336" s="419">
        <v>0</v>
      </c>
      <c r="J336" s="419">
        <v>0</v>
      </c>
      <c r="K336" s="419">
        <v>0</v>
      </c>
      <c r="L336" s="419">
        <v>0</v>
      </c>
      <c r="M336" s="419">
        <v>0</v>
      </c>
      <c r="N336" s="419">
        <v>0</v>
      </c>
      <c r="O336" t="s">
        <v>3552</v>
      </c>
    </row>
    <row r="337" spans="1:15">
      <c r="D337" t="s">
        <v>1697</v>
      </c>
      <c r="E337" s="419">
        <v>0</v>
      </c>
      <c r="F337" s="419">
        <v>0</v>
      </c>
      <c r="G337" s="419">
        <v>0</v>
      </c>
      <c r="H337" s="419">
        <v>0</v>
      </c>
      <c r="I337" s="419">
        <v>0</v>
      </c>
      <c r="J337" s="419">
        <v>0</v>
      </c>
      <c r="K337" s="419">
        <v>0</v>
      </c>
      <c r="L337" s="419">
        <v>0</v>
      </c>
      <c r="M337" s="419">
        <v>0</v>
      </c>
      <c r="N337" s="419">
        <v>0</v>
      </c>
      <c r="O337" t="s">
        <v>3553</v>
      </c>
    </row>
    <row r="338" spans="1:15">
      <c r="D338" t="s">
        <v>1701</v>
      </c>
      <c r="E338" s="419">
        <v>0</v>
      </c>
      <c r="F338" s="419">
        <v>0</v>
      </c>
      <c r="G338" s="419">
        <v>0</v>
      </c>
      <c r="H338" s="419">
        <v>0</v>
      </c>
      <c r="I338" s="419">
        <v>0</v>
      </c>
      <c r="J338" s="419">
        <v>0</v>
      </c>
      <c r="K338" s="419">
        <v>0</v>
      </c>
      <c r="L338" s="419">
        <v>0</v>
      </c>
      <c r="M338" s="419">
        <v>0</v>
      </c>
      <c r="N338" s="419">
        <v>0</v>
      </c>
      <c r="O338" t="s">
        <v>3554</v>
      </c>
    </row>
    <row r="339" spans="1:15" s="65" customFormat="1">
      <c r="D339" s="65" t="s">
        <v>1710</v>
      </c>
      <c r="E339" s="420">
        <v>0</v>
      </c>
      <c r="F339" s="420">
        <v>0</v>
      </c>
      <c r="G339" s="420">
        <v>0</v>
      </c>
      <c r="H339" s="420">
        <v>0</v>
      </c>
      <c r="I339" s="420">
        <v>0</v>
      </c>
      <c r="J339" s="420">
        <v>0</v>
      </c>
      <c r="K339" s="420">
        <v>0</v>
      </c>
      <c r="L339" s="420">
        <v>0</v>
      </c>
      <c r="M339" s="420">
        <v>0</v>
      </c>
      <c r="N339" s="420">
        <v>0</v>
      </c>
      <c r="O339" s="65" t="s">
        <v>3555</v>
      </c>
    </row>
    <row r="340" spans="1:15" s="65" customFormat="1">
      <c r="C340" s="65" t="s">
        <v>1386</v>
      </c>
      <c r="E340" s="420"/>
      <c r="F340" s="420"/>
      <c r="G340" s="420"/>
      <c r="H340" s="420"/>
      <c r="I340" s="420"/>
      <c r="J340" s="420"/>
      <c r="K340" s="420"/>
      <c r="L340" s="420"/>
      <c r="M340" s="420"/>
      <c r="N340" s="420"/>
    </row>
    <row r="341" spans="1:15">
      <c r="D341" t="s">
        <v>1563</v>
      </c>
      <c r="E341" s="419">
        <v>0</v>
      </c>
      <c r="F341" s="419">
        <v>0</v>
      </c>
      <c r="G341" s="419">
        <v>0</v>
      </c>
      <c r="H341" s="419">
        <v>0</v>
      </c>
      <c r="I341" s="419">
        <v>0</v>
      </c>
      <c r="J341" s="419">
        <v>0</v>
      </c>
      <c r="K341" s="419">
        <v>0</v>
      </c>
      <c r="L341" s="419">
        <v>0</v>
      </c>
      <c r="M341" s="419">
        <v>0</v>
      </c>
      <c r="N341" s="419">
        <v>0</v>
      </c>
      <c r="O341" t="s">
        <v>3556</v>
      </c>
    </row>
    <row r="342" spans="1:15">
      <c r="D342" t="s">
        <v>1584</v>
      </c>
      <c r="E342" s="419">
        <v>0</v>
      </c>
      <c r="F342" s="419">
        <v>0</v>
      </c>
      <c r="G342" s="419">
        <v>0</v>
      </c>
      <c r="H342" s="419">
        <v>0</v>
      </c>
      <c r="I342" s="419">
        <v>0</v>
      </c>
      <c r="J342" s="419">
        <v>0</v>
      </c>
      <c r="K342" s="419">
        <v>0</v>
      </c>
      <c r="L342" s="419">
        <v>0</v>
      </c>
      <c r="M342" s="419">
        <v>0</v>
      </c>
      <c r="N342" s="419">
        <v>0</v>
      </c>
      <c r="O342" t="s">
        <v>3557</v>
      </c>
    </row>
    <row r="343" spans="1:15">
      <c r="D343" t="s">
        <v>1605</v>
      </c>
      <c r="E343" s="419">
        <v>0</v>
      </c>
      <c r="F343" s="419">
        <v>0</v>
      </c>
      <c r="G343" s="419">
        <v>0</v>
      </c>
      <c r="H343" s="419">
        <v>0</v>
      </c>
      <c r="I343" s="419">
        <v>0</v>
      </c>
      <c r="J343" s="419">
        <v>0</v>
      </c>
      <c r="K343" s="419">
        <v>0</v>
      </c>
      <c r="L343" s="419">
        <v>0</v>
      </c>
      <c r="M343" s="419">
        <v>0</v>
      </c>
      <c r="N343" s="419">
        <v>0</v>
      </c>
      <c r="O343" t="s">
        <v>3558</v>
      </c>
    </row>
    <row r="344" spans="1:15">
      <c r="D344" t="s">
        <v>1626</v>
      </c>
      <c r="E344" s="419">
        <v>0</v>
      </c>
      <c r="F344" s="419">
        <v>0</v>
      </c>
      <c r="G344" s="419">
        <v>0</v>
      </c>
      <c r="H344" s="419">
        <v>0</v>
      </c>
      <c r="I344" s="419">
        <v>0</v>
      </c>
      <c r="J344" s="419">
        <v>0</v>
      </c>
      <c r="K344" s="419">
        <v>0</v>
      </c>
      <c r="L344" s="419">
        <v>0</v>
      </c>
      <c r="M344" s="419">
        <v>0</v>
      </c>
      <c r="N344" s="419">
        <v>0</v>
      </c>
      <c r="O344" t="s">
        <v>3559</v>
      </c>
    </row>
    <row r="345" spans="1:15" s="65" customFormat="1">
      <c r="D345" s="65" t="s">
        <v>1395</v>
      </c>
      <c r="E345" s="420">
        <v>0</v>
      </c>
      <c r="F345" s="420">
        <v>0</v>
      </c>
      <c r="G345" s="420">
        <v>0</v>
      </c>
      <c r="H345" s="420">
        <v>0</v>
      </c>
      <c r="I345" s="420">
        <v>0</v>
      </c>
      <c r="J345" s="420">
        <v>0</v>
      </c>
      <c r="K345" s="420">
        <v>0</v>
      </c>
      <c r="L345" s="420">
        <v>0</v>
      </c>
      <c r="M345" s="420">
        <v>0</v>
      </c>
      <c r="N345" s="420">
        <v>0</v>
      </c>
      <c r="O345" s="65" t="s">
        <v>3560</v>
      </c>
    </row>
    <row r="346" spans="1:15">
      <c r="A346" s="65" t="s">
        <v>1148</v>
      </c>
      <c r="E346" s="419"/>
      <c r="F346" s="419"/>
      <c r="G346" s="419"/>
      <c r="H346" s="419"/>
      <c r="I346" s="419"/>
      <c r="J346" s="419"/>
      <c r="K346" s="419"/>
      <c r="L346" s="419"/>
      <c r="M346" s="419"/>
      <c r="N346" s="419"/>
    </row>
    <row r="347" spans="1:15">
      <c r="D347" t="s">
        <v>426</v>
      </c>
      <c r="E347" s="419">
        <v>-42007379.866924316</v>
      </c>
      <c r="F347" s="419">
        <v>-42007379.866924316</v>
      </c>
      <c r="G347" s="419">
        <v>-42007379.866924316</v>
      </c>
      <c r="H347" s="419">
        <v>-42007379.866924316</v>
      </c>
      <c r="I347" s="419">
        <v>-42007379.866924316</v>
      </c>
      <c r="J347" s="419">
        <v>-42007379.866924316</v>
      </c>
      <c r="K347" s="419">
        <v>-42007379.866924316</v>
      </c>
      <c r="L347" s="419">
        <v>-42007379.866924316</v>
      </c>
      <c r="M347" s="419">
        <v>-42007379.866924316</v>
      </c>
      <c r="N347" s="419">
        <v>-42007379.866924316</v>
      </c>
      <c r="O347" t="s">
        <v>3561</v>
      </c>
    </row>
    <row r="348" spans="1:15">
      <c r="D348" t="s">
        <v>967</v>
      </c>
      <c r="E348" s="442">
        <v>-0.18999999999999972</v>
      </c>
      <c r="F348" s="442">
        <v>-0.18999999999999972</v>
      </c>
      <c r="G348" s="442">
        <v>-0.18999999999999972</v>
      </c>
      <c r="H348" s="442">
        <v>-0.18999999999999972</v>
      </c>
      <c r="I348" s="442">
        <v>-0.18999999999999972</v>
      </c>
      <c r="J348" s="442">
        <v>-0.18999999999999972</v>
      </c>
      <c r="K348" s="442">
        <v>-0.18999999999999972</v>
      </c>
      <c r="L348" s="442">
        <v>-0.18999999999999972</v>
      </c>
      <c r="M348" s="442">
        <v>-0.18999999999999972</v>
      </c>
      <c r="N348" s="442">
        <v>-0.18999999999999972</v>
      </c>
      <c r="O348" t="s">
        <v>3562</v>
      </c>
    </row>
    <row r="349" spans="1:15" s="65" customFormat="1">
      <c r="B349" s="65" t="s">
        <v>2078</v>
      </c>
      <c r="E349" s="420"/>
      <c r="F349" s="420"/>
      <c r="G349" s="420"/>
      <c r="H349" s="420"/>
      <c r="I349" s="420"/>
      <c r="J349" s="420"/>
      <c r="K349" s="420"/>
      <c r="L349" s="420"/>
      <c r="M349" s="420"/>
      <c r="N349" s="420"/>
    </row>
    <row r="350" spans="1:15" s="69" customFormat="1">
      <c r="C350" s="69" t="s">
        <v>1278</v>
      </c>
      <c r="D350" s="69" t="s">
        <v>899</v>
      </c>
      <c r="E350" s="426">
        <v>9375000</v>
      </c>
      <c r="F350" s="426">
        <v>9375000</v>
      </c>
      <c r="G350" s="426">
        <v>9375000</v>
      </c>
      <c r="H350" s="426">
        <v>9375000</v>
      </c>
      <c r="I350" s="426">
        <v>9375000</v>
      </c>
      <c r="J350" s="426">
        <v>9375000</v>
      </c>
      <c r="K350" s="426">
        <v>9375000</v>
      </c>
      <c r="L350" s="426">
        <v>9375000</v>
      </c>
      <c r="M350" s="426">
        <v>9375000</v>
      </c>
      <c r="N350" s="426">
        <v>9375000</v>
      </c>
      <c r="O350" s="426" t="s">
        <v>3563</v>
      </c>
    </row>
    <row r="351" spans="1:15" s="69" customFormat="1">
      <c r="C351" s="69" t="s">
        <v>1278</v>
      </c>
      <c r="D351" s="69" t="s">
        <v>900</v>
      </c>
      <c r="E351" s="426">
        <v>11458333.333333332</v>
      </c>
      <c r="F351" s="426">
        <v>11458333.333333332</v>
      </c>
      <c r="G351" s="426">
        <v>11458333.333333332</v>
      </c>
      <c r="H351" s="426">
        <v>11458333.333333332</v>
      </c>
      <c r="I351" s="426">
        <v>11458333.333333332</v>
      </c>
      <c r="J351" s="426">
        <v>11458333.333333332</v>
      </c>
      <c r="K351" s="426">
        <v>11458333.333333332</v>
      </c>
      <c r="L351" s="426">
        <v>11458333.333333332</v>
      </c>
      <c r="M351" s="426">
        <v>11458333.333333332</v>
      </c>
      <c r="N351" s="426">
        <v>11458333.333333332</v>
      </c>
      <c r="O351" s="426" t="s">
        <v>3564</v>
      </c>
    </row>
    <row r="352" spans="1:15" s="69" customFormat="1">
      <c r="C352" s="69" t="s">
        <v>1278</v>
      </c>
      <c r="D352" s="69" t="s">
        <v>901</v>
      </c>
      <c r="E352" s="426">
        <v>17708333.333333336</v>
      </c>
      <c r="F352" s="426">
        <v>17708333.333333336</v>
      </c>
      <c r="G352" s="426">
        <v>17708333.333333336</v>
      </c>
      <c r="H352" s="426">
        <v>17708333.333333336</v>
      </c>
      <c r="I352" s="426">
        <v>17708333.333333336</v>
      </c>
      <c r="J352" s="426">
        <v>17708333.333333336</v>
      </c>
      <c r="K352" s="426">
        <v>17708333.333333336</v>
      </c>
      <c r="L352" s="426">
        <v>17708333.333333336</v>
      </c>
      <c r="M352" s="426">
        <v>17708333.333333336</v>
      </c>
      <c r="N352" s="426">
        <v>17708333.333333336</v>
      </c>
      <c r="O352" s="426" t="s">
        <v>3565</v>
      </c>
    </row>
    <row r="353" spans="2:15" s="69" customFormat="1">
      <c r="C353" s="69" t="s">
        <v>1278</v>
      </c>
      <c r="D353" s="69" t="s">
        <v>902</v>
      </c>
      <c r="E353" s="426">
        <v>26041666.666666664</v>
      </c>
      <c r="F353" s="426">
        <v>26041666.666666664</v>
      </c>
      <c r="G353" s="426">
        <v>26041666.666666664</v>
      </c>
      <c r="H353" s="426">
        <v>26041666.666666664</v>
      </c>
      <c r="I353" s="426">
        <v>26041666.666666664</v>
      </c>
      <c r="J353" s="426">
        <v>26041666.666666664</v>
      </c>
      <c r="K353" s="426">
        <v>26041666.666666664</v>
      </c>
      <c r="L353" s="426">
        <v>26041666.666666664</v>
      </c>
      <c r="M353" s="426">
        <v>26041666.666666664</v>
      </c>
      <c r="N353" s="426">
        <v>26041666.666666664</v>
      </c>
      <c r="O353" s="426" t="s">
        <v>3566</v>
      </c>
    </row>
    <row r="354" spans="2:15" s="69" customFormat="1">
      <c r="D354" s="69" t="s">
        <v>2101</v>
      </c>
      <c r="E354" s="426">
        <v>64583333.333333336</v>
      </c>
      <c r="F354" s="426">
        <v>64583333.333333336</v>
      </c>
      <c r="G354" s="426">
        <v>64583333.333333336</v>
      </c>
      <c r="H354" s="426">
        <v>64583333.333333336</v>
      </c>
      <c r="I354" s="426">
        <v>64583333.333333336</v>
      </c>
      <c r="J354" s="426">
        <v>64583333.333333336</v>
      </c>
      <c r="K354" s="426">
        <v>64583333.333333336</v>
      </c>
      <c r="L354" s="426">
        <v>64583333.333333336</v>
      </c>
      <c r="M354" s="426">
        <v>64583333.333333336</v>
      </c>
      <c r="N354" s="426">
        <v>64583333.333333336</v>
      </c>
      <c r="O354" s="426" t="s">
        <v>3567</v>
      </c>
    </row>
    <row r="355" spans="2:15" s="69" customFormat="1">
      <c r="E355" s="426"/>
      <c r="F355" s="426"/>
      <c r="G355" s="426"/>
      <c r="H355" s="426"/>
      <c r="I355" s="426"/>
      <c r="J355" s="426"/>
      <c r="K355" s="426"/>
      <c r="L355" s="426"/>
      <c r="M355" s="426"/>
      <c r="N355" s="426"/>
      <c r="O355" s="426"/>
    </row>
    <row r="356" spans="2:15" s="69" customFormat="1">
      <c r="C356" s="69" t="s">
        <v>1279</v>
      </c>
      <c r="D356" s="69" t="s">
        <v>899</v>
      </c>
      <c r="E356" s="426">
        <v>11718750</v>
      </c>
      <c r="F356" s="426">
        <v>11718750</v>
      </c>
      <c r="G356" s="426">
        <v>11718750</v>
      </c>
      <c r="H356" s="426">
        <v>11718750</v>
      </c>
      <c r="I356" s="426">
        <v>11718750</v>
      </c>
      <c r="J356" s="426">
        <v>11718750</v>
      </c>
      <c r="K356" s="426">
        <v>11718750</v>
      </c>
      <c r="L356" s="426">
        <v>11718750</v>
      </c>
      <c r="M356" s="426">
        <v>11718750</v>
      </c>
      <c r="N356" s="426">
        <v>11718750</v>
      </c>
      <c r="O356" s="426" t="s">
        <v>3568</v>
      </c>
    </row>
    <row r="357" spans="2:15" s="69" customFormat="1">
      <c r="C357" s="69" t="s">
        <v>1279</v>
      </c>
      <c r="D357" s="69" t="s">
        <v>900</v>
      </c>
      <c r="E357" s="426">
        <v>14322916.666666664</v>
      </c>
      <c r="F357" s="426">
        <v>14322916.666666664</v>
      </c>
      <c r="G357" s="426">
        <v>14322916.666666664</v>
      </c>
      <c r="H357" s="426">
        <v>14322916.666666664</v>
      </c>
      <c r="I357" s="426">
        <v>14322916.666666664</v>
      </c>
      <c r="J357" s="426">
        <v>14322916.666666664</v>
      </c>
      <c r="K357" s="426">
        <v>14322916.666666664</v>
      </c>
      <c r="L357" s="426">
        <v>14322916.666666664</v>
      </c>
      <c r="M357" s="426">
        <v>14322916.666666664</v>
      </c>
      <c r="N357" s="426">
        <v>14322916.666666664</v>
      </c>
      <c r="O357" s="426" t="s">
        <v>3569</v>
      </c>
    </row>
    <row r="358" spans="2:15" s="69" customFormat="1">
      <c r="C358" s="69" t="s">
        <v>1279</v>
      </c>
      <c r="D358" s="69" t="s">
        <v>901</v>
      </c>
      <c r="E358" s="426">
        <v>22135416.666666672</v>
      </c>
      <c r="F358" s="426">
        <v>22135416.666666672</v>
      </c>
      <c r="G358" s="426">
        <v>22135416.666666672</v>
      </c>
      <c r="H358" s="426">
        <v>22135416.666666672</v>
      </c>
      <c r="I358" s="426">
        <v>22135416.666666672</v>
      </c>
      <c r="J358" s="426">
        <v>22135416.666666672</v>
      </c>
      <c r="K358" s="426">
        <v>22135416.666666672</v>
      </c>
      <c r="L358" s="426">
        <v>22135416.666666672</v>
      </c>
      <c r="M358" s="426">
        <v>22135416.666666672</v>
      </c>
      <c r="N358" s="426">
        <v>22135416.666666672</v>
      </c>
      <c r="O358" s="426" t="s">
        <v>3570</v>
      </c>
    </row>
    <row r="359" spans="2:15" s="69" customFormat="1">
      <c r="C359" s="69" t="s">
        <v>1279</v>
      </c>
      <c r="D359" s="69" t="s">
        <v>902</v>
      </c>
      <c r="E359" s="426">
        <v>32552083.333333328</v>
      </c>
      <c r="F359" s="426">
        <v>32552083.333333328</v>
      </c>
      <c r="G359" s="426">
        <v>32552083.333333328</v>
      </c>
      <c r="H359" s="426">
        <v>32552083.333333328</v>
      </c>
      <c r="I359" s="426">
        <v>32552083.333333328</v>
      </c>
      <c r="J359" s="426">
        <v>32552083.333333328</v>
      </c>
      <c r="K359" s="426">
        <v>32552083.333333328</v>
      </c>
      <c r="L359" s="426">
        <v>32552083.333333328</v>
      </c>
      <c r="M359" s="426">
        <v>32552083.333333328</v>
      </c>
      <c r="N359" s="426">
        <v>32552083.333333328</v>
      </c>
      <c r="O359" s="426" t="s">
        <v>3571</v>
      </c>
    </row>
    <row r="360" spans="2:15" s="69" customFormat="1">
      <c r="D360" s="69" t="s">
        <v>2101</v>
      </c>
      <c r="E360" s="426">
        <v>80729166.666666657</v>
      </c>
      <c r="F360" s="426">
        <v>80729166.666666657</v>
      </c>
      <c r="G360" s="426">
        <v>80729166.666666657</v>
      </c>
      <c r="H360" s="426">
        <v>80729166.666666657</v>
      </c>
      <c r="I360" s="426">
        <v>80729166.666666657</v>
      </c>
      <c r="J360" s="426">
        <v>80729166.666666657</v>
      </c>
      <c r="K360" s="426">
        <v>80729166.666666657</v>
      </c>
      <c r="L360" s="426">
        <v>80729166.666666657</v>
      </c>
      <c r="M360" s="426">
        <v>80729166.666666657</v>
      </c>
      <c r="N360" s="426">
        <v>80729166.666666657</v>
      </c>
      <c r="O360" s="426" t="s">
        <v>3572</v>
      </c>
    </row>
    <row r="361" spans="2:15">
      <c r="E361" s="419"/>
      <c r="F361" s="419"/>
      <c r="G361" s="419"/>
      <c r="H361" s="419"/>
      <c r="I361" s="419"/>
      <c r="J361" s="419"/>
      <c r="K361" s="419"/>
      <c r="L361" s="419"/>
      <c r="M361" s="419"/>
      <c r="N361" s="419"/>
    </row>
    <row r="362" spans="2:15" s="69" customFormat="1">
      <c r="B362" s="69" t="s">
        <v>690</v>
      </c>
      <c r="E362" s="417"/>
      <c r="F362" s="417"/>
      <c r="G362" s="417"/>
      <c r="H362" s="417"/>
      <c r="I362" s="417"/>
      <c r="J362" s="417"/>
      <c r="K362" s="417"/>
      <c r="L362" s="417"/>
      <c r="M362" s="417"/>
      <c r="N362" s="417"/>
    </row>
    <row r="363" spans="2:15" s="69" customFormat="1">
      <c r="C363" s="217" t="s">
        <v>140</v>
      </c>
      <c r="E363" s="417"/>
      <c r="F363" s="417"/>
      <c r="G363" s="417"/>
      <c r="H363" s="417"/>
      <c r="I363" s="417"/>
      <c r="J363" s="417"/>
      <c r="K363" s="417"/>
      <c r="L363" s="417"/>
      <c r="M363" s="417"/>
      <c r="N363" s="417"/>
    </row>
    <row r="364" spans="2:15" s="410" customFormat="1">
      <c r="D364" s="410" t="s">
        <v>2950</v>
      </c>
      <c r="E364" s="418">
        <v>115131206.66485702</v>
      </c>
      <c r="F364" s="418">
        <v>115131206.66485702</v>
      </c>
      <c r="G364" s="418">
        <v>115131206.66485702</v>
      </c>
      <c r="H364" s="418">
        <v>115131206.66485702</v>
      </c>
      <c r="I364" s="418">
        <v>115131206.66485702</v>
      </c>
      <c r="J364" s="418">
        <v>115131206.66485702</v>
      </c>
      <c r="K364" s="418">
        <v>115131206.66485702</v>
      </c>
      <c r="L364" s="418">
        <v>115131206.66485702</v>
      </c>
      <c r="M364" s="418">
        <v>115131206.66485702</v>
      </c>
      <c r="N364" s="418">
        <v>115131206.66485702</v>
      </c>
      <c r="O364" s="410" t="s">
        <v>3573</v>
      </c>
    </row>
    <row r="365" spans="2:15" s="410" customFormat="1">
      <c r="D365" s="410" t="s">
        <v>2952</v>
      </c>
      <c r="E365" s="418">
        <v>119618442.43590564</v>
      </c>
      <c r="F365" s="418">
        <v>119618442.43590564</v>
      </c>
      <c r="G365" s="418">
        <v>119618442.43590564</v>
      </c>
      <c r="H365" s="418">
        <v>119618442.43590564</v>
      </c>
      <c r="I365" s="418">
        <v>119618442.43590564</v>
      </c>
      <c r="J365" s="418">
        <v>119618442.43590564</v>
      </c>
      <c r="K365" s="418">
        <v>119618442.43590564</v>
      </c>
      <c r="L365" s="418">
        <v>119618442.43590564</v>
      </c>
      <c r="M365" s="418">
        <v>119618442.43590564</v>
      </c>
      <c r="N365" s="418">
        <v>119618442.43590564</v>
      </c>
      <c r="O365" s="410" t="s">
        <v>3574</v>
      </c>
    </row>
    <row r="366" spans="2:15" s="410" customFormat="1">
      <c r="D366" s="410" t="s">
        <v>2954</v>
      </c>
      <c r="E366" s="418">
        <v>126552551.81532486</v>
      </c>
      <c r="F366" s="418">
        <v>126552551.81532486</v>
      </c>
      <c r="G366" s="418">
        <v>126552551.81532486</v>
      </c>
      <c r="H366" s="418">
        <v>126552551.81532486</v>
      </c>
      <c r="I366" s="418">
        <v>126552551.81532486</v>
      </c>
      <c r="J366" s="418">
        <v>126552551.81532486</v>
      </c>
      <c r="K366" s="418">
        <v>126552551.81532486</v>
      </c>
      <c r="L366" s="418">
        <v>126552551.81532486</v>
      </c>
      <c r="M366" s="418">
        <v>126552551.81532486</v>
      </c>
      <c r="N366" s="418">
        <v>126552551.81532486</v>
      </c>
      <c r="O366" s="410" t="s">
        <v>3575</v>
      </c>
    </row>
    <row r="367" spans="2:15" s="410" customFormat="1">
      <c r="D367" s="410" t="s">
        <v>2956</v>
      </c>
      <c r="E367" s="418">
        <v>136748787.67570418</v>
      </c>
      <c r="F367" s="418">
        <v>136748787.67570418</v>
      </c>
      <c r="G367" s="418">
        <v>136748787.67570418</v>
      </c>
      <c r="H367" s="418">
        <v>136748787.67570418</v>
      </c>
      <c r="I367" s="418">
        <v>136748787.67570418</v>
      </c>
      <c r="J367" s="418">
        <v>136748787.67570418</v>
      </c>
      <c r="K367" s="418">
        <v>136748787.67570418</v>
      </c>
      <c r="L367" s="418">
        <v>136748787.67570418</v>
      </c>
      <c r="M367" s="418">
        <v>136748787.67570418</v>
      </c>
      <c r="N367" s="418">
        <v>136748787.67570418</v>
      </c>
      <c r="O367" s="410" t="s">
        <v>3576</v>
      </c>
    </row>
    <row r="368" spans="2:15">
      <c r="D368" s="217" t="s">
        <v>492</v>
      </c>
      <c r="E368" s="419">
        <v>498050988.59179169</v>
      </c>
      <c r="F368" s="419">
        <v>498050988.59179169</v>
      </c>
      <c r="G368" s="419">
        <v>498050988.59179169</v>
      </c>
      <c r="H368" s="419">
        <v>498050988.59179169</v>
      </c>
      <c r="I368" s="419">
        <v>498050988.59179169</v>
      </c>
      <c r="J368" s="419">
        <v>498050988.59179169</v>
      </c>
      <c r="K368" s="419">
        <v>498050988.59179169</v>
      </c>
      <c r="L368" s="419">
        <v>498050988.59179169</v>
      </c>
      <c r="M368" s="419">
        <v>498050988.59179169</v>
      </c>
      <c r="N368" s="419">
        <v>498050988.59179169</v>
      </c>
      <c r="O368" s="410" t="s">
        <v>3577</v>
      </c>
    </row>
    <row r="369" spans="1:15">
      <c r="D369" s="217"/>
      <c r="E369" s="419"/>
      <c r="F369" s="777"/>
      <c r="G369" s="419"/>
      <c r="H369" s="419"/>
      <c r="I369" s="419"/>
      <c r="J369" s="419"/>
      <c r="K369" s="419"/>
      <c r="L369" s="419"/>
      <c r="M369" s="419"/>
      <c r="N369" s="419"/>
      <c r="O369" s="410"/>
    </row>
    <row r="370" spans="1:15">
      <c r="C370" s="65" t="s">
        <v>434</v>
      </c>
      <c r="E370" s="419"/>
      <c r="F370" s="419"/>
      <c r="G370" s="419"/>
      <c r="H370" s="419"/>
      <c r="I370" s="419"/>
      <c r="J370" s="419"/>
      <c r="K370" s="419"/>
      <c r="L370" s="419"/>
      <c r="M370" s="419"/>
      <c r="N370" s="419"/>
    </row>
    <row r="371" spans="1:15">
      <c r="D371" s="410" t="s">
        <v>2959</v>
      </c>
      <c r="E371" s="419">
        <v>23026241.332971405</v>
      </c>
      <c r="F371" s="419">
        <v>23026241.332971405</v>
      </c>
      <c r="G371" s="419">
        <v>23026241.332971405</v>
      </c>
      <c r="H371" s="419">
        <v>23026241.332971405</v>
      </c>
      <c r="I371" s="419">
        <v>23026241.332971405</v>
      </c>
      <c r="J371" s="419">
        <v>23026241.332971405</v>
      </c>
      <c r="K371" s="419">
        <v>23026241.332971405</v>
      </c>
      <c r="L371" s="419">
        <v>23026241.332971405</v>
      </c>
      <c r="M371" s="419">
        <v>23026241.332971405</v>
      </c>
      <c r="N371" s="419">
        <v>23026241.332971405</v>
      </c>
      <c r="O371" s="410" t="s">
        <v>3578</v>
      </c>
    </row>
    <row r="372" spans="1:15">
      <c r="D372" s="410" t="s">
        <v>2961</v>
      </c>
      <c r="E372" s="419">
        <v>23923688.487181127</v>
      </c>
      <c r="F372" s="419">
        <v>23923688.487181127</v>
      </c>
      <c r="G372" s="419">
        <v>23923688.487181127</v>
      </c>
      <c r="H372" s="419">
        <v>23923688.487181127</v>
      </c>
      <c r="I372" s="419">
        <v>23923688.487181127</v>
      </c>
      <c r="J372" s="419">
        <v>23923688.487181127</v>
      </c>
      <c r="K372" s="419">
        <v>23923688.487181127</v>
      </c>
      <c r="L372" s="419">
        <v>23923688.487181127</v>
      </c>
      <c r="M372" s="419">
        <v>23923688.487181127</v>
      </c>
      <c r="N372" s="419">
        <v>23923688.487181127</v>
      </c>
      <c r="O372" s="410" t="s">
        <v>3579</v>
      </c>
    </row>
    <row r="373" spans="1:15">
      <c r="D373" s="410" t="s">
        <v>2963</v>
      </c>
      <c r="E373" s="419">
        <v>25310510.363064975</v>
      </c>
      <c r="F373" s="419">
        <v>25310510.363064975</v>
      </c>
      <c r="G373" s="419">
        <v>25310510.363064975</v>
      </c>
      <c r="H373" s="419">
        <v>25310510.363064975</v>
      </c>
      <c r="I373" s="419">
        <v>25310510.363064975</v>
      </c>
      <c r="J373" s="419">
        <v>25310510.363064975</v>
      </c>
      <c r="K373" s="419">
        <v>25310510.363064975</v>
      </c>
      <c r="L373" s="419">
        <v>25310510.363064975</v>
      </c>
      <c r="M373" s="419">
        <v>25310510.363064975</v>
      </c>
      <c r="N373" s="419">
        <v>25310510.363064975</v>
      </c>
      <c r="O373" s="410" t="s">
        <v>3580</v>
      </c>
    </row>
    <row r="374" spans="1:15">
      <c r="D374" s="410" t="s">
        <v>2965</v>
      </c>
      <c r="E374" s="419">
        <v>27349757.535140838</v>
      </c>
      <c r="F374" s="419">
        <v>27349757.535140838</v>
      </c>
      <c r="G374" s="419">
        <v>27349757.535140838</v>
      </c>
      <c r="H374" s="419">
        <v>27349757.535140838</v>
      </c>
      <c r="I374" s="419">
        <v>27349757.535140838</v>
      </c>
      <c r="J374" s="419">
        <v>27349757.535140838</v>
      </c>
      <c r="K374" s="419">
        <v>27349757.535140838</v>
      </c>
      <c r="L374" s="419">
        <v>27349757.535140838</v>
      </c>
      <c r="M374" s="419">
        <v>27349757.535140838</v>
      </c>
      <c r="N374" s="419">
        <v>27349757.535140838</v>
      </c>
      <c r="O374" s="410" t="s">
        <v>3581</v>
      </c>
    </row>
    <row r="375" spans="1:15" s="65" customFormat="1">
      <c r="D375" s="217" t="s">
        <v>930</v>
      </c>
      <c r="E375" s="420">
        <v>99610197.718358353</v>
      </c>
      <c r="F375" s="420">
        <v>99610197.718358353</v>
      </c>
      <c r="G375" s="420">
        <v>99610197.718358353</v>
      </c>
      <c r="H375" s="420">
        <v>99610197.718358353</v>
      </c>
      <c r="I375" s="420">
        <v>99610197.718358353</v>
      </c>
      <c r="J375" s="420">
        <v>99610197.718358353</v>
      </c>
      <c r="K375" s="420">
        <v>99610197.718358353</v>
      </c>
      <c r="L375" s="420">
        <v>99610197.718358353</v>
      </c>
      <c r="M375" s="420">
        <v>99610197.718358353</v>
      </c>
      <c r="N375" s="420">
        <v>99610197.718358353</v>
      </c>
      <c r="O375" s="217" t="s">
        <v>3582</v>
      </c>
    </row>
    <row r="376" spans="1:15">
      <c r="E376" s="419"/>
      <c r="F376" s="419"/>
      <c r="G376" s="419"/>
      <c r="H376" s="419"/>
      <c r="I376" s="419"/>
      <c r="J376" s="419"/>
      <c r="K376" s="419"/>
      <c r="L376" s="419"/>
      <c r="M376" s="419"/>
      <c r="N376" s="419"/>
    </row>
    <row r="377" spans="1:15">
      <c r="C377" t="s">
        <v>237</v>
      </c>
      <c r="E377" s="420">
        <v>398440790.87343335</v>
      </c>
      <c r="F377" s="420">
        <v>398440790.87343335</v>
      </c>
      <c r="G377" s="420">
        <v>398440790.87343335</v>
      </c>
      <c r="H377" s="420">
        <v>398440790.87343335</v>
      </c>
      <c r="I377" s="420">
        <v>398440790.87343335</v>
      </c>
      <c r="J377" s="420">
        <v>398440790.87343335</v>
      </c>
      <c r="K377" s="420">
        <v>398440790.87343335</v>
      </c>
      <c r="L377" s="420">
        <v>398440790.87343335</v>
      </c>
      <c r="M377" s="420">
        <v>398440790.87343335</v>
      </c>
      <c r="N377" s="420">
        <v>398440790.87343335</v>
      </c>
      <c r="O377" s="410" t="s">
        <v>3583</v>
      </c>
    </row>
    <row r="378" spans="1:15" s="295" customFormat="1">
      <c r="D378" s="421" t="s">
        <v>967</v>
      </c>
      <c r="E378" s="422">
        <v>0.8</v>
      </c>
      <c r="F378" s="422">
        <v>0.8</v>
      </c>
      <c r="G378" s="422">
        <v>0.8</v>
      </c>
      <c r="H378" s="422">
        <v>0.8</v>
      </c>
      <c r="I378" s="422">
        <v>0.8</v>
      </c>
      <c r="J378" s="422">
        <v>0.8</v>
      </c>
      <c r="K378" s="422">
        <v>0.8</v>
      </c>
      <c r="L378" s="422">
        <v>0.8</v>
      </c>
      <c r="M378" s="422">
        <v>0.8</v>
      </c>
      <c r="N378" s="422">
        <v>0.8</v>
      </c>
      <c r="O378" s="423" t="s">
        <v>3584</v>
      </c>
    </row>
    <row r="379" spans="1:15" s="295" customFormat="1">
      <c r="D379" s="421"/>
      <c r="E379" s="422"/>
      <c r="F379" s="422"/>
      <c r="G379" s="422"/>
      <c r="H379" s="422"/>
      <c r="I379" s="422"/>
      <c r="J379" s="422"/>
      <c r="K379" s="422"/>
      <c r="L379" s="422"/>
      <c r="M379" s="422"/>
      <c r="N379" s="422"/>
      <c r="O379" s="423"/>
    </row>
    <row r="380" spans="1:15">
      <c r="A380" s="65" t="s">
        <v>422</v>
      </c>
      <c r="E380" s="419"/>
      <c r="F380" s="419"/>
      <c r="G380" s="419"/>
      <c r="H380" s="419"/>
      <c r="I380" s="419"/>
      <c r="J380" s="419"/>
      <c r="K380" s="419"/>
      <c r="L380" s="419"/>
      <c r="M380" s="419"/>
      <c r="N380" s="419"/>
    </row>
    <row r="381" spans="1:15">
      <c r="C381" t="s">
        <v>936</v>
      </c>
      <c r="E381" s="419"/>
      <c r="F381" s="419"/>
      <c r="G381" s="419"/>
      <c r="H381" s="419"/>
      <c r="I381" s="419"/>
      <c r="J381" s="419"/>
      <c r="K381" s="419"/>
      <c r="L381" s="419"/>
      <c r="M381" s="419"/>
      <c r="N381" s="419"/>
    </row>
    <row r="382" spans="1:15">
      <c r="D382" t="s">
        <v>2970</v>
      </c>
      <c r="E382" s="419">
        <v>51233386.965861373</v>
      </c>
      <c r="F382" s="419">
        <v>51233386.965861373</v>
      </c>
      <c r="G382" s="419">
        <v>51233386.965861373</v>
      </c>
      <c r="H382" s="419">
        <v>51233386.965861373</v>
      </c>
      <c r="I382" s="419">
        <v>51233386.965861373</v>
      </c>
      <c r="J382" s="419">
        <v>51233386.965861373</v>
      </c>
      <c r="K382" s="419">
        <v>51233386.965861373</v>
      </c>
      <c r="L382" s="419">
        <v>51233386.965861373</v>
      </c>
      <c r="M382" s="419">
        <v>51233386.965861373</v>
      </c>
      <c r="N382" s="419">
        <v>51233386.965861373</v>
      </c>
      <c r="O382" t="s">
        <v>3585</v>
      </c>
    </row>
    <row r="383" spans="1:15">
      <c r="D383" t="s">
        <v>2972</v>
      </c>
      <c r="E383" s="419">
        <v>53230206.883978009</v>
      </c>
      <c r="F383" s="419">
        <v>53230206.883978009</v>
      </c>
      <c r="G383" s="419">
        <v>53230206.883978009</v>
      </c>
      <c r="H383" s="419">
        <v>53230206.883978009</v>
      </c>
      <c r="I383" s="419">
        <v>53230206.883978009</v>
      </c>
      <c r="J383" s="419">
        <v>53230206.883978009</v>
      </c>
      <c r="K383" s="419">
        <v>53230206.883978009</v>
      </c>
      <c r="L383" s="419">
        <v>53230206.883978009</v>
      </c>
      <c r="M383" s="419">
        <v>53230206.883978009</v>
      </c>
      <c r="N383" s="419">
        <v>53230206.883978009</v>
      </c>
      <c r="O383" t="s">
        <v>3586</v>
      </c>
    </row>
    <row r="384" spans="1:15">
      <c r="D384" t="s">
        <v>2974</v>
      </c>
      <c r="E384" s="419">
        <v>56315885.55781956</v>
      </c>
      <c r="F384" s="419">
        <v>56315885.55781956</v>
      </c>
      <c r="G384" s="419">
        <v>56315885.55781956</v>
      </c>
      <c r="H384" s="419">
        <v>56315885.55781956</v>
      </c>
      <c r="I384" s="419">
        <v>56315885.55781956</v>
      </c>
      <c r="J384" s="419">
        <v>56315885.55781956</v>
      </c>
      <c r="K384" s="419">
        <v>56315885.55781956</v>
      </c>
      <c r="L384" s="419">
        <v>56315885.55781956</v>
      </c>
      <c r="M384" s="419">
        <v>56315885.55781956</v>
      </c>
      <c r="N384" s="419">
        <v>56315885.55781956</v>
      </c>
      <c r="O384" t="s">
        <v>3587</v>
      </c>
    </row>
    <row r="385" spans="3:15">
      <c r="D385" t="s">
        <v>2976</v>
      </c>
      <c r="E385" s="419">
        <v>60853210.51568836</v>
      </c>
      <c r="F385" s="419">
        <v>60853210.51568836</v>
      </c>
      <c r="G385" s="419">
        <v>60853210.51568836</v>
      </c>
      <c r="H385" s="419">
        <v>60853210.51568836</v>
      </c>
      <c r="I385" s="419">
        <v>60853210.51568836</v>
      </c>
      <c r="J385" s="419">
        <v>60853210.51568836</v>
      </c>
      <c r="K385" s="419">
        <v>60853210.51568836</v>
      </c>
      <c r="L385" s="419">
        <v>60853210.51568836</v>
      </c>
      <c r="M385" s="419">
        <v>60853210.51568836</v>
      </c>
      <c r="N385" s="419">
        <v>60853210.51568836</v>
      </c>
      <c r="O385" t="s">
        <v>3588</v>
      </c>
    </row>
    <row r="386" spans="3:15" s="65" customFormat="1">
      <c r="D386" s="65" t="s">
        <v>949</v>
      </c>
      <c r="E386" s="420">
        <v>221632689.92334729</v>
      </c>
      <c r="F386" s="420">
        <v>221632689.92334729</v>
      </c>
      <c r="G386" s="420">
        <v>221632689.92334729</v>
      </c>
      <c r="H386" s="420">
        <v>221632689.92334729</v>
      </c>
      <c r="I386" s="420">
        <v>221632689.92334729</v>
      </c>
      <c r="J386" s="420">
        <v>221632689.92334729</v>
      </c>
      <c r="K386" s="420">
        <v>221632689.92334729</v>
      </c>
      <c r="L386" s="420">
        <v>221632689.92334729</v>
      </c>
      <c r="M386" s="420">
        <v>221632689.92334729</v>
      </c>
      <c r="N386" s="420">
        <v>221632689.92334729</v>
      </c>
      <c r="O386" s="65" t="s">
        <v>3589</v>
      </c>
    </row>
    <row r="387" spans="3:15">
      <c r="C387" t="s">
        <v>424</v>
      </c>
      <c r="E387" s="419"/>
      <c r="F387" s="419"/>
      <c r="G387" s="419"/>
      <c r="H387" s="419"/>
      <c r="I387" s="419"/>
      <c r="J387" s="419"/>
      <c r="K387" s="419"/>
      <c r="L387" s="419"/>
      <c r="M387" s="419"/>
      <c r="N387" s="419"/>
    </row>
    <row r="388" spans="3:15">
      <c r="D388" t="s">
        <v>2979</v>
      </c>
      <c r="E388" s="419">
        <v>38338691.81939739</v>
      </c>
      <c r="F388" s="419">
        <v>38338691.81939739</v>
      </c>
      <c r="G388" s="419">
        <v>38338691.81939739</v>
      </c>
      <c r="H388" s="419">
        <v>38338691.81939739</v>
      </c>
      <c r="I388" s="419">
        <v>38338691.81939739</v>
      </c>
      <c r="J388" s="419">
        <v>38338691.81939739</v>
      </c>
      <c r="K388" s="419">
        <v>38338691.81939739</v>
      </c>
      <c r="L388" s="419">
        <v>38338691.81939739</v>
      </c>
      <c r="M388" s="419">
        <v>38338691.81939739</v>
      </c>
      <c r="N388" s="419">
        <v>38338691.81939739</v>
      </c>
      <c r="O388" t="s">
        <v>3590</v>
      </c>
    </row>
    <row r="389" spans="3:15">
      <c r="D389" t="s">
        <v>2981</v>
      </c>
      <c r="E389" s="419">
        <v>39832941.331156582</v>
      </c>
      <c r="F389" s="419">
        <v>39832941.331156582</v>
      </c>
      <c r="G389" s="419">
        <v>39832941.331156582</v>
      </c>
      <c r="H389" s="419">
        <v>39832941.331156582</v>
      </c>
      <c r="I389" s="419">
        <v>39832941.331156582</v>
      </c>
      <c r="J389" s="419">
        <v>39832941.331156582</v>
      </c>
      <c r="K389" s="419">
        <v>39832941.331156582</v>
      </c>
      <c r="L389" s="419">
        <v>39832941.331156582</v>
      </c>
      <c r="M389" s="419">
        <v>39832941.331156582</v>
      </c>
      <c r="N389" s="419">
        <v>39832941.331156582</v>
      </c>
      <c r="O389" t="s">
        <v>3591</v>
      </c>
    </row>
    <row r="390" spans="3:15">
      <c r="D390" t="s">
        <v>2983</v>
      </c>
      <c r="E390" s="419">
        <v>42141999.754503183</v>
      </c>
      <c r="F390" s="419">
        <v>42141999.754503183</v>
      </c>
      <c r="G390" s="419">
        <v>42141999.754503183</v>
      </c>
      <c r="H390" s="419">
        <v>42141999.754503183</v>
      </c>
      <c r="I390" s="419">
        <v>42141999.754503183</v>
      </c>
      <c r="J390" s="419">
        <v>42141999.754503183</v>
      </c>
      <c r="K390" s="419">
        <v>42141999.754503183</v>
      </c>
      <c r="L390" s="419">
        <v>42141999.754503183</v>
      </c>
      <c r="M390" s="419">
        <v>42141999.754503183</v>
      </c>
      <c r="N390" s="419">
        <v>42141999.754503183</v>
      </c>
      <c r="O390" t="s">
        <v>3592</v>
      </c>
    </row>
    <row r="391" spans="3:15">
      <c r="D391" t="s">
        <v>2985</v>
      </c>
      <c r="E391" s="419">
        <v>45537346.296009496</v>
      </c>
      <c r="F391" s="419">
        <v>45537346.296009496</v>
      </c>
      <c r="G391" s="419">
        <v>45537346.296009496</v>
      </c>
      <c r="H391" s="419">
        <v>45537346.296009496</v>
      </c>
      <c r="I391" s="419">
        <v>45537346.296009496</v>
      </c>
      <c r="J391" s="419">
        <v>45537346.296009496</v>
      </c>
      <c r="K391" s="419">
        <v>45537346.296009496</v>
      </c>
      <c r="L391" s="419">
        <v>45537346.296009496</v>
      </c>
      <c r="M391" s="419">
        <v>45537346.296009496</v>
      </c>
      <c r="N391" s="419">
        <v>45537346.296009496</v>
      </c>
      <c r="O391" t="s">
        <v>3593</v>
      </c>
    </row>
    <row r="392" spans="3:15" s="65" customFormat="1">
      <c r="D392" s="65" t="s">
        <v>1109</v>
      </c>
      <c r="E392" s="420">
        <v>165850979.20106667</v>
      </c>
      <c r="F392" s="420">
        <v>165850979.20106667</v>
      </c>
      <c r="G392" s="420">
        <v>165850979.20106667</v>
      </c>
      <c r="H392" s="420">
        <v>165850979.20106667</v>
      </c>
      <c r="I392" s="420">
        <v>165850979.20106667</v>
      </c>
      <c r="J392" s="420">
        <v>165850979.20106667</v>
      </c>
      <c r="K392" s="420">
        <v>165850979.20106667</v>
      </c>
      <c r="L392" s="420">
        <v>165850979.20106667</v>
      </c>
      <c r="M392" s="420">
        <v>165850979.20106667</v>
      </c>
      <c r="N392" s="420">
        <v>165850979.20106667</v>
      </c>
      <c r="O392" s="65" t="s">
        <v>3594</v>
      </c>
    </row>
    <row r="393" spans="3:15">
      <c r="C393" t="s">
        <v>403</v>
      </c>
      <c r="E393" s="419"/>
      <c r="F393" s="419"/>
      <c r="G393" s="419"/>
      <c r="H393" s="419"/>
      <c r="I393" s="419"/>
      <c r="J393" s="419"/>
      <c r="K393" s="419"/>
      <c r="L393" s="419"/>
      <c r="M393" s="419"/>
      <c r="N393" s="419"/>
    </row>
    <row r="394" spans="3:15">
      <c r="D394" t="s">
        <v>2988</v>
      </c>
      <c r="E394" s="419">
        <v>24407815.812949687</v>
      </c>
      <c r="F394" s="419">
        <v>24407815.812949687</v>
      </c>
      <c r="G394" s="419">
        <v>24407815.812949687</v>
      </c>
      <c r="H394" s="419">
        <v>24407815.812949687</v>
      </c>
      <c r="I394" s="419">
        <v>24407815.812949687</v>
      </c>
      <c r="J394" s="419">
        <v>24407815.812949687</v>
      </c>
      <c r="K394" s="419">
        <v>24407815.812949687</v>
      </c>
      <c r="L394" s="419">
        <v>24407815.812949687</v>
      </c>
      <c r="M394" s="419">
        <v>24407815.812949687</v>
      </c>
      <c r="N394" s="419">
        <v>24407815.812949687</v>
      </c>
      <c r="O394" t="s">
        <v>3595</v>
      </c>
    </row>
    <row r="395" spans="3:15">
      <c r="D395" t="s">
        <v>2990</v>
      </c>
      <c r="E395" s="419">
        <v>25359109.796411995</v>
      </c>
      <c r="F395" s="419">
        <v>25359109.796411995</v>
      </c>
      <c r="G395" s="419">
        <v>25359109.796411995</v>
      </c>
      <c r="H395" s="419">
        <v>25359109.796411995</v>
      </c>
      <c r="I395" s="419">
        <v>25359109.796411995</v>
      </c>
      <c r="J395" s="419">
        <v>25359109.796411995</v>
      </c>
      <c r="K395" s="419">
        <v>25359109.796411995</v>
      </c>
      <c r="L395" s="419">
        <v>25359109.796411995</v>
      </c>
      <c r="M395" s="419">
        <v>25359109.796411995</v>
      </c>
      <c r="N395" s="419">
        <v>25359109.796411995</v>
      </c>
      <c r="O395" t="s">
        <v>3596</v>
      </c>
    </row>
    <row r="396" spans="3:15">
      <c r="D396" t="s">
        <v>2992</v>
      </c>
      <c r="E396" s="419">
        <v>26829140.984848868</v>
      </c>
      <c r="F396" s="419">
        <v>26829140.984848868</v>
      </c>
      <c r="G396" s="419">
        <v>26829140.984848868</v>
      </c>
      <c r="H396" s="419">
        <v>26829140.984848868</v>
      </c>
      <c r="I396" s="419">
        <v>26829140.984848868</v>
      </c>
      <c r="J396" s="419">
        <v>26829140.984848868</v>
      </c>
      <c r="K396" s="419">
        <v>26829140.984848868</v>
      </c>
      <c r="L396" s="419">
        <v>26829140.984848868</v>
      </c>
      <c r="M396" s="419">
        <v>26829140.984848868</v>
      </c>
      <c r="N396" s="419">
        <v>26829140.984848868</v>
      </c>
      <c r="O396" t="s">
        <v>3597</v>
      </c>
    </row>
    <row r="397" spans="3:15">
      <c r="D397" t="s">
        <v>2994</v>
      </c>
      <c r="E397" s="419">
        <v>28990742.987249285</v>
      </c>
      <c r="F397" s="419">
        <v>28990742.987249285</v>
      </c>
      <c r="G397" s="419">
        <v>28990742.987249285</v>
      </c>
      <c r="H397" s="419">
        <v>28990742.987249285</v>
      </c>
      <c r="I397" s="419">
        <v>28990742.987249285</v>
      </c>
      <c r="J397" s="419">
        <v>28990742.987249285</v>
      </c>
      <c r="K397" s="419">
        <v>28990742.987249285</v>
      </c>
      <c r="L397" s="419">
        <v>28990742.987249285</v>
      </c>
      <c r="M397" s="419">
        <v>28990742.987249285</v>
      </c>
      <c r="N397" s="419">
        <v>28990742.987249285</v>
      </c>
      <c r="O397" t="s">
        <v>3598</v>
      </c>
    </row>
    <row r="398" spans="3:15" s="65" customFormat="1">
      <c r="D398" s="65" t="s">
        <v>1104</v>
      </c>
      <c r="E398" s="420">
        <v>105586809.58145984</v>
      </c>
      <c r="F398" s="420">
        <v>105586809.58145984</v>
      </c>
      <c r="G398" s="420">
        <v>105586809.58145984</v>
      </c>
      <c r="H398" s="420">
        <v>105586809.58145984</v>
      </c>
      <c r="I398" s="420">
        <v>105586809.58145984</v>
      </c>
      <c r="J398" s="420">
        <v>105586809.58145984</v>
      </c>
      <c r="K398" s="420">
        <v>105586809.58145984</v>
      </c>
      <c r="L398" s="420">
        <v>105586809.58145984</v>
      </c>
      <c r="M398" s="420">
        <v>105586809.58145984</v>
      </c>
      <c r="N398" s="420">
        <v>105586809.58145984</v>
      </c>
      <c r="O398" s="65" t="s">
        <v>3599</v>
      </c>
    </row>
    <row r="399" spans="3:15">
      <c r="E399" s="419"/>
      <c r="F399" s="419"/>
      <c r="G399" s="419"/>
      <c r="H399" s="419"/>
      <c r="I399" s="419"/>
      <c r="J399" s="419"/>
      <c r="K399" s="419"/>
      <c r="L399" s="419"/>
      <c r="M399" s="419"/>
      <c r="N399" s="419"/>
    </row>
    <row r="400" spans="3:15">
      <c r="D400" t="s">
        <v>426</v>
      </c>
      <c r="E400" s="419">
        <v>-94629687.832440451</v>
      </c>
      <c r="F400" s="419">
        <v>-94629687.832440451</v>
      </c>
      <c r="G400" s="419">
        <v>-94629687.832440451</v>
      </c>
      <c r="H400" s="419">
        <v>-94629687.832440451</v>
      </c>
      <c r="I400" s="419">
        <v>-94629687.832440451</v>
      </c>
      <c r="J400" s="419">
        <v>-94629687.832440451</v>
      </c>
      <c r="K400" s="419">
        <v>-94629687.832440451</v>
      </c>
      <c r="L400" s="419">
        <v>-94629687.832440451</v>
      </c>
      <c r="M400" s="419">
        <v>-94629687.832440451</v>
      </c>
      <c r="N400" s="419">
        <v>-94629687.832440451</v>
      </c>
      <c r="O400" t="s">
        <v>3600</v>
      </c>
    </row>
    <row r="401" spans="1:15" s="295" customFormat="1">
      <c r="D401" s="421" t="s">
        <v>967</v>
      </c>
      <c r="E401" s="422">
        <v>-0.19000000000000006</v>
      </c>
      <c r="F401" s="422">
        <v>-0.19000000000000006</v>
      </c>
      <c r="G401" s="422">
        <v>-0.19000000000000006</v>
      </c>
      <c r="H401" s="422">
        <v>-0.19000000000000006</v>
      </c>
      <c r="I401" s="422">
        <v>-0.19000000000000006</v>
      </c>
      <c r="J401" s="422">
        <v>-0.19000000000000006</v>
      </c>
      <c r="K401" s="422">
        <v>-0.19000000000000006</v>
      </c>
      <c r="L401" s="422">
        <v>-0.19000000000000006</v>
      </c>
      <c r="M401" s="422">
        <v>-0.19000000000000006</v>
      </c>
      <c r="N401" s="422">
        <v>-0.19000000000000006</v>
      </c>
      <c r="O401" s="295" t="s">
        <v>3601</v>
      </c>
    </row>
    <row r="402" spans="1:15" s="18" customFormat="1">
      <c r="A402" s="18" t="s">
        <v>113</v>
      </c>
      <c r="E402" s="24"/>
      <c r="F402" s="22"/>
      <c r="G402" s="22"/>
      <c r="H402" s="22"/>
      <c r="I402" s="22"/>
      <c r="J402" s="22"/>
      <c r="K402" s="22"/>
      <c r="L402" s="22"/>
      <c r="M402" s="22"/>
      <c r="N402" s="22"/>
    </row>
    <row r="403" spans="1:15">
      <c r="E403" s="26" t="s">
        <v>114</v>
      </c>
    </row>
  </sheetData>
  <conditionalFormatting sqref="Q45:Q46 Q50:Q52 Q53:R57 Q59:R61 Q65:R78">
    <cfRule type="cellIs" dxfId="47" priority="21" operator="equal">
      <formula>TRUE</formula>
    </cfRule>
  </conditionalFormatting>
  <conditionalFormatting sqref="R45:R46 R50:R52">
    <cfRule type="cellIs" dxfId="46" priority="20" operator="equal">
      <formula>TRUE</formula>
    </cfRule>
  </conditionalFormatting>
  <conditionalFormatting sqref="Q47:Q49">
    <cfRule type="cellIs" dxfId="45" priority="19" operator="equal">
      <formula>TRUE</formula>
    </cfRule>
  </conditionalFormatting>
  <conditionalFormatting sqref="R47:R49">
    <cfRule type="cellIs" dxfId="44" priority="18" operator="equal">
      <formula>TRUE</formula>
    </cfRule>
  </conditionalFormatting>
  <conditionalFormatting sqref="Q64:R64 Q79:R94">
    <cfRule type="cellIs" dxfId="43" priority="16" operator="equal">
      <formula>TRUE</formula>
    </cfRule>
  </conditionalFormatting>
  <conditionalFormatting sqref="Q58:R58">
    <cfRule type="cellIs" dxfId="42" priority="14" operator="equal">
      <formula>TRUE</formula>
    </cfRule>
  </conditionalFormatting>
  <conditionalFormatting sqref="Q62:R63">
    <cfRule type="cellIs" dxfId="41" priority="13" operator="equal">
      <formula>TRUE</formula>
    </cfRule>
  </conditionalFormatting>
  <conditionalFormatting sqref="Q33:Q36">
    <cfRule type="cellIs" dxfId="40" priority="11" operator="equal">
      <formula>TRUE</formula>
    </cfRule>
  </conditionalFormatting>
  <conditionalFormatting sqref="R33:R36">
    <cfRule type="cellIs" dxfId="39" priority="10" operator="equal">
      <formula>TRUE</formula>
    </cfRule>
  </conditionalFormatting>
  <conditionalFormatting sqref="Q37:Q38">
    <cfRule type="cellIs" dxfId="38" priority="9" operator="equal">
      <formula>TRUE</formula>
    </cfRule>
  </conditionalFormatting>
  <conditionalFormatting sqref="R37:R38">
    <cfRule type="cellIs" dxfId="37" priority="8" operator="equal">
      <formula>TRUE</formula>
    </cfRule>
  </conditionalFormatting>
  <conditionalFormatting sqref="Q39:Q40">
    <cfRule type="cellIs" dxfId="36" priority="7" operator="equal">
      <formula>TRUE</formula>
    </cfRule>
  </conditionalFormatting>
  <conditionalFormatting sqref="R39:R40">
    <cfRule type="cellIs" dxfId="35" priority="6" operator="equal">
      <formula>TRUE</formula>
    </cfRule>
  </conditionalFormatting>
  <conditionalFormatting sqref="Q41:Q42">
    <cfRule type="cellIs" dxfId="34" priority="5" operator="equal">
      <formula>TRUE</formula>
    </cfRule>
  </conditionalFormatting>
  <conditionalFormatting sqref="R41:R42">
    <cfRule type="cellIs" dxfId="33" priority="4" operator="equal">
      <formula>TRUE</formula>
    </cfRule>
  </conditionalFormatting>
  <conditionalFormatting sqref="Q43:Q44">
    <cfRule type="cellIs" dxfId="32" priority="3" operator="equal">
      <formula>TRUE</formula>
    </cfRule>
  </conditionalFormatting>
  <conditionalFormatting sqref="R43:R44">
    <cfRule type="cellIs" dxfId="31" priority="2" operator="equal">
      <formula>TRUE</formula>
    </cfRule>
  </conditionalFormatting>
  <conditionalFormatting sqref="Q96:R401">
    <cfRule type="cellIs" dxfId="30" priority="1" operator="equal">
      <formula>TRUE</formula>
    </cfRule>
  </conditionalFormatting>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K403"/>
  <sheetViews>
    <sheetView workbookViewId="0"/>
  </sheetViews>
  <sheetFormatPr defaultRowHeight="13.8"/>
  <cols>
    <col min="5" max="14" width="12.90625" bestFit="1" customWidth="1"/>
  </cols>
  <sheetData>
    <row r="1" spans="1:17" s="18" customFormat="1">
      <c r="A1" s="18" t="s">
        <v>115</v>
      </c>
      <c r="E1" s="22" t="s">
        <v>8</v>
      </c>
      <c r="F1" s="22" t="s">
        <v>9</v>
      </c>
      <c r="G1" s="22" t="s">
        <v>10</v>
      </c>
      <c r="H1" s="22" t="s">
        <v>11</v>
      </c>
      <c r="I1" s="22" t="s">
        <v>12</v>
      </c>
      <c r="J1" s="22" t="s">
        <v>595</v>
      </c>
      <c r="K1" s="22" t="s">
        <v>596</v>
      </c>
      <c r="L1" s="22" t="s">
        <v>597</v>
      </c>
      <c r="M1" s="22" t="s">
        <v>598</v>
      </c>
      <c r="N1" s="22" t="s">
        <v>599</v>
      </c>
    </row>
    <row r="2" spans="1:17" s="23" customFormat="1">
      <c r="E2" s="24"/>
      <c r="F2" s="24"/>
      <c r="G2" s="24"/>
      <c r="H2" s="24"/>
      <c r="I2" s="24"/>
      <c r="J2" s="24"/>
      <c r="K2" s="24"/>
      <c r="L2" s="24"/>
      <c r="M2" s="24"/>
      <c r="N2" s="24"/>
    </row>
    <row r="3" spans="1:17">
      <c r="A3" s="20" t="str">
        <f>IF(Obal!A3=0,"",Obal!A3)</f>
        <v/>
      </c>
      <c r="E3" s="25"/>
      <c r="F3" s="25"/>
      <c r="G3" s="25"/>
      <c r="H3" s="25"/>
      <c r="I3" s="25"/>
      <c r="J3" s="25"/>
      <c r="K3" s="25"/>
      <c r="L3" s="25"/>
      <c r="M3" s="25"/>
      <c r="N3" s="25"/>
      <c r="O3" t="s">
        <v>116</v>
      </c>
    </row>
    <row r="4" spans="1:17" s="201" customFormat="1">
      <c r="A4" s="109" t="s">
        <v>232</v>
      </c>
    </row>
    <row r="5" spans="1:17" s="10" customFormat="1">
      <c r="A5" s="11" t="s">
        <v>140</v>
      </c>
      <c r="D5" s="75"/>
      <c r="E5" s="75">
        <v>125000000</v>
      </c>
      <c r="F5" s="75">
        <v>125000000</v>
      </c>
      <c r="G5" s="75">
        <v>125000000</v>
      </c>
      <c r="H5" s="75">
        <v>125000000</v>
      </c>
      <c r="I5" s="75">
        <v>125000000</v>
      </c>
      <c r="J5" s="75">
        <v>125000000</v>
      </c>
      <c r="K5" s="75">
        <v>125000000</v>
      </c>
      <c r="L5" s="75">
        <v>125000000</v>
      </c>
      <c r="M5" s="75">
        <v>125000000</v>
      </c>
      <c r="N5" s="75">
        <v>125000000</v>
      </c>
      <c r="O5" s="11" t="s">
        <v>451</v>
      </c>
      <c r="Q5" s="75"/>
    </row>
    <row r="6" spans="1:17" s="10" customFormat="1">
      <c r="A6" s="11" t="s">
        <v>421</v>
      </c>
      <c r="D6" s="202"/>
      <c r="E6" s="202">
        <v>25000000</v>
      </c>
      <c r="F6" s="202">
        <v>25000000</v>
      </c>
      <c r="G6" s="202">
        <v>25000000</v>
      </c>
      <c r="H6" s="202">
        <v>25000000</v>
      </c>
      <c r="I6" s="202">
        <v>25000000</v>
      </c>
      <c r="J6" s="202">
        <v>25000000</v>
      </c>
      <c r="K6" s="202">
        <v>25000000</v>
      </c>
      <c r="L6" s="202">
        <v>25000000</v>
      </c>
      <c r="M6" s="202">
        <v>25000000</v>
      </c>
      <c r="N6" s="202">
        <v>25000000</v>
      </c>
      <c r="O6" s="11" t="s">
        <v>452</v>
      </c>
      <c r="Q6" s="75"/>
    </row>
    <row r="7" spans="1:17" s="10" customFormat="1">
      <c r="A7" s="11" t="s">
        <v>237</v>
      </c>
      <c r="D7" s="202"/>
      <c r="E7" s="202">
        <v>100000000</v>
      </c>
      <c r="F7" s="202">
        <v>100000000</v>
      </c>
      <c r="G7" s="202">
        <v>100000000</v>
      </c>
      <c r="H7" s="202">
        <v>100000000</v>
      </c>
      <c r="I7" s="202">
        <v>100000000</v>
      </c>
      <c r="J7" s="202">
        <v>100000000</v>
      </c>
      <c r="K7" s="202">
        <v>100000000</v>
      </c>
      <c r="L7" s="202">
        <v>100000000</v>
      </c>
      <c r="M7" s="202">
        <v>100000000</v>
      </c>
      <c r="N7" s="202">
        <v>100000000</v>
      </c>
      <c r="O7" s="11" t="s">
        <v>453</v>
      </c>
      <c r="Q7" s="75"/>
    </row>
    <row r="8" spans="1:17" s="10" customFormat="1">
      <c r="A8" s="11" t="s">
        <v>422</v>
      </c>
      <c r="O8" s="11"/>
      <c r="Q8" s="75"/>
    </row>
    <row r="9" spans="1:17" s="10" customFormat="1">
      <c r="A9" s="11" t="s">
        <v>423</v>
      </c>
      <c r="D9" s="73">
        <f>E9/E5</f>
        <v>0.4</v>
      </c>
      <c r="E9" s="75">
        <v>50000000</v>
      </c>
      <c r="F9" s="75">
        <v>50000000</v>
      </c>
      <c r="G9" s="75">
        <v>50000000</v>
      </c>
      <c r="H9" s="75">
        <v>50000000</v>
      </c>
      <c r="I9" s="75">
        <v>50000000</v>
      </c>
      <c r="J9" s="75">
        <v>50000000</v>
      </c>
      <c r="K9" s="75">
        <v>50000000</v>
      </c>
      <c r="L9" s="75">
        <v>50000000</v>
      </c>
      <c r="M9" s="75">
        <v>50000000</v>
      </c>
      <c r="N9" s="75">
        <v>50000000</v>
      </c>
      <c r="O9" s="11" t="s">
        <v>454</v>
      </c>
      <c r="Q9" s="75"/>
    </row>
    <row r="10" spans="1:17" s="10" customFormat="1">
      <c r="A10" s="11" t="s">
        <v>424</v>
      </c>
      <c r="D10" s="73">
        <f>E10/E5</f>
        <v>0.3</v>
      </c>
      <c r="E10" s="75">
        <v>37500000</v>
      </c>
      <c r="F10" s="75">
        <v>37500000</v>
      </c>
      <c r="G10" s="75">
        <v>37500000</v>
      </c>
      <c r="H10" s="75">
        <v>37500000</v>
      </c>
      <c r="I10" s="75">
        <v>37500000</v>
      </c>
      <c r="J10" s="75">
        <v>37500000</v>
      </c>
      <c r="K10" s="75">
        <v>37500000</v>
      </c>
      <c r="L10" s="75">
        <v>37500000</v>
      </c>
      <c r="M10" s="75">
        <v>37500000</v>
      </c>
      <c r="N10" s="75">
        <v>37500000</v>
      </c>
      <c r="O10" s="11" t="s">
        <v>455</v>
      </c>
      <c r="Q10" s="75"/>
    </row>
    <row r="11" spans="1:17" s="10" customFormat="1">
      <c r="A11" s="11" t="s">
        <v>403</v>
      </c>
      <c r="D11" s="453">
        <f>E11/E5</f>
        <v>0.15</v>
      </c>
      <c r="E11" s="202">
        <v>18750000</v>
      </c>
      <c r="F11" s="202">
        <v>18750000</v>
      </c>
      <c r="G11" s="202">
        <v>18750000</v>
      </c>
      <c r="H11" s="202">
        <v>18750000</v>
      </c>
      <c r="I11" s="202">
        <v>18750000</v>
      </c>
      <c r="J11" s="202">
        <v>18750000</v>
      </c>
      <c r="K11" s="202">
        <v>18750000</v>
      </c>
      <c r="L11" s="202">
        <v>18750000</v>
      </c>
      <c r="M11" s="202">
        <v>18750000</v>
      </c>
      <c r="N11" s="202">
        <v>18750000</v>
      </c>
      <c r="O11" s="11" t="s">
        <v>456</v>
      </c>
      <c r="Q11" s="75"/>
    </row>
    <row r="12" spans="1:17" s="201" customFormat="1">
      <c r="A12" s="109" t="s">
        <v>425</v>
      </c>
      <c r="D12" s="203"/>
      <c r="E12" s="203">
        <v>106250000</v>
      </c>
      <c r="F12" s="203">
        <v>106250000</v>
      </c>
      <c r="G12" s="203">
        <v>106250000</v>
      </c>
      <c r="H12" s="203">
        <v>106250000</v>
      </c>
      <c r="I12" s="203">
        <v>106250000</v>
      </c>
      <c r="J12" s="203">
        <v>106250000</v>
      </c>
      <c r="K12" s="203">
        <v>106250000</v>
      </c>
      <c r="L12" s="203">
        <v>106250000</v>
      </c>
      <c r="M12" s="203">
        <v>106250000</v>
      </c>
      <c r="N12" s="203">
        <v>106250000</v>
      </c>
      <c r="O12" s="11"/>
      <c r="Q12" s="75"/>
    </row>
    <row r="13" spans="1:17" s="10" customFormat="1">
      <c r="A13" s="11"/>
      <c r="O13" s="11"/>
      <c r="Q13" s="75"/>
    </row>
    <row r="14" spans="1:17" s="10" customFormat="1">
      <c r="A14" s="11" t="s">
        <v>426</v>
      </c>
      <c r="D14" s="75"/>
      <c r="E14" s="75">
        <v>-6250000</v>
      </c>
      <c r="F14" s="75">
        <v>-6250000</v>
      </c>
      <c r="G14" s="75">
        <v>-6250000</v>
      </c>
      <c r="H14" s="75">
        <v>-6250000</v>
      </c>
      <c r="I14" s="75">
        <v>-6250000</v>
      </c>
      <c r="J14" s="75">
        <v>-6250000</v>
      </c>
      <c r="K14" s="75">
        <v>-6250000</v>
      </c>
      <c r="L14" s="75">
        <v>-6250000</v>
      </c>
      <c r="M14" s="75">
        <v>-6250000</v>
      </c>
      <c r="N14" s="75">
        <v>-6250000</v>
      </c>
      <c r="O14" s="11" t="s">
        <v>457</v>
      </c>
      <c r="Q14" s="75"/>
    </row>
    <row r="15" spans="1:17" s="10" customFormat="1">
      <c r="A15" s="11" t="s">
        <v>438</v>
      </c>
      <c r="D15" s="204"/>
      <c r="E15" s="204">
        <v>-0.05</v>
      </c>
      <c r="F15" s="204">
        <v>-0.05</v>
      </c>
      <c r="G15" s="204">
        <v>-0.05</v>
      </c>
      <c r="H15" s="204">
        <v>-0.05</v>
      </c>
      <c r="I15" s="204">
        <v>-0.05</v>
      </c>
      <c r="J15" s="204">
        <v>-0.05</v>
      </c>
      <c r="K15" s="204">
        <v>-0.05</v>
      </c>
      <c r="L15" s="204">
        <v>-0.05</v>
      </c>
      <c r="M15" s="204">
        <v>-0.05</v>
      </c>
      <c r="N15" s="204">
        <v>-0.05</v>
      </c>
      <c r="O15" s="11" t="s">
        <v>458</v>
      </c>
      <c r="Q15" s="75"/>
    </row>
    <row r="16" spans="1:17" s="10" customFormat="1">
      <c r="A16" s="11" t="s">
        <v>447</v>
      </c>
      <c r="D16" s="205"/>
      <c r="E16" s="205">
        <v>37500000</v>
      </c>
      <c r="F16" s="205">
        <v>37500000</v>
      </c>
      <c r="G16" s="205">
        <v>37500000</v>
      </c>
      <c r="H16" s="205">
        <v>37500000</v>
      </c>
      <c r="I16" s="205">
        <v>37500000</v>
      </c>
      <c r="J16" s="205">
        <v>37500000</v>
      </c>
      <c r="K16" s="205">
        <v>37500000</v>
      </c>
      <c r="L16" s="205">
        <v>37500000</v>
      </c>
      <c r="M16" s="205">
        <v>37500000</v>
      </c>
      <c r="N16" s="205">
        <v>37500000</v>
      </c>
      <c r="O16" s="11" t="s">
        <v>459</v>
      </c>
      <c r="Q16" s="75"/>
    </row>
    <row r="17" spans="1:17" s="201" customFormat="1">
      <c r="A17" s="109" t="s">
        <v>426</v>
      </c>
      <c r="D17" s="203"/>
      <c r="E17" s="203">
        <v>-43750000</v>
      </c>
      <c r="F17" s="203">
        <v>-43750000</v>
      </c>
      <c r="G17" s="203">
        <v>-43750000</v>
      </c>
      <c r="H17" s="203">
        <v>-43750000</v>
      </c>
      <c r="I17" s="203">
        <v>-43750000</v>
      </c>
      <c r="J17" s="203">
        <v>-43750000</v>
      </c>
      <c r="K17" s="203">
        <v>-43750000</v>
      </c>
      <c r="L17" s="203">
        <v>-43750000</v>
      </c>
      <c r="M17" s="203">
        <v>-43750000</v>
      </c>
      <c r="N17" s="203">
        <v>-43750000</v>
      </c>
      <c r="O17" s="11" t="s">
        <v>460</v>
      </c>
      <c r="Q17" s="75"/>
    </row>
    <row r="18" spans="1:17" s="10" customFormat="1">
      <c r="A18" s="109" t="s">
        <v>436</v>
      </c>
      <c r="D18" s="204"/>
      <c r="E18" s="204">
        <v>-0.35</v>
      </c>
      <c r="F18" s="204">
        <v>-0.35</v>
      </c>
      <c r="G18" s="204">
        <v>-0.35</v>
      </c>
      <c r="H18" s="204">
        <v>-0.35</v>
      </c>
      <c r="I18" s="204">
        <v>-0.35</v>
      </c>
      <c r="J18" s="204">
        <v>-0.35</v>
      </c>
      <c r="K18" s="204">
        <v>-0.35</v>
      </c>
      <c r="L18" s="204">
        <v>-0.35</v>
      </c>
      <c r="M18" s="204">
        <v>-0.35</v>
      </c>
      <c r="N18" s="204">
        <v>-0.35</v>
      </c>
      <c r="O18" s="11" t="s">
        <v>461</v>
      </c>
      <c r="Q18" s="75"/>
    </row>
    <row r="19" spans="1:17" s="10" customFormat="1">
      <c r="A19" s="109" t="s">
        <v>471</v>
      </c>
      <c r="C19" s="109"/>
      <c r="D19" s="204"/>
      <c r="E19" s="204"/>
      <c r="F19" s="204"/>
      <c r="G19" s="204"/>
      <c r="H19" s="204"/>
      <c r="I19" s="204"/>
      <c r="J19" s="204"/>
      <c r="K19" s="204"/>
      <c r="L19" s="204"/>
      <c r="M19" s="204"/>
      <c r="N19" s="204"/>
    </row>
    <row r="20" spans="1:17" s="10" customFormat="1">
      <c r="A20" s="11" t="s">
        <v>470</v>
      </c>
      <c r="C20" s="109"/>
      <c r="D20" s="204"/>
      <c r="E20" s="26">
        <f t="shared" ref="E20:N20" si="0">calcESAT</f>
        <v>50</v>
      </c>
      <c r="F20" s="26">
        <f t="shared" si="0"/>
        <v>50</v>
      </c>
      <c r="G20" s="26">
        <f t="shared" si="0"/>
        <v>50</v>
      </c>
      <c r="H20" s="26">
        <f t="shared" si="0"/>
        <v>50</v>
      </c>
      <c r="I20" s="26">
        <f t="shared" si="0"/>
        <v>50</v>
      </c>
      <c r="J20" s="26">
        <f t="shared" si="0"/>
        <v>50</v>
      </c>
      <c r="K20" s="26">
        <f t="shared" si="0"/>
        <v>50</v>
      </c>
      <c r="L20" s="26">
        <f t="shared" si="0"/>
        <v>50</v>
      </c>
      <c r="M20" s="26">
        <f t="shared" si="0"/>
        <v>50</v>
      </c>
      <c r="N20" s="26">
        <f t="shared" si="0"/>
        <v>50</v>
      </c>
      <c r="O20" s="11" t="s">
        <v>476</v>
      </c>
    </row>
    <row r="21" spans="1:17">
      <c r="A21" t="s">
        <v>407</v>
      </c>
      <c r="E21" s="26">
        <f t="shared" ref="E21:N21" si="1">calcExecutionVelocity</f>
        <v>0.5</v>
      </c>
      <c r="F21" s="26">
        <f t="shared" si="1"/>
        <v>0.5</v>
      </c>
      <c r="G21" s="26">
        <f t="shared" si="1"/>
        <v>0.5</v>
      </c>
      <c r="H21" s="26">
        <f t="shared" si="1"/>
        <v>0.5</v>
      </c>
      <c r="I21" s="26">
        <f t="shared" si="1"/>
        <v>0.5</v>
      </c>
      <c r="J21" s="26">
        <f t="shared" si="1"/>
        <v>0.5</v>
      </c>
      <c r="K21" s="26">
        <f t="shared" si="1"/>
        <v>0.5</v>
      </c>
      <c r="L21" s="26">
        <f t="shared" si="1"/>
        <v>0.5</v>
      </c>
      <c r="M21" s="26">
        <f t="shared" si="1"/>
        <v>0.5</v>
      </c>
      <c r="N21" s="26">
        <f t="shared" si="1"/>
        <v>0.5</v>
      </c>
      <c r="O21" s="11" t="s">
        <v>477</v>
      </c>
      <c r="Q21" s="430"/>
    </row>
    <row r="22" spans="1:17">
      <c r="A22" t="s">
        <v>398</v>
      </c>
      <c r="E22" s="26">
        <f t="shared" ref="E22:N22" si="2">calcRiskIndex</f>
        <v>50</v>
      </c>
      <c r="F22" s="26">
        <f t="shared" si="2"/>
        <v>50</v>
      </c>
      <c r="G22" s="26">
        <f t="shared" si="2"/>
        <v>50</v>
      </c>
      <c r="H22" s="26">
        <f t="shared" si="2"/>
        <v>50</v>
      </c>
      <c r="I22" s="26">
        <f t="shared" si="2"/>
        <v>50</v>
      </c>
      <c r="J22" s="26">
        <f t="shared" si="2"/>
        <v>50</v>
      </c>
      <c r="K22" s="26">
        <f t="shared" si="2"/>
        <v>50</v>
      </c>
      <c r="L22" s="26">
        <f t="shared" si="2"/>
        <v>50</v>
      </c>
      <c r="M22" s="26">
        <f t="shared" si="2"/>
        <v>50</v>
      </c>
      <c r="N22" s="26">
        <f t="shared" si="2"/>
        <v>50</v>
      </c>
      <c r="O22" s="11" t="s">
        <v>478</v>
      </c>
      <c r="Q22" s="431"/>
    </row>
    <row r="23" spans="1:17">
      <c r="A23" t="s">
        <v>406</v>
      </c>
      <c r="E23" s="26">
        <f t="shared" ref="E23:N23" si="3">calcNPS</f>
        <v>50</v>
      </c>
      <c r="F23" s="26">
        <f t="shared" si="3"/>
        <v>50</v>
      </c>
      <c r="G23" s="26">
        <f t="shared" si="3"/>
        <v>50</v>
      </c>
      <c r="H23" s="26">
        <f t="shared" si="3"/>
        <v>50</v>
      </c>
      <c r="I23" s="26">
        <f t="shared" si="3"/>
        <v>50</v>
      </c>
      <c r="J23" s="26">
        <f t="shared" si="3"/>
        <v>50</v>
      </c>
      <c r="K23" s="26">
        <f t="shared" si="3"/>
        <v>50</v>
      </c>
      <c r="L23" s="26">
        <f t="shared" si="3"/>
        <v>50</v>
      </c>
      <c r="M23" s="26">
        <f t="shared" si="3"/>
        <v>50</v>
      </c>
      <c r="N23" s="26">
        <f t="shared" si="3"/>
        <v>50</v>
      </c>
      <c r="O23" s="11" t="s">
        <v>479</v>
      </c>
      <c r="Q23" s="431"/>
    </row>
    <row r="24" spans="1:17">
      <c r="A24" t="s">
        <v>202</v>
      </c>
      <c r="E24" s="26"/>
      <c r="F24" s="26"/>
      <c r="G24" s="26"/>
      <c r="H24" s="26"/>
      <c r="I24" s="26"/>
      <c r="J24" s="26"/>
      <c r="K24" s="26"/>
      <c r="L24" s="26"/>
      <c r="M24" s="26"/>
      <c r="N24" s="26"/>
      <c r="O24" s="11" t="s">
        <v>976</v>
      </c>
      <c r="Q24" s="431"/>
    </row>
    <row r="25" spans="1:17">
      <c r="C25" t="s">
        <v>513</v>
      </c>
      <c r="E25" s="26">
        <f t="shared" ref="E25:N25" si="4">calcIntegrationBudget</f>
        <v>25000000</v>
      </c>
      <c r="F25" s="26">
        <f t="shared" si="4"/>
        <v>25000000</v>
      </c>
      <c r="G25" s="26">
        <f t="shared" si="4"/>
        <v>25000000</v>
      </c>
      <c r="H25" s="26">
        <f t="shared" si="4"/>
        <v>25000000</v>
      </c>
      <c r="I25" s="26">
        <f t="shared" si="4"/>
        <v>25000000</v>
      </c>
      <c r="J25" s="26">
        <f t="shared" si="4"/>
        <v>25000000</v>
      </c>
      <c r="K25" s="26">
        <f t="shared" si="4"/>
        <v>25000000</v>
      </c>
      <c r="L25" s="26">
        <f t="shared" si="4"/>
        <v>25000000</v>
      </c>
      <c r="M25" s="26">
        <f t="shared" si="4"/>
        <v>25000000</v>
      </c>
      <c r="N25" s="26">
        <f t="shared" si="4"/>
        <v>25000000</v>
      </c>
      <c r="O25" s="11" t="s">
        <v>516</v>
      </c>
      <c r="Q25" s="431"/>
    </row>
    <row r="26" spans="1:17">
      <c r="C26" t="s">
        <v>1279</v>
      </c>
      <c r="E26" s="26">
        <f t="shared" ref="E26:N26" si="5">$Q26</f>
        <v>10000000</v>
      </c>
      <c r="F26" s="26">
        <f t="shared" si="5"/>
        <v>10000000</v>
      </c>
      <c r="G26" s="26">
        <f t="shared" si="5"/>
        <v>10000000</v>
      </c>
      <c r="H26" s="26">
        <f t="shared" si="5"/>
        <v>10000000</v>
      </c>
      <c r="I26" s="26">
        <f t="shared" si="5"/>
        <v>10000000</v>
      </c>
      <c r="J26" s="26">
        <f t="shared" si="5"/>
        <v>10000000</v>
      </c>
      <c r="K26" s="26">
        <f t="shared" si="5"/>
        <v>10000000</v>
      </c>
      <c r="L26" s="26">
        <f t="shared" si="5"/>
        <v>10000000</v>
      </c>
      <c r="M26" s="26">
        <f t="shared" si="5"/>
        <v>10000000</v>
      </c>
      <c r="N26" s="26">
        <f t="shared" si="5"/>
        <v>10000000</v>
      </c>
      <c r="O26" s="11" t="s">
        <v>2242</v>
      </c>
      <c r="Q26" s="25">
        <v>10000000</v>
      </c>
    </row>
    <row r="27" spans="1:17">
      <c r="C27" t="s">
        <v>1296</v>
      </c>
      <c r="E27" s="26"/>
      <c r="F27" s="26"/>
      <c r="G27" s="26"/>
      <c r="H27" s="26"/>
      <c r="I27" s="26"/>
      <c r="J27" s="26"/>
      <c r="K27" s="26"/>
      <c r="L27" s="26"/>
      <c r="M27" s="26"/>
      <c r="N27" s="26"/>
      <c r="O27" s="11" t="s">
        <v>1300</v>
      </c>
      <c r="Q27" s="25"/>
    </row>
    <row r="28" spans="1:17">
      <c r="C28" t="s">
        <v>1297</v>
      </c>
      <c r="E28" s="26">
        <f t="shared" ref="E28:N28" si="6">$Q28</f>
        <v>0</v>
      </c>
      <c r="F28" s="26">
        <f t="shared" si="6"/>
        <v>0</v>
      </c>
      <c r="G28" s="26">
        <f t="shared" si="6"/>
        <v>0</v>
      </c>
      <c r="H28" s="26">
        <f t="shared" si="6"/>
        <v>0</v>
      </c>
      <c r="I28" s="26">
        <f t="shared" si="6"/>
        <v>0</v>
      </c>
      <c r="J28" s="26">
        <f t="shared" si="6"/>
        <v>0</v>
      </c>
      <c r="K28" s="26">
        <f t="shared" si="6"/>
        <v>0</v>
      </c>
      <c r="L28" s="26">
        <f t="shared" si="6"/>
        <v>0</v>
      </c>
      <c r="M28" s="26">
        <f t="shared" si="6"/>
        <v>0</v>
      </c>
      <c r="N28" s="26">
        <f t="shared" si="6"/>
        <v>0</v>
      </c>
      <c r="O28" s="11" t="s">
        <v>1299</v>
      </c>
      <c r="Q28" s="25"/>
    </row>
    <row r="29" spans="1:17">
      <c r="C29" t="s">
        <v>1016</v>
      </c>
      <c r="E29" s="26">
        <f t="shared" ref="E29:N29" si="7">calcITExpLeftPostQ4</f>
        <v>0</v>
      </c>
      <c r="F29" s="26">
        <f t="shared" si="7"/>
        <v>0</v>
      </c>
      <c r="G29" s="26">
        <f t="shared" si="7"/>
        <v>0</v>
      </c>
      <c r="H29" s="26">
        <f t="shared" si="7"/>
        <v>0</v>
      </c>
      <c r="I29" s="26">
        <f t="shared" si="7"/>
        <v>0</v>
      </c>
      <c r="J29" s="26">
        <f t="shared" si="7"/>
        <v>0</v>
      </c>
      <c r="K29" s="26">
        <f t="shared" si="7"/>
        <v>0</v>
      </c>
      <c r="L29" s="26">
        <f t="shared" si="7"/>
        <v>0</v>
      </c>
      <c r="M29" s="26">
        <f t="shared" si="7"/>
        <v>0</v>
      </c>
      <c r="N29" s="26">
        <f t="shared" si="7"/>
        <v>0</v>
      </c>
      <c r="O29" s="11" t="s">
        <v>1017</v>
      </c>
      <c r="Q29" s="431"/>
    </row>
    <row r="30" spans="1:17">
      <c r="C30" t="s">
        <v>1058</v>
      </c>
      <c r="E30" s="26">
        <f t="shared" ref="E30:N30" si="8">calcTrustExpLeftPostQ4</f>
        <v>0</v>
      </c>
      <c r="F30" s="26">
        <f t="shared" si="8"/>
        <v>0</v>
      </c>
      <c r="G30" s="26">
        <f t="shared" si="8"/>
        <v>0</v>
      </c>
      <c r="H30" s="26">
        <f t="shared" si="8"/>
        <v>0</v>
      </c>
      <c r="I30" s="26">
        <f t="shared" si="8"/>
        <v>0</v>
      </c>
      <c r="J30" s="26">
        <f t="shared" si="8"/>
        <v>0</v>
      </c>
      <c r="K30" s="26">
        <f t="shared" si="8"/>
        <v>0</v>
      </c>
      <c r="L30" s="26">
        <f t="shared" si="8"/>
        <v>0</v>
      </c>
      <c r="M30" s="26">
        <f t="shared" si="8"/>
        <v>0</v>
      </c>
      <c r="N30" s="26">
        <f t="shared" si="8"/>
        <v>0</v>
      </c>
      <c r="O30" s="11" t="s">
        <v>1114</v>
      </c>
      <c r="Q30" s="431"/>
    </row>
    <row r="31" spans="1:17">
      <c r="C31" t="s">
        <v>1112</v>
      </c>
      <c r="E31" s="26">
        <f t="shared" ref="E31:N31" si="9">calcOrg62ExpLeftPostQ4</f>
        <v>0</v>
      </c>
      <c r="F31" s="26">
        <f t="shared" si="9"/>
        <v>0</v>
      </c>
      <c r="G31" s="26">
        <f t="shared" si="9"/>
        <v>0</v>
      </c>
      <c r="H31" s="26">
        <f t="shared" si="9"/>
        <v>0</v>
      </c>
      <c r="I31" s="26">
        <f t="shared" si="9"/>
        <v>0</v>
      </c>
      <c r="J31" s="26">
        <f t="shared" si="9"/>
        <v>0</v>
      </c>
      <c r="K31" s="26">
        <f t="shared" si="9"/>
        <v>0</v>
      </c>
      <c r="L31" s="26">
        <f t="shared" si="9"/>
        <v>0</v>
      </c>
      <c r="M31" s="26">
        <f t="shared" si="9"/>
        <v>0</v>
      </c>
      <c r="N31" s="26">
        <f t="shared" si="9"/>
        <v>0</v>
      </c>
      <c r="O31" s="11" t="s">
        <v>1115</v>
      </c>
      <c r="Q31" s="431"/>
    </row>
    <row r="32" spans="1:17">
      <c r="E32" s="26"/>
      <c r="F32" s="26"/>
      <c r="G32" s="26"/>
      <c r="H32" s="26"/>
      <c r="I32" s="26"/>
      <c r="J32" s="26"/>
      <c r="K32" s="26"/>
      <c r="L32" s="26"/>
      <c r="M32" s="26"/>
      <c r="N32" s="26"/>
      <c r="O32" s="11"/>
      <c r="Q32" s="431"/>
    </row>
    <row r="33" spans="2:37" s="110" customFormat="1">
      <c r="B33" s="223" t="s">
        <v>428</v>
      </c>
      <c r="O33" s="222"/>
    </row>
    <row r="34" spans="2:37" s="110" customFormat="1">
      <c r="B34" s="222"/>
      <c r="D34" s="110" t="s">
        <v>480</v>
      </c>
      <c r="E34" s="110" t="str">
        <f t="shared" ref="E34:N34" si="10">decV2MOMVision</f>
        <v>Write your vision statement here.</v>
      </c>
      <c r="F34" s="110" t="str">
        <f t="shared" si="10"/>
        <v>Write your vision statement here.</v>
      </c>
      <c r="G34" s="110" t="str">
        <f t="shared" si="10"/>
        <v>Write your vision statement here.</v>
      </c>
      <c r="H34" s="110" t="str">
        <f t="shared" si="10"/>
        <v>Write your vision statement here.</v>
      </c>
      <c r="I34" s="110" t="str">
        <f t="shared" si="10"/>
        <v>Write your vision statement here.</v>
      </c>
      <c r="J34" s="110" t="str">
        <f t="shared" si="10"/>
        <v>Write your vision statement here.</v>
      </c>
      <c r="K34" s="110" t="str">
        <f t="shared" si="10"/>
        <v>Write your vision statement here.</v>
      </c>
      <c r="L34" s="110" t="str">
        <f t="shared" si="10"/>
        <v>Write your vision statement here.</v>
      </c>
      <c r="M34" s="110" t="str">
        <f t="shared" si="10"/>
        <v>Write your vision statement here.</v>
      </c>
      <c r="N34" s="110" t="str">
        <f t="shared" si="10"/>
        <v>Write your vision statement here.</v>
      </c>
      <c r="O34" s="222" t="s">
        <v>1981</v>
      </c>
    </row>
    <row r="35" spans="2:37" s="110" customFormat="1">
      <c r="B35" s="222"/>
      <c r="D35" s="110" t="str">
        <f>TLInputV2MOMValue1</f>
        <v>Revenue Growth</v>
      </c>
      <c r="E35" s="745">
        <f t="shared" ref="E35:N35" si="11">decV2MOMValue1Rank</f>
        <v>0.2</v>
      </c>
      <c r="F35" s="745">
        <f t="shared" si="11"/>
        <v>0.2</v>
      </c>
      <c r="G35" s="745">
        <f t="shared" si="11"/>
        <v>0.2</v>
      </c>
      <c r="H35" s="745">
        <f t="shared" si="11"/>
        <v>0.2</v>
      </c>
      <c r="I35" s="745">
        <f t="shared" si="11"/>
        <v>0.2</v>
      </c>
      <c r="J35" s="745">
        <f t="shared" si="11"/>
        <v>0.2</v>
      </c>
      <c r="K35" s="745">
        <f t="shared" si="11"/>
        <v>0.2</v>
      </c>
      <c r="L35" s="745">
        <f t="shared" si="11"/>
        <v>0.2</v>
      </c>
      <c r="M35" s="745">
        <f t="shared" si="11"/>
        <v>0.2</v>
      </c>
      <c r="N35" s="745">
        <f t="shared" si="11"/>
        <v>0.2</v>
      </c>
      <c r="O35" s="222" t="s">
        <v>1982</v>
      </c>
    </row>
    <row r="36" spans="2:37" s="110" customFormat="1">
      <c r="B36" s="222"/>
      <c r="D36" s="110" t="s">
        <v>384</v>
      </c>
      <c r="E36" s="110" t="str">
        <f t="shared" ref="E36:N36" si="12">decV2MOMValue1Desc</f>
        <v>Insert rationale.</v>
      </c>
      <c r="F36" s="110" t="str">
        <f t="shared" si="12"/>
        <v>Insert rationale.</v>
      </c>
      <c r="G36" s="110" t="str">
        <f t="shared" si="12"/>
        <v>Insert rationale.</v>
      </c>
      <c r="H36" s="110" t="str">
        <f t="shared" si="12"/>
        <v>Insert rationale.</v>
      </c>
      <c r="I36" s="110" t="str">
        <f t="shared" si="12"/>
        <v>Insert rationale.</v>
      </c>
      <c r="J36" s="110" t="str">
        <f t="shared" si="12"/>
        <v>Insert rationale.</v>
      </c>
      <c r="K36" s="110" t="str">
        <f t="shared" si="12"/>
        <v>Insert rationale.</v>
      </c>
      <c r="L36" s="110" t="str">
        <f t="shared" si="12"/>
        <v>Insert rationale.</v>
      </c>
      <c r="M36" s="110" t="str">
        <f t="shared" si="12"/>
        <v>Insert rationale.</v>
      </c>
      <c r="N36" s="110" t="str">
        <f t="shared" si="12"/>
        <v>Insert rationale.</v>
      </c>
      <c r="O36" s="222" t="s">
        <v>1983</v>
      </c>
    </row>
    <row r="37" spans="2:37" s="110" customFormat="1">
      <c r="B37" s="222"/>
      <c r="D37" s="110" t="str">
        <f>TLInputV2MOMValue2</f>
        <v>Customer Satisfaction</v>
      </c>
      <c r="E37" s="745">
        <f t="shared" ref="E37:N37" si="13">decV2MOMValue2Rank</f>
        <v>0.2</v>
      </c>
      <c r="F37" s="745">
        <f t="shared" si="13"/>
        <v>0.2</v>
      </c>
      <c r="G37" s="745">
        <f t="shared" si="13"/>
        <v>0.2</v>
      </c>
      <c r="H37" s="745">
        <f t="shared" si="13"/>
        <v>0.2</v>
      </c>
      <c r="I37" s="745">
        <f t="shared" si="13"/>
        <v>0.2</v>
      </c>
      <c r="J37" s="745">
        <f t="shared" si="13"/>
        <v>0.2</v>
      </c>
      <c r="K37" s="745">
        <f t="shared" si="13"/>
        <v>0.2</v>
      </c>
      <c r="L37" s="745">
        <f t="shared" si="13"/>
        <v>0.2</v>
      </c>
      <c r="M37" s="745">
        <f t="shared" si="13"/>
        <v>0.2</v>
      </c>
      <c r="N37" s="745">
        <f t="shared" si="13"/>
        <v>0.2</v>
      </c>
      <c r="O37" s="222" t="s">
        <v>1984</v>
      </c>
    </row>
    <row r="38" spans="2:37" s="110" customFormat="1">
      <c r="B38" s="222"/>
      <c r="D38" s="110" t="s">
        <v>384</v>
      </c>
      <c r="E38" s="110" t="str">
        <f t="shared" ref="E38:N38" si="14">decV2MOMValue2Desc</f>
        <v>Insert rationale.</v>
      </c>
      <c r="F38" s="110" t="str">
        <f t="shared" si="14"/>
        <v>Insert rationale.</v>
      </c>
      <c r="G38" s="110" t="str">
        <f t="shared" si="14"/>
        <v>Insert rationale.</v>
      </c>
      <c r="H38" s="110" t="str">
        <f t="shared" si="14"/>
        <v>Insert rationale.</v>
      </c>
      <c r="I38" s="110" t="str">
        <f t="shared" si="14"/>
        <v>Insert rationale.</v>
      </c>
      <c r="J38" s="110" t="str">
        <f t="shared" si="14"/>
        <v>Insert rationale.</v>
      </c>
      <c r="K38" s="110" t="str">
        <f t="shared" si="14"/>
        <v>Insert rationale.</v>
      </c>
      <c r="L38" s="110" t="str">
        <f t="shared" si="14"/>
        <v>Insert rationale.</v>
      </c>
      <c r="M38" s="110" t="str">
        <f t="shared" si="14"/>
        <v>Insert rationale.</v>
      </c>
      <c r="N38" s="110" t="str">
        <f t="shared" si="14"/>
        <v>Insert rationale.</v>
      </c>
      <c r="O38" s="222" t="s">
        <v>1985</v>
      </c>
    </row>
    <row r="39" spans="2:37" s="110" customFormat="1">
      <c r="B39" s="222"/>
      <c r="D39" s="110" t="str">
        <f>TLInputV2MOMValue3</f>
        <v>Employee Engagement</v>
      </c>
      <c r="E39" s="745">
        <f t="shared" ref="E39:N39" si="15">decV2MOMValue3Rank</f>
        <v>0.2</v>
      </c>
      <c r="F39" s="745">
        <f t="shared" si="15"/>
        <v>0.2</v>
      </c>
      <c r="G39" s="745">
        <f t="shared" si="15"/>
        <v>0.2</v>
      </c>
      <c r="H39" s="745">
        <f t="shared" si="15"/>
        <v>0.2</v>
      </c>
      <c r="I39" s="745">
        <f t="shared" si="15"/>
        <v>0.2</v>
      </c>
      <c r="J39" s="745">
        <f t="shared" si="15"/>
        <v>0.2</v>
      </c>
      <c r="K39" s="745">
        <f t="shared" si="15"/>
        <v>0.2</v>
      </c>
      <c r="L39" s="745">
        <f t="shared" si="15"/>
        <v>0.2</v>
      </c>
      <c r="M39" s="745">
        <f t="shared" si="15"/>
        <v>0.2</v>
      </c>
      <c r="N39" s="745">
        <f t="shared" si="15"/>
        <v>0.2</v>
      </c>
      <c r="O39" s="222" t="s">
        <v>1986</v>
      </c>
    </row>
    <row r="40" spans="2:37" s="110" customFormat="1">
      <c r="B40" s="222"/>
      <c r="D40" s="110" t="s">
        <v>384</v>
      </c>
      <c r="E40" s="110" t="str">
        <f t="shared" ref="E40:N40" si="16">decV2MOMValue3Desc</f>
        <v>Insert rationale.</v>
      </c>
      <c r="F40" s="110" t="str">
        <f t="shared" si="16"/>
        <v>Insert rationale.</v>
      </c>
      <c r="G40" s="110" t="str">
        <f t="shared" si="16"/>
        <v>Insert rationale.</v>
      </c>
      <c r="H40" s="110" t="str">
        <f t="shared" si="16"/>
        <v>Insert rationale.</v>
      </c>
      <c r="I40" s="110" t="str">
        <f t="shared" si="16"/>
        <v>Insert rationale.</v>
      </c>
      <c r="J40" s="110" t="str">
        <f t="shared" si="16"/>
        <v>Insert rationale.</v>
      </c>
      <c r="K40" s="110" t="str">
        <f t="shared" si="16"/>
        <v>Insert rationale.</v>
      </c>
      <c r="L40" s="110" t="str">
        <f t="shared" si="16"/>
        <v>Insert rationale.</v>
      </c>
      <c r="M40" s="110" t="str">
        <f t="shared" si="16"/>
        <v>Insert rationale.</v>
      </c>
      <c r="N40" s="110" t="str">
        <f t="shared" si="16"/>
        <v>Insert rationale.</v>
      </c>
      <c r="O40" s="222" t="s">
        <v>1987</v>
      </c>
    </row>
    <row r="41" spans="2:37" s="110" customFormat="1">
      <c r="B41" s="222"/>
      <c r="D41" s="110" t="str">
        <f>TLInputV2MOMValue4</f>
        <v>Trust</v>
      </c>
      <c r="E41" s="745">
        <f t="shared" ref="E41:N41" si="17">decV2MOMValue4Rank</f>
        <v>0.2</v>
      </c>
      <c r="F41" s="745">
        <f t="shared" si="17"/>
        <v>0.2</v>
      </c>
      <c r="G41" s="745">
        <f t="shared" si="17"/>
        <v>0.2</v>
      </c>
      <c r="H41" s="745">
        <f t="shared" si="17"/>
        <v>0.2</v>
      </c>
      <c r="I41" s="745">
        <f t="shared" si="17"/>
        <v>0.2</v>
      </c>
      <c r="J41" s="745">
        <f t="shared" si="17"/>
        <v>0.2</v>
      </c>
      <c r="K41" s="745">
        <f t="shared" si="17"/>
        <v>0.2</v>
      </c>
      <c r="L41" s="745">
        <f t="shared" si="17"/>
        <v>0.2</v>
      </c>
      <c r="M41" s="745">
        <f t="shared" si="17"/>
        <v>0.2</v>
      </c>
      <c r="N41" s="745">
        <f t="shared" si="17"/>
        <v>0.2</v>
      </c>
      <c r="O41" s="222" t="s">
        <v>1988</v>
      </c>
    </row>
    <row r="42" spans="2:37" s="110" customFormat="1">
      <c r="B42" s="222"/>
      <c r="D42" s="110" t="s">
        <v>384</v>
      </c>
      <c r="E42" s="110" t="str">
        <f t="shared" ref="E42:N42" si="18">decV2MOMValue4Desc</f>
        <v>Insert rationale.</v>
      </c>
      <c r="F42" s="110" t="str">
        <f t="shared" si="18"/>
        <v>Insert rationale.</v>
      </c>
      <c r="G42" s="110" t="str">
        <f t="shared" si="18"/>
        <v>Insert rationale.</v>
      </c>
      <c r="H42" s="110" t="str">
        <f t="shared" si="18"/>
        <v>Insert rationale.</v>
      </c>
      <c r="I42" s="110" t="str">
        <f t="shared" si="18"/>
        <v>Insert rationale.</v>
      </c>
      <c r="J42" s="110" t="str">
        <f t="shared" si="18"/>
        <v>Insert rationale.</v>
      </c>
      <c r="K42" s="110" t="str">
        <f t="shared" si="18"/>
        <v>Insert rationale.</v>
      </c>
      <c r="L42" s="110" t="str">
        <f t="shared" si="18"/>
        <v>Insert rationale.</v>
      </c>
      <c r="M42" s="110" t="str">
        <f t="shared" si="18"/>
        <v>Insert rationale.</v>
      </c>
      <c r="N42" s="110" t="str">
        <f t="shared" si="18"/>
        <v>Insert rationale.</v>
      </c>
      <c r="O42" s="222" t="s">
        <v>1989</v>
      </c>
    </row>
    <row r="43" spans="2:37" s="110" customFormat="1">
      <c r="B43" s="222"/>
      <c r="D43" s="110" t="str">
        <f>TLInputV2MOMValue5</f>
        <v>Operating Margin</v>
      </c>
      <c r="E43" s="745">
        <f t="shared" ref="E43:N43" si="19">decV2MOMValue5Rank</f>
        <v>0.2</v>
      </c>
      <c r="F43" s="745">
        <f t="shared" si="19"/>
        <v>0.2</v>
      </c>
      <c r="G43" s="745">
        <f t="shared" si="19"/>
        <v>0.2</v>
      </c>
      <c r="H43" s="745">
        <f t="shared" si="19"/>
        <v>0.2</v>
      </c>
      <c r="I43" s="745">
        <f t="shared" si="19"/>
        <v>0.2</v>
      </c>
      <c r="J43" s="745">
        <f t="shared" si="19"/>
        <v>0.2</v>
      </c>
      <c r="K43" s="745">
        <f t="shared" si="19"/>
        <v>0.2</v>
      </c>
      <c r="L43" s="745">
        <f t="shared" si="19"/>
        <v>0.2</v>
      </c>
      <c r="M43" s="745">
        <f t="shared" si="19"/>
        <v>0.2</v>
      </c>
      <c r="N43" s="745">
        <f t="shared" si="19"/>
        <v>0.2</v>
      </c>
      <c r="O43" s="222" t="s">
        <v>3046</v>
      </c>
    </row>
    <row r="44" spans="2:37" s="110" customFormat="1">
      <c r="B44" s="222"/>
      <c r="D44" s="110" t="s">
        <v>384</v>
      </c>
      <c r="E44" s="110" t="str">
        <f t="shared" ref="E44:N44" si="20">decV2MOMValue5Desc</f>
        <v>Insert rationale.</v>
      </c>
      <c r="F44" s="110" t="str">
        <f t="shared" si="20"/>
        <v>Insert rationale.</v>
      </c>
      <c r="G44" s="110" t="str">
        <f t="shared" si="20"/>
        <v>Insert rationale.</v>
      </c>
      <c r="H44" s="110" t="str">
        <f t="shared" si="20"/>
        <v>Insert rationale.</v>
      </c>
      <c r="I44" s="110" t="str">
        <f t="shared" si="20"/>
        <v>Insert rationale.</v>
      </c>
      <c r="J44" s="110" t="str">
        <f t="shared" si="20"/>
        <v>Insert rationale.</v>
      </c>
      <c r="K44" s="110" t="str">
        <f t="shared" si="20"/>
        <v>Insert rationale.</v>
      </c>
      <c r="L44" s="110" t="str">
        <f t="shared" si="20"/>
        <v>Insert rationale.</v>
      </c>
      <c r="M44" s="110" t="str">
        <f t="shared" si="20"/>
        <v>Insert rationale.</v>
      </c>
      <c r="N44" s="110" t="str">
        <f t="shared" si="20"/>
        <v>Insert rationale.</v>
      </c>
      <c r="O44" s="222" t="s">
        <v>3047</v>
      </c>
    </row>
    <row r="45" spans="2:37" s="110" customFormat="1">
      <c r="B45" s="223" t="s">
        <v>399</v>
      </c>
      <c r="O45" s="222"/>
    </row>
    <row r="46" spans="2:37" s="10" customFormat="1">
      <c r="D46" s="10" t="s">
        <v>429</v>
      </c>
      <c r="O46" s="11" t="s">
        <v>1185</v>
      </c>
      <c r="P46" s="110"/>
      <c r="Q46" s="110"/>
      <c r="R46" s="110"/>
      <c r="S46" s="110"/>
      <c r="T46" s="110"/>
      <c r="U46" s="12"/>
      <c r="V46" s="12"/>
      <c r="W46" s="12"/>
      <c r="X46" s="12"/>
      <c r="Y46" s="12"/>
      <c r="AA46" s="12"/>
      <c r="AB46" s="12"/>
      <c r="AC46" s="12"/>
      <c r="AD46" s="12"/>
      <c r="AE46" s="12"/>
      <c r="AG46" s="12"/>
      <c r="AH46" s="12"/>
      <c r="AI46" s="12"/>
      <c r="AJ46" s="12"/>
      <c r="AK46" s="12"/>
    </row>
    <row r="47" spans="2:37" s="10" customFormat="1">
      <c r="D47" s="10" t="s">
        <v>430</v>
      </c>
      <c r="O47" s="11" t="s">
        <v>1186</v>
      </c>
      <c r="P47" s="110"/>
      <c r="Q47" s="110"/>
      <c r="R47" s="110"/>
      <c r="S47" s="110"/>
      <c r="T47" s="110"/>
      <c r="U47" s="12"/>
      <c r="V47" s="12"/>
      <c r="W47" s="12"/>
      <c r="X47" s="12"/>
      <c r="Y47" s="12"/>
      <c r="AA47" s="12"/>
      <c r="AB47" s="12"/>
      <c r="AC47" s="12"/>
      <c r="AD47" s="12"/>
      <c r="AE47" s="12"/>
      <c r="AG47" s="12"/>
      <c r="AH47" s="12"/>
      <c r="AI47" s="12"/>
      <c r="AJ47" s="12"/>
      <c r="AK47" s="12"/>
    </row>
    <row r="48" spans="2:37" s="10" customFormat="1">
      <c r="D48" s="10" t="s">
        <v>431</v>
      </c>
      <c r="O48" s="11" t="s">
        <v>1187</v>
      </c>
      <c r="P48" s="110"/>
      <c r="Q48" s="110"/>
      <c r="R48" s="110"/>
      <c r="S48" s="110"/>
      <c r="T48" s="110"/>
      <c r="U48" s="12"/>
      <c r="V48" s="12"/>
      <c r="W48" s="12"/>
      <c r="X48" s="12"/>
      <c r="Y48" s="12"/>
      <c r="AA48" s="12"/>
      <c r="AB48" s="12"/>
      <c r="AC48" s="12"/>
      <c r="AD48" s="12"/>
      <c r="AE48" s="12"/>
      <c r="AG48" s="12"/>
      <c r="AH48" s="12"/>
      <c r="AI48" s="12"/>
      <c r="AJ48" s="12"/>
      <c r="AK48" s="12"/>
    </row>
    <row r="49" spans="2:37" s="10" customFormat="1">
      <c r="D49" s="10" t="s">
        <v>432</v>
      </c>
      <c r="O49" s="11" t="s">
        <v>1188</v>
      </c>
      <c r="P49" s="110"/>
      <c r="Q49" s="110"/>
      <c r="R49" s="110"/>
      <c r="S49" s="110"/>
      <c r="T49" s="110"/>
      <c r="U49" s="12"/>
      <c r="V49" s="12"/>
      <c r="W49" s="12"/>
      <c r="X49" s="12"/>
      <c r="Y49" s="12"/>
      <c r="AA49" s="12"/>
      <c r="AB49" s="12"/>
      <c r="AC49" s="12"/>
      <c r="AD49" s="12"/>
      <c r="AE49" s="12"/>
      <c r="AG49" s="12"/>
      <c r="AH49" s="12"/>
      <c r="AI49" s="12"/>
      <c r="AJ49" s="12"/>
      <c r="AK49" s="12"/>
    </row>
    <row r="50" spans="2:37" s="10" customFormat="1">
      <c r="B50" s="11"/>
      <c r="D50" s="10" t="s">
        <v>974</v>
      </c>
      <c r="O50" s="11" t="s">
        <v>1189</v>
      </c>
      <c r="P50" s="110"/>
      <c r="Q50" s="110"/>
      <c r="R50" s="110"/>
      <c r="S50" s="110"/>
      <c r="T50" s="110"/>
      <c r="U50" s="12"/>
      <c r="V50" s="12"/>
      <c r="W50" s="12"/>
      <c r="X50" s="12"/>
      <c r="Y50" s="12"/>
      <c r="AA50" s="12"/>
      <c r="AB50" s="12"/>
      <c r="AC50" s="12"/>
      <c r="AD50" s="12"/>
      <c r="AE50" s="12"/>
      <c r="AG50" s="12"/>
      <c r="AH50" s="12"/>
      <c r="AI50" s="12"/>
      <c r="AJ50" s="12"/>
      <c r="AK50" s="12"/>
    </row>
    <row r="51" spans="2:37" s="10" customFormat="1">
      <c r="B51" s="11"/>
      <c r="D51" s="10" t="s">
        <v>433</v>
      </c>
      <c r="O51" s="11" t="s">
        <v>1190</v>
      </c>
      <c r="P51" s="110"/>
      <c r="Q51" s="110"/>
      <c r="R51" s="110"/>
      <c r="S51" s="110"/>
      <c r="T51" s="110"/>
      <c r="U51" s="12"/>
      <c r="V51" s="12"/>
      <c r="W51" s="12"/>
      <c r="X51" s="12"/>
      <c r="Y51" s="12"/>
      <c r="AA51" s="12"/>
      <c r="AB51" s="12"/>
      <c r="AC51" s="12"/>
      <c r="AD51" s="12"/>
      <c r="AE51" s="12"/>
      <c r="AG51" s="12"/>
      <c r="AH51" s="12"/>
      <c r="AI51" s="12"/>
      <c r="AJ51" s="12"/>
      <c r="AK51" s="12"/>
    </row>
    <row r="52" spans="2:37" s="10" customFormat="1">
      <c r="B52" s="11"/>
      <c r="D52" s="10" t="s">
        <v>518</v>
      </c>
      <c r="O52" s="11" t="s">
        <v>1191</v>
      </c>
      <c r="P52" s="110"/>
      <c r="Q52" s="110"/>
      <c r="R52" s="110"/>
      <c r="S52" s="110"/>
      <c r="T52" s="110"/>
      <c r="U52" s="12"/>
      <c r="V52" s="12"/>
      <c r="W52" s="12"/>
      <c r="X52" s="12"/>
      <c r="Y52" s="12"/>
      <c r="AA52" s="12"/>
      <c r="AB52" s="12"/>
      <c r="AC52" s="12"/>
      <c r="AD52" s="12"/>
      <c r="AE52" s="12"/>
      <c r="AG52" s="12"/>
      <c r="AH52" s="12"/>
      <c r="AI52" s="12"/>
      <c r="AJ52" s="12"/>
      <c r="AK52" s="12"/>
    </row>
    <row r="53" spans="2:37" s="10" customFormat="1">
      <c r="B53" s="11"/>
      <c r="C53" s="201" t="s">
        <v>400</v>
      </c>
      <c r="O53" s="11"/>
      <c r="P53" s="110"/>
      <c r="Q53" s="110"/>
      <c r="R53" s="110"/>
      <c r="S53" s="110"/>
      <c r="T53" s="110"/>
      <c r="U53" s="12"/>
      <c r="V53" s="12"/>
      <c r="W53" s="12"/>
      <c r="X53" s="12"/>
      <c r="Y53" s="12"/>
      <c r="AA53" s="12"/>
      <c r="AB53" s="12"/>
      <c r="AC53" s="12"/>
      <c r="AD53" s="12"/>
      <c r="AE53" s="12"/>
      <c r="AG53" s="12"/>
      <c r="AH53" s="12"/>
      <c r="AI53" s="12"/>
      <c r="AJ53" s="12"/>
      <c r="AK53" s="12"/>
    </row>
    <row r="54" spans="2:37" s="10" customFormat="1">
      <c r="B54" s="11"/>
      <c r="D54" s="10" t="s">
        <v>408</v>
      </c>
      <c r="E54" s="10" t="str">
        <f t="shared" ref="E54:N54" si="21">decPeopleTimeline</f>
        <v>Choose</v>
      </c>
      <c r="F54" s="10" t="str">
        <f t="shared" si="21"/>
        <v>Choose</v>
      </c>
      <c r="G54" s="10" t="str">
        <f t="shared" si="21"/>
        <v>Choose</v>
      </c>
      <c r="H54" s="10" t="str">
        <f t="shared" si="21"/>
        <v>Choose</v>
      </c>
      <c r="I54" s="10" t="str">
        <f t="shared" si="21"/>
        <v>Choose</v>
      </c>
      <c r="J54" s="10" t="str">
        <f t="shared" si="21"/>
        <v>Choose</v>
      </c>
      <c r="K54" s="10" t="str">
        <f t="shared" si="21"/>
        <v>Choose</v>
      </c>
      <c r="L54" s="10" t="str">
        <f t="shared" si="21"/>
        <v>Choose</v>
      </c>
      <c r="M54" s="10" t="str">
        <f t="shared" si="21"/>
        <v>Choose</v>
      </c>
      <c r="N54" s="10" t="str">
        <f t="shared" si="21"/>
        <v>Choose</v>
      </c>
      <c r="O54" s="11" t="s">
        <v>1192</v>
      </c>
      <c r="P54" s="110"/>
      <c r="Q54" s="110"/>
      <c r="R54" s="110"/>
      <c r="S54" s="110"/>
      <c r="T54" s="110"/>
      <c r="U54" s="12"/>
      <c r="V54" s="12"/>
      <c r="W54" s="12"/>
      <c r="X54" s="12"/>
      <c r="Y54" s="12"/>
      <c r="AA54" s="12"/>
      <c r="AB54" s="12"/>
      <c r="AC54" s="12"/>
      <c r="AD54" s="12"/>
      <c r="AE54" s="12"/>
      <c r="AG54" s="12"/>
      <c r="AH54" s="12"/>
      <c r="AI54" s="12"/>
      <c r="AJ54" s="12"/>
      <c r="AK54" s="12"/>
    </row>
    <row r="55" spans="2:37" s="10" customFormat="1">
      <c r="B55" s="11"/>
      <c r="D55" s="10" t="s">
        <v>496</v>
      </c>
      <c r="E55" s="224">
        <f t="shared" ref="E55:N55" si="22">decPeopleHarmonizationLevel</f>
        <v>0</v>
      </c>
      <c r="F55" s="224">
        <f t="shared" si="22"/>
        <v>0</v>
      </c>
      <c r="G55" s="224">
        <f t="shared" si="22"/>
        <v>0</v>
      </c>
      <c r="H55" s="224">
        <f t="shared" si="22"/>
        <v>0</v>
      </c>
      <c r="I55" s="224">
        <f t="shared" si="22"/>
        <v>0</v>
      </c>
      <c r="J55" s="224">
        <f t="shared" si="22"/>
        <v>0</v>
      </c>
      <c r="K55" s="224">
        <f t="shared" si="22"/>
        <v>0</v>
      </c>
      <c r="L55" s="224">
        <f t="shared" si="22"/>
        <v>0</v>
      </c>
      <c r="M55" s="224">
        <f t="shared" si="22"/>
        <v>0</v>
      </c>
      <c r="N55" s="224">
        <f t="shared" si="22"/>
        <v>0</v>
      </c>
      <c r="O55" s="225" t="s">
        <v>1193</v>
      </c>
      <c r="P55" s="446"/>
      <c r="Q55" s="110"/>
      <c r="R55" s="110"/>
      <c r="S55" s="110"/>
      <c r="T55" s="110"/>
      <c r="U55" s="12"/>
      <c r="V55" s="12"/>
      <c r="W55" s="12"/>
      <c r="X55" s="12"/>
      <c r="Y55" s="12"/>
      <c r="AA55" s="12"/>
      <c r="AB55" s="12"/>
      <c r="AC55" s="12"/>
      <c r="AD55" s="12"/>
      <c r="AE55" s="12"/>
      <c r="AG55" s="12"/>
      <c r="AH55" s="12"/>
      <c r="AI55" s="12"/>
      <c r="AJ55" s="12"/>
      <c r="AK55" s="12"/>
    </row>
    <row r="56" spans="2:37" s="10" customFormat="1">
      <c r="B56" s="11"/>
      <c r="C56" s="201" t="s">
        <v>401</v>
      </c>
      <c r="O56" s="11"/>
      <c r="P56" s="110"/>
      <c r="Q56" s="110"/>
      <c r="R56" s="110"/>
      <c r="S56" s="110"/>
      <c r="T56" s="110"/>
      <c r="U56" s="12"/>
      <c r="V56" s="12"/>
      <c r="W56" s="12"/>
      <c r="X56" s="12"/>
      <c r="Y56" s="12"/>
      <c r="AA56" s="12"/>
      <c r="AB56" s="12"/>
      <c r="AC56" s="12"/>
      <c r="AD56" s="12"/>
      <c r="AE56" s="12"/>
      <c r="AG56" s="12"/>
      <c r="AH56" s="12"/>
      <c r="AI56" s="12"/>
      <c r="AJ56" s="12"/>
      <c r="AK56" s="12"/>
    </row>
    <row r="57" spans="2:37" s="10" customFormat="1">
      <c r="B57" s="11"/>
      <c r="D57" s="10" t="s">
        <v>1008</v>
      </c>
      <c r="E57" s="224">
        <f t="shared" ref="E57:N57" si="23">decITIntegrationLevel</f>
        <v>0</v>
      </c>
      <c r="F57" s="224">
        <f t="shared" si="23"/>
        <v>0</v>
      </c>
      <c r="G57" s="224">
        <f t="shared" si="23"/>
        <v>0</v>
      </c>
      <c r="H57" s="224">
        <f t="shared" si="23"/>
        <v>0</v>
      </c>
      <c r="I57" s="224">
        <f t="shared" si="23"/>
        <v>0</v>
      </c>
      <c r="J57" s="224">
        <f t="shared" si="23"/>
        <v>0</v>
      </c>
      <c r="K57" s="224">
        <f t="shared" si="23"/>
        <v>0</v>
      </c>
      <c r="L57" s="224">
        <f t="shared" si="23"/>
        <v>0</v>
      </c>
      <c r="M57" s="224">
        <f t="shared" si="23"/>
        <v>0</v>
      </c>
      <c r="N57" s="224">
        <f t="shared" si="23"/>
        <v>0</v>
      </c>
      <c r="O57" s="225" t="s">
        <v>1194</v>
      </c>
      <c r="P57" s="446"/>
      <c r="Q57" s="110"/>
      <c r="R57" s="110"/>
      <c r="S57" s="110"/>
      <c r="T57" s="110"/>
      <c r="U57" s="12"/>
      <c r="V57" s="12"/>
      <c r="W57" s="12"/>
      <c r="X57" s="12"/>
      <c r="Y57" s="12"/>
      <c r="AA57" s="12"/>
      <c r="AB57" s="12"/>
      <c r="AC57" s="12"/>
      <c r="AD57" s="12"/>
      <c r="AE57" s="12"/>
      <c r="AG57" s="12"/>
      <c r="AH57" s="12"/>
      <c r="AI57" s="12"/>
      <c r="AJ57" s="12"/>
      <c r="AK57" s="12"/>
    </row>
    <row r="58" spans="2:37" s="10" customFormat="1">
      <c r="B58" s="11"/>
      <c r="D58" s="10" t="s">
        <v>495</v>
      </c>
      <c r="E58" s="224" t="str">
        <f t="shared" ref="E58:N58" si="24">decITOfficePlan</f>
        <v>Choose</v>
      </c>
      <c r="F58" s="224" t="str">
        <f t="shared" si="24"/>
        <v>Choose</v>
      </c>
      <c r="G58" s="224" t="str">
        <f t="shared" si="24"/>
        <v>Choose</v>
      </c>
      <c r="H58" s="224" t="str">
        <f t="shared" si="24"/>
        <v>Choose</v>
      </c>
      <c r="I58" s="224" t="str">
        <f t="shared" si="24"/>
        <v>Choose</v>
      </c>
      <c r="J58" s="224" t="str">
        <f t="shared" si="24"/>
        <v>Choose</v>
      </c>
      <c r="K58" s="224" t="str">
        <f t="shared" si="24"/>
        <v>Choose</v>
      </c>
      <c r="L58" s="224" t="str">
        <f t="shared" si="24"/>
        <v>Choose</v>
      </c>
      <c r="M58" s="224" t="str">
        <f t="shared" si="24"/>
        <v>Choose</v>
      </c>
      <c r="N58" s="224" t="str">
        <f t="shared" si="24"/>
        <v>Choose</v>
      </c>
      <c r="O58" s="225" t="s">
        <v>1195</v>
      </c>
      <c r="P58" s="446"/>
      <c r="Q58" s="110"/>
      <c r="R58" s="110"/>
      <c r="S58" s="110"/>
      <c r="T58" s="110"/>
      <c r="U58" s="12"/>
      <c r="V58" s="12"/>
      <c r="W58" s="12"/>
      <c r="X58" s="12"/>
      <c r="Y58" s="12"/>
      <c r="AA58" s="12"/>
      <c r="AB58" s="12"/>
      <c r="AC58" s="12"/>
      <c r="AD58" s="12"/>
      <c r="AE58" s="12"/>
      <c r="AG58" s="12"/>
      <c r="AH58" s="12"/>
      <c r="AI58" s="12"/>
      <c r="AJ58" s="12"/>
      <c r="AK58" s="12"/>
    </row>
    <row r="59" spans="2:37" s="10" customFormat="1">
      <c r="B59" s="11"/>
      <c r="C59" s="201" t="s">
        <v>519</v>
      </c>
      <c r="E59" s="224"/>
      <c r="F59" s="224"/>
      <c r="G59" s="224"/>
      <c r="H59" s="224"/>
      <c r="I59" s="224"/>
      <c r="J59" s="224"/>
      <c r="K59" s="224"/>
      <c r="L59" s="224"/>
      <c r="M59" s="224"/>
      <c r="N59" s="224"/>
      <c r="O59" s="225"/>
      <c r="P59" s="446"/>
      <c r="Q59" s="110"/>
      <c r="R59" s="110"/>
      <c r="S59" s="110"/>
      <c r="T59" s="110"/>
      <c r="U59" s="12"/>
      <c r="V59" s="12"/>
      <c r="W59" s="12"/>
      <c r="X59" s="12"/>
      <c r="Y59" s="12"/>
      <c r="AA59" s="12"/>
      <c r="AB59" s="12"/>
      <c r="AC59" s="12"/>
      <c r="AD59" s="12"/>
      <c r="AE59" s="12"/>
      <c r="AG59" s="12"/>
      <c r="AH59" s="12"/>
      <c r="AI59" s="12"/>
      <c r="AJ59" s="12"/>
      <c r="AK59" s="12"/>
    </row>
    <row r="60" spans="2:37" s="10" customFormat="1">
      <c r="B60" s="11"/>
      <c r="C60" s="10" t="s">
        <v>409</v>
      </c>
      <c r="E60" s="224"/>
      <c r="F60" s="224"/>
      <c r="G60" s="224"/>
      <c r="H60" s="224"/>
      <c r="I60" s="224"/>
      <c r="J60" s="224"/>
      <c r="K60" s="224"/>
      <c r="L60" s="224"/>
      <c r="M60" s="224"/>
      <c r="N60" s="224"/>
      <c r="O60" s="225"/>
      <c r="P60" s="446"/>
      <c r="Q60" s="110"/>
      <c r="R60" s="110"/>
      <c r="S60" s="110"/>
      <c r="T60" s="110"/>
      <c r="U60" s="12"/>
      <c r="V60" s="12"/>
      <c r="W60" s="12"/>
      <c r="X60" s="12"/>
      <c r="Y60" s="12"/>
      <c r="AA60" s="12"/>
      <c r="AB60" s="12"/>
      <c r="AC60" s="12"/>
      <c r="AD60" s="12"/>
      <c r="AE60" s="12"/>
      <c r="AG60" s="12"/>
      <c r="AH60" s="12"/>
      <c r="AI60" s="12"/>
      <c r="AJ60" s="12"/>
      <c r="AK60" s="12"/>
    </row>
    <row r="61" spans="2:37" s="10" customFormat="1">
      <c r="B61" s="11"/>
      <c r="D61" s="10" t="s">
        <v>410</v>
      </c>
      <c r="E61" s="224" t="str">
        <f t="shared" ref="E61:N61" si="25">decSecurityP0RiskMitigation</f>
        <v>Choose</v>
      </c>
      <c r="F61" s="224" t="str">
        <f t="shared" si="25"/>
        <v>Choose</v>
      </c>
      <c r="G61" s="224" t="str">
        <f t="shared" si="25"/>
        <v>Choose</v>
      </c>
      <c r="H61" s="224" t="str">
        <f t="shared" si="25"/>
        <v>Choose</v>
      </c>
      <c r="I61" s="224" t="str">
        <f t="shared" si="25"/>
        <v>Choose</v>
      </c>
      <c r="J61" s="224" t="str">
        <f t="shared" si="25"/>
        <v>Choose</v>
      </c>
      <c r="K61" s="224" t="str">
        <f t="shared" si="25"/>
        <v>Choose</v>
      </c>
      <c r="L61" s="224" t="str">
        <f t="shared" si="25"/>
        <v>Choose</v>
      </c>
      <c r="M61" s="224" t="str">
        <f t="shared" si="25"/>
        <v>Choose</v>
      </c>
      <c r="N61" s="224" t="str">
        <f t="shared" si="25"/>
        <v>Choose</v>
      </c>
      <c r="O61" s="225" t="s">
        <v>1196</v>
      </c>
      <c r="P61" s="446"/>
      <c r="Q61" s="110"/>
      <c r="R61" s="110"/>
      <c r="S61" s="110"/>
      <c r="T61" s="110"/>
      <c r="U61" s="12"/>
      <c r="V61" s="12"/>
      <c r="W61" s="12"/>
      <c r="X61" s="12"/>
      <c r="Y61" s="12"/>
      <c r="AA61" s="12"/>
      <c r="AB61" s="12"/>
      <c r="AC61" s="12"/>
      <c r="AD61" s="12"/>
      <c r="AE61" s="12"/>
      <c r="AG61" s="12"/>
      <c r="AH61" s="12"/>
      <c r="AI61" s="12"/>
      <c r="AJ61" s="12"/>
      <c r="AK61" s="12"/>
    </row>
    <row r="62" spans="2:37" s="10" customFormat="1">
      <c r="B62" s="11"/>
      <c r="D62" s="10" t="s">
        <v>412</v>
      </c>
      <c r="E62" s="224" t="str">
        <f t="shared" ref="E62:N62" si="26">decSecurityP1RiskMitigation</f>
        <v>Choose</v>
      </c>
      <c r="F62" s="224" t="str">
        <f t="shared" si="26"/>
        <v>Choose</v>
      </c>
      <c r="G62" s="224" t="str">
        <f t="shared" si="26"/>
        <v>Choose</v>
      </c>
      <c r="H62" s="224" t="str">
        <f t="shared" si="26"/>
        <v>Choose</v>
      </c>
      <c r="I62" s="224" t="str">
        <f t="shared" si="26"/>
        <v>Choose</v>
      </c>
      <c r="J62" s="224" t="str">
        <f t="shared" si="26"/>
        <v>Choose</v>
      </c>
      <c r="K62" s="224" t="str">
        <f t="shared" si="26"/>
        <v>Choose</v>
      </c>
      <c r="L62" s="224" t="str">
        <f t="shared" si="26"/>
        <v>Choose</v>
      </c>
      <c r="M62" s="224" t="str">
        <f t="shared" si="26"/>
        <v>Choose</v>
      </c>
      <c r="N62" s="224" t="str">
        <f t="shared" si="26"/>
        <v>Choose</v>
      </c>
      <c r="O62" s="225" t="s">
        <v>1197</v>
      </c>
      <c r="P62" s="446"/>
      <c r="Q62" s="110"/>
      <c r="R62" s="110"/>
      <c r="S62" s="110"/>
      <c r="T62" s="110"/>
      <c r="U62" s="12"/>
      <c r="V62" s="12"/>
      <c r="W62" s="12"/>
      <c r="X62" s="12"/>
      <c r="Y62" s="12"/>
      <c r="AA62" s="12"/>
      <c r="AB62" s="12"/>
      <c r="AC62" s="12"/>
      <c r="AD62" s="12"/>
      <c r="AE62" s="12"/>
      <c r="AG62" s="12"/>
      <c r="AH62" s="12"/>
      <c r="AI62" s="12"/>
      <c r="AJ62" s="12"/>
      <c r="AK62" s="12"/>
    </row>
    <row r="63" spans="2:37" s="10" customFormat="1">
      <c r="B63" s="11"/>
      <c r="D63" s="10" t="s">
        <v>411</v>
      </c>
      <c r="E63" s="224" t="str">
        <f t="shared" ref="E63:N63" si="27">decSecurityP2RiskMitigation</f>
        <v>Choose</v>
      </c>
      <c r="F63" s="224" t="str">
        <f t="shared" si="27"/>
        <v>Choose</v>
      </c>
      <c r="G63" s="224" t="str">
        <f t="shared" si="27"/>
        <v>Choose</v>
      </c>
      <c r="H63" s="224" t="str">
        <f t="shared" si="27"/>
        <v>Choose</v>
      </c>
      <c r="I63" s="224" t="str">
        <f t="shared" si="27"/>
        <v>Choose</v>
      </c>
      <c r="J63" s="224" t="str">
        <f t="shared" si="27"/>
        <v>Choose</v>
      </c>
      <c r="K63" s="224" t="str">
        <f t="shared" si="27"/>
        <v>Choose</v>
      </c>
      <c r="L63" s="224" t="str">
        <f t="shared" si="27"/>
        <v>Choose</v>
      </c>
      <c r="M63" s="224" t="str">
        <f t="shared" si="27"/>
        <v>Choose</v>
      </c>
      <c r="N63" s="224" t="str">
        <f t="shared" si="27"/>
        <v>Choose</v>
      </c>
      <c r="O63" s="225" t="s">
        <v>1198</v>
      </c>
      <c r="P63" s="446"/>
      <c r="Q63" s="110"/>
      <c r="R63" s="110"/>
      <c r="S63" s="110"/>
      <c r="T63" s="110"/>
      <c r="U63" s="12"/>
      <c r="V63" s="12"/>
      <c r="W63" s="12"/>
      <c r="X63" s="12"/>
      <c r="Y63" s="12"/>
      <c r="AA63" s="12"/>
      <c r="AB63" s="12"/>
      <c r="AC63" s="12"/>
      <c r="AD63" s="12"/>
      <c r="AE63" s="12"/>
      <c r="AG63" s="12"/>
      <c r="AH63" s="12"/>
      <c r="AI63" s="12"/>
      <c r="AJ63" s="12"/>
      <c r="AK63" s="12"/>
    </row>
    <row r="64" spans="2:37" s="10" customFormat="1">
      <c r="B64" s="11"/>
      <c r="D64" s="10" t="s">
        <v>506</v>
      </c>
      <c r="E64" s="224" t="str">
        <f t="shared" ref="E64:N64" si="28">decSecurityBuildSiteInfrastructure</f>
        <v>Choose</v>
      </c>
      <c r="F64" s="224" t="str">
        <f t="shared" si="28"/>
        <v>Choose</v>
      </c>
      <c r="G64" s="224" t="str">
        <f t="shared" si="28"/>
        <v>Choose</v>
      </c>
      <c r="H64" s="224" t="str">
        <f t="shared" si="28"/>
        <v>Choose</v>
      </c>
      <c r="I64" s="224" t="str">
        <f t="shared" si="28"/>
        <v>Choose</v>
      </c>
      <c r="J64" s="224" t="str">
        <f t="shared" si="28"/>
        <v>Choose</v>
      </c>
      <c r="K64" s="224" t="str">
        <f t="shared" si="28"/>
        <v>Choose</v>
      </c>
      <c r="L64" s="224" t="str">
        <f t="shared" si="28"/>
        <v>Choose</v>
      </c>
      <c r="M64" s="224" t="str">
        <f t="shared" si="28"/>
        <v>Choose</v>
      </c>
      <c r="N64" s="224" t="str">
        <f t="shared" si="28"/>
        <v>Choose</v>
      </c>
      <c r="O64" s="225" t="s">
        <v>1199</v>
      </c>
      <c r="P64" s="446"/>
      <c r="Q64" s="110"/>
      <c r="R64" s="110"/>
      <c r="S64" s="110"/>
      <c r="T64" s="110"/>
      <c r="U64" s="12"/>
      <c r="V64" s="12"/>
      <c r="W64" s="12"/>
      <c r="X64" s="12"/>
      <c r="Y64" s="12"/>
      <c r="AA64" s="12"/>
      <c r="AB64" s="12"/>
      <c r="AC64" s="12"/>
      <c r="AD64" s="12"/>
      <c r="AE64" s="12"/>
      <c r="AG64" s="12"/>
      <c r="AH64" s="12"/>
      <c r="AI64" s="12"/>
      <c r="AJ64" s="12"/>
      <c r="AK64" s="12"/>
    </row>
    <row r="65" spans="1:37" s="10" customFormat="1">
      <c r="B65" s="11"/>
      <c r="D65" s="10" t="s">
        <v>1032</v>
      </c>
      <c r="E65" s="224" t="str">
        <f t="shared" ref="E65:N65" si="29">decSecurityProductRestrictions</f>
        <v>Choose</v>
      </c>
      <c r="F65" s="224" t="str">
        <f t="shared" si="29"/>
        <v>Choose</v>
      </c>
      <c r="G65" s="224" t="str">
        <f t="shared" si="29"/>
        <v>Choose</v>
      </c>
      <c r="H65" s="224" t="str">
        <f t="shared" si="29"/>
        <v>Choose</v>
      </c>
      <c r="I65" s="224" t="str">
        <f t="shared" si="29"/>
        <v>Choose</v>
      </c>
      <c r="J65" s="224" t="str">
        <f t="shared" si="29"/>
        <v>Choose</v>
      </c>
      <c r="K65" s="224" t="str">
        <f t="shared" si="29"/>
        <v>Choose</v>
      </c>
      <c r="L65" s="224" t="str">
        <f t="shared" si="29"/>
        <v>Choose</v>
      </c>
      <c r="M65" s="224" t="str">
        <f t="shared" si="29"/>
        <v>Choose</v>
      </c>
      <c r="N65" s="224" t="str">
        <f t="shared" si="29"/>
        <v>Choose</v>
      </c>
      <c r="O65" s="225" t="s">
        <v>1200</v>
      </c>
      <c r="P65" s="446"/>
      <c r="Q65" s="110"/>
      <c r="R65" s="110"/>
      <c r="S65" s="110"/>
      <c r="T65" s="110"/>
      <c r="U65" s="12"/>
      <c r="V65" s="12"/>
      <c r="W65" s="12"/>
      <c r="X65" s="12"/>
      <c r="Y65" s="12"/>
      <c r="AA65" s="12"/>
      <c r="AB65" s="12"/>
      <c r="AC65" s="12"/>
      <c r="AD65" s="12"/>
      <c r="AE65" s="12"/>
      <c r="AG65" s="12"/>
      <c r="AH65" s="12"/>
      <c r="AI65" s="12"/>
      <c r="AJ65" s="12"/>
      <c r="AK65" s="12"/>
    </row>
    <row r="66" spans="1:37" s="10" customFormat="1">
      <c r="B66" s="11"/>
      <c r="C66" s="201" t="s">
        <v>1034</v>
      </c>
      <c r="E66" s="224"/>
      <c r="F66" s="224"/>
      <c r="G66" s="224"/>
      <c r="H66" s="224"/>
      <c r="I66" s="224"/>
      <c r="J66" s="224"/>
      <c r="K66" s="224"/>
      <c r="L66" s="224"/>
      <c r="M66" s="224"/>
      <c r="N66" s="224"/>
      <c r="O66" s="225"/>
      <c r="P66" s="446"/>
      <c r="Q66" s="110"/>
      <c r="R66" s="110"/>
      <c r="S66" s="110"/>
      <c r="T66" s="110"/>
      <c r="U66" s="12"/>
      <c r="V66" s="12"/>
      <c r="W66" s="12"/>
      <c r="X66" s="12"/>
      <c r="Y66" s="12"/>
      <c r="AA66" s="12"/>
      <c r="AB66" s="12"/>
      <c r="AC66" s="12"/>
      <c r="AD66" s="12"/>
      <c r="AE66" s="12"/>
      <c r="AG66" s="12"/>
      <c r="AH66" s="12"/>
      <c r="AI66" s="12"/>
      <c r="AJ66" s="12"/>
      <c r="AK66" s="12"/>
    </row>
    <row r="67" spans="1:37" s="10" customFormat="1">
      <c r="B67" s="11"/>
      <c r="D67" s="10" t="s">
        <v>1035</v>
      </c>
      <c r="E67" s="224" t="str">
        <f t="shared" ref="E67:N67" si="30">decGTMOrg62Timeline</f>
        <v>Choose</v>
      </c>
      <c r="F67" s="224" t="str">
        <f t="shared" si="30"/>
        <v>Choose</v>
      </c>
      <c r="G67" s="224" t="str">
        <f t="shared" si="30"/>
        <v>Choose</v>
      </c>
      <c r="H67" s="224" t="str">
        <f t="shared" si="30"/>
        <v>Choose</v>
      </c>
      <c r="I67" s="224" t="str">
        <f t="shared" si="30"/>
        <v>Choose</v>
      </c>
      <c r="J67" s="224" t="str">
        <f t="shared" si="30"/>
        <v>Choose</v>
      </c>
      <c r="K67" s="224" t="str">
        <f t="shared" si="30"/>
        <v>Choose</v>
      </c>
      <c r="L67" s="224" t="str">
        <f t="shared" si="30"/>
        <v>Choose</v>
      </c>
      <c r="M67" s="224" t="str">
        <f t="shared" si="30"/>
        <v>Choose</v>
      </c>
      <c r="N67" s="224" t="str">
        <f t="shared" si="30"/>
        <v>Choose</v>
      </c>
      <c r="O67" s="225" t="s">
        <v>1201</v>
      </c>
      <c r="P67" s="446"/>
      <c r="Q67" s="110"/>
      <c r="R67" s="110"/>
      <c r="S67" s="110"/>
      <c r="T67" s="110"/>
      <c r="U67" s="12"/>
      <c r="V67" s="12"/>
      <c r="W67" s="12"/>
      <c r="X67" s="12"/>
      <c r="Y67" s="12"/>
      <c r="AA67" s="12"/>
      <c r="AB67" s="12"/>
      <c r="AC67" s="12"/>
      <c r="AD67" s="12"/>
      <c r="AE67" s="12"/>
      <c r="AG67" s="12"/>
      <c r="AH67" s="12"/>
      <c r="AI67" s="12"/>
      <c r="AJ67" s="12"/>
      <c r="AK67" s="12"/>
    </row>
    <row r="68" spans="1:37" s="10" customFormat="1">
      <c r="B68" s="11"/>
      <c r="D68" s="10" t="s">
        <v>1036</v>
      </c>
      <c r="E68" s="224" t="str">
        <f t="shared" ref="E68:N68" si="31">decGTMExternalSales</f>
        <v>Choose</v>
      </c>
      <c r="F68" s="224" t="str">
        <f t="shared" si="31"/>
        <v>Choose</v>
      </c>
      <c r="G68" s="224" t="str">
        <f t="shared" si="31"/>
        <v>Choose</v>
      </c>
      <c r="H68" s="224" t="str">
        <f t="shared" si="31"/>
        <v>Choose</v>
      </c>
      <c r="I68" s="224" t="str">
        <f t="shared" si="31"/>
        <v>Choose</v>
      </c>
      <c r="J68" s="224" t="str">
        <f t="shared" si="31"/>
        <v>Choose</v>
      </c>
      <c r="K68" s="224" t="str">
        <f t="shared" si="31"/>
        <v>Choose</v>
      </c>
      <c r="L68" s="224" t="str">
        <f t="shared" si="31"/>
        <v>Choose</v>
      </c>
      <c r="M68" s="224" t="str">
        <f t="shared" si="31"/>
        <v>Choose</v>
      </c>
      <c r="N68" s="224" t="str">
        <f t="shared" si="31"/>
        <v>Choose</v>
      </c>
      <c r="O68" s="225" t="s">
        <v>1202</v>
      </c>
      <c r="P68" s="446"/>
      <c r="Q68" s="110"/>
      <c r="R68" s="110"/>
      <c r="S68" s="110"/>
      <c r="T68" s="110"/>
      <c r="U68" s="12"/>
      <c r="V68" s="12"/>
      <c r="W68" s="12"/>
      <c r="X68" s="12"/>
      <c r="Y68" s="12"/>
      <c r="AA68" s="12"/>
      <c r="AB68" s="12"/>
      <c r="AC68" s="12"/>
      <c r="AD68" s="12"/>
      <c r="AE68" s="12"/>
      <c r="AG68" s="12"/>
      <c r="AH68" s="12"/>
      <c r="AI68" s="12"/>
      <c r="AJ68" s="12"/>
      <c r="AK68" s="12"/>
    </row>
    <row r="69" spans="1:37" s="10" customFormat="1">
      <c r="B69" s="11"/>
      <c r="D69" s="10" t="s">
        <v>2284</v>
      </c>
      <c r="E69" s="224" t="str">
        <f t="shared" ref="E69:N69" si="32">decGTMCSGPostSales</f>
        <v>Choose</v>
      </c>
      <c r="F69" s="224" t="str">
        <f t="shared" si="32"/>
        <v>Choose</v>
      </c>
      <c r="G69" s="224" t="str">
        <f t="shared" si="32"/>
        <v>Choose</v>
      </c>
      <c r="H69" s="224" t="str">
        <f t="shared" si="32"/>
        <v>Choose</v>
      </c>
      <c r="I69" s="224" t="str">
        <f t="shared" si="32"/>
        <v>Choose</v>
      </c>
      <c r="J69" s="224" t="str">
        <f t="shared" si="32"/>
        <v>Choose</v>
      </c>
      <c r="K69" s="224" t="str">
        <f t="shared" si="32"/>
        <v>Choose</v>
      </c>
      <c r="L69" s="224" t="str">
        <f t="shared" si="32"/>
        <v>Choose</v>
      </c>
      <c r="M69" s="224" t="str">
        <f t="shared" si="32"/>
        <v>Choose</v>
      </c>
      <c r="N69" s="224" t="str">
        <f t="shared" si="32"/>
        <v>Choose</v>
      </c>
      <c r="O69" s="225" t="s">
        <v>2286</v>
      </c>
      <c r="P69" s="446"/>
      <c r="Q69" s="110"/>
      <c r="R69" s="110"/>
      <c r="S69" s="110"/>
      <c r="T69" s="110"/>
      <c r="U69" s="12"/>
      <c r="V69" s="12"/>
      <c r="W69" s="12"/>
      <c r="X69" s="12"/>
      <c r="Y69" s="12"/>
      <c r="AA69" s="12"/>
      <c r="AB69" s="12"/>
      <c r="AC69" s="12"/>
      <c r="AD69" s="12"/>
      <c r="AE69" s="12"/>
      <c r="AG69" s="12"/>
      <c r="AH69" s="12"/>
      <c r="AI69" s="12"/>
      <c r="AJ69" s="12"/>
      <c r="AK69" s="12"/>
    </row>
    <row r="70" spans="1:37" s="10" customFormat="1">
      <c r="A70" s="109" t="s">
        <v>1254</v>
      </c>
      <c r="B70" s="11"/>
      <c r="E70" s="225"/>
      <c r="F70" s="225"/>
      <c r="G70" s="225"/>
      <c r="H70" s="225"/>
      <c r="I70" s="225"/>
      <c r="J70" s="225"/>
      <c r="K70" s="225"/>
      <c r="L70" s="225"/>
      <c r="M70" s="225"/>
      <c r="N70" s="225"/>
      <c r="O70" s="225"/>
      <c r="P70" s="446"/>
      <c r="Q70" s="110"/>
      <c r="R70" s="110"/>
      <c r="S70" s="110"/>
      <c r="T70" s="110"/>
      <c r="U70" s="12"/>
      <c r="V70" s="12"/>
      <c r="W70" s="12"/>
      <c r="X70" s="12"/>
      <c r="Y70" s="12"/>
      <c r="AA70" s="12"/>
      <c r="AB70" s="12"/>
      <c r="AC70" s="12"/>
      <c r="AD70" s="12"/>
      <c r="AE70" s="12"/>
      <c r="AG70" s="12"/>
      <c r="AH70" s="12"/>
      <c r="AI70" s="12"/>
      <c r="AJ70" s="12"/>
      <c r="AK70" s="12"/>
    </row>
    <row r="71" spans="1:37" s="10" customFormat="1">
      <c r="B71" s="11"/>
      <c r="C71" s="10" t="s">
        <v>936</v>
      </c>
      <c r="E71" s="224">
        <f t="shared" ref="E71:N71" si="33">calcEndingMSPerc</f>
        <v>0.44500000000000001</v>
      </c>
      <c r="F71" s="224">
        <f t="shared" si="33"/>
        <v>0.44500000000000001</v>
      </c>
      <c r="G71" s="224">
        <f t="shared" si="33"/>
        <v>0.44500000000000001</v>
      </c>
      <c r="H71" s="224">
        <f t="shared" si="33"/>
        <v>0.44500000000000001</v>
      </c>
      <c r="I71" s="224">
        <f t="shared" si="33"/>
        <v>0.44500000000000001</v>
      </c>
      <c r="J71" s="224">
        <f t="shared" si="33"/>
        <v>0.44500000000000001</v>
      </c>
      <c r="K71" s="224">
        <f t="shared" si="33"/>
        <v>0.44500000000000001</v>
      </c>
      <c r="L71" s="224">
        <f t="shared" si="33"/>
        <v>0.44500000000000001</v>
      </c>
      <c r="M71" s="224">
        <f t="shared" si="33"/>
        <v>0.44500000000000001</v>
      </c>
      <c r="N71" s="224">
        <f t="shared" si="33"/>
        <v>0.44500000000000001</v>
      </c>
      <c r="O71" s="225" t="s">
        <v>1258</v>
      </c>
      <c r="P71" s="446"/>
      <c r="Q71" s="446"/>
      <c r="R71" s="110"/>
      <c r="S71" s="110"/>
      <c r="T71" s="110"/>
      <c r="U71" s="12"/>
      <c r="V71" s="12"/>
      <c r="W71" s="12"/>
      <c r="X71" s="12"/>
      <c r="Y71" s="12"/>
      <c r="AA71" s="12"/>
      <c r="AB71" s="12"/>
      <c r="AC71" s="12"/>
      <c r="AD71" s="12"/>
      <c r="AE71" s="12"/>
      <c r="AG71" s="12"/>
      <c r="AH71" s="12"/>
      <c r="AI71" s="12"/>
      <c r="AJ71" s="12"/>
      <c r="AK71" s="12"/>
    </row>
    <row r="72" spans="1:37" s="10" customFormat="1">
      <c r="B72" s="11"/>
      <c r="C72" s="10" t="s">
        <v>424</v>
      </c>
      <c r="E72" s="224">
        <f t="shared" ref="E72:N72" si="34">calcEndingRDPerc</f>
        <v>0.33300000000000002</v>
      </c>
      <c r="F72" s="224">
        <f t="shared" si="34"/>
        <v>0.33300000000000002</v>
      </c>
      <c r="G72" s="224">
        <f t="shared" si="34"/>
        <v>0.33300000000000002</v>
      </c>
      <c r="H72" s="224">
        <f t="shared" si="34"/>
        <v>0.33300000000000002</v>
      </c>
      <c r="I72" s="224">
        <f t="shared" si="34"/>
        <v>0.33300000000000002</v>
      </c>
      <c r="J72" s="224">
        <f t="shared" si="34"/>
        <v>0.33300000000000002</v>
      </c>
      <c r="K72" s="224">
        <f t="shared" si="34"/>
        <v>0.33300000000000002</v>
      </c>
      <c r="L72" s="224">
        <f t="shared" si="34"/>
        <v>0.33300000000000002</v>
      </c>
      <c r="M72" s="224">
        <f t="shared" si="34"/>
        <v>0.33300000000000002</v>
      </c>
      <c r="N72" s="224">
        <f t="shared" si="34"/>
        <v>0.33300000000000002</v>
      </c>
      <c r="O72" s="225" t="s">
        <v>1259</v>
      </c>
      <c r="P72" s="446"/>
      <c r="Q72" s="446"/>
      <c r="R72" s="110"/>
      <c r="S72" s="110"/>
      <c r="T72" s="110"/>
      <c r="U72" s="12"/>
      <c r="V72" s="12"/>
      <c r="W72" s="12"/>
      <c r="X72" s="12"/>
      <c r="Y72" s="12"/>
      <c r="AA72" s="12"/>
      <c r="AB72" s="12"/>
      <c r="AC72" s="12"/>
      <c r="AD72" s="12"/>
      <c r="AE72" s="12"/>
      <c r="AG72" s="12"/>
      <c r="AH72" s="12"/>
      <c r="AI72" s="12"/>
      <c r="AJ72" s="12"/>
      <c r="AK72" s="12"/>
    </row>
    <row r="73" spans="1:37" s="10" customFormat="1">
      <c r="B73" s="11"/>
      <c r="C73" s="10" t="s">
        <v>403</v>
      </c>
      <c r="E73" s="224">
        <f t="shared" ref="E73:N73" si="35">calcEndingGAPerc</f>
        <v>0.21199999999999999</v>
      </c>
      <c r="F73" s="224">
        <f t="shared" si="35"/>
        <v>0.21199999999999999</v>
      </c>
      <c r="G73" s="224">
        <f t="shared" si="35"/>
        <v>0.21199999999999999</v>
      </c>
      <c r="H73" s="224">
        <f t="shared" si="35"/>
        <v>0.21199999999999999</v>
      </c>
      <c r="I73" s="224">
        <f t="shared" si="35"/>
        <v>0.21199999999999999</v>
      </c>
      <c r="J73" s="224">
        <f t="shared" si="35"/>
        <v>0.21199999999999999</v>
      </c>
      <c r="K73" s="224">
        <f t="shared" si="35"/>
        <v>0.21199999999999999</v>
      </c>
      <c r="L73" s="224">
        <f t="shared" si="35"/>
        <v>0.21199999999999999</v>
      </c>
      <c r="M73" s="224">
        <f t="shared" si="35"/>
        <v>0.21199999999999999</v>
      </c>
      <c r="N73" s="224">
        <f t="shared" si="35"/>
        <v>0.21199999999999999</v>
      </c>
      <c r="O73" s="225" t="s">
        <v>1260</v>
      </c>
      <c r="P73" s="446"/>
      <c r="Q73" s="446"/>
      <c r="R73" s="110"/>
      <c r="S73" s="110"/>
      <c r="T73" s="110"/>
      <c r="U73" s="12"/>
      <c r="V73" s="12"/>
      <c r="W73" s="12"/>
      <c r="X73" s="12"/>
      <c r="Y73" s="12"/>
      <c r="AA73" s="12"/>
      <c r="AB73" s="12"/>
      <c r="AC73" s="12"/>
      <c r="AD73" s="12"/>
      <c r="AE73" s="12"/>
      <c r="AG73" s="12"/>
      <c r="AH73" s="12"/>
      <c r="AI73" s="12"/>
      <c r="AJ73" s="12"/>
      <c r="AK73" s="12"/>
    </row>
    <row r="74" spans="1:37" s="10" customFormat="1">
      <c r="A74" s="217" t="s">
        <v>1266</v>
      </c>
      <c r="B74" s="11"/>
      <c r="E74" s="225"/>
      <c r="F74" s="225"/>
      <c r="G74" s="225"/>
      <c r="H74" s="225"/>
      <c r="I74" s="225"/>
      <c r="J74" s="225"/>
      <c r="K74" s="225"/>
      <c r="L74" s="225"/>
      <c r="M74" s="225"/>
      <c r="N74" s="225"/>
      <c r="O74" s="225"/>
      <c r="P74" s="446"/>
      <c r="Q74" s="110"/>
      <c r="R74" s="110"/>
      <c r="S74" s="110"/>
      <c r="T74" s="110"/>
      <c r="U74" s="12"/>
      <c r="V74" s="12"/>
      <c r="W74" s="12"/>
      <c r="X74" s="12"/>
      <c r="Y74" s="12"/>
      <c r="AA74" s="12"/>
      <c r="AB74" s="12"/>
      <c r="AC74" s="12"/>
      <c r="AD74" s="12"/>
      <c r="AE74" s="12"/>
      <c r="AG74" s="12"/>
      <c r="AH74" s="12"/>
      <c r="AI74" s="12"/>
      <c r="AJ74" s="12"/>
      <c r="AK74" s="12"/>
    </row>
    <row r="75" spans="1:37" s="10" customFormat="1">
      <c r="A75" s="217"/>
      <c r="B75" s="11"/>
      <c r="C75" s="10" t="s">
        <v>899</v>
      </c>
      <c r="E75" s="224">
        <f t="shared" ref="E75:N78" si="36">$Q75</f>
        <v>0.15</v>
      </c>
      <c r="F75" s="224">
        <f t="shared" si="36"/>
        <v>0.15</v>
      </c>
      <c r="G75" s="224">
        <f t="shared" si="36"/>
        <v>0.15</v>
      </c>
      <c r="H75" s="224">
        <f t="shared" si="36"/>
        <v>0.15</v>
      </c>
      <c r="I75" s="224">
        <f t="shared" si="36"/>
        <v>0.15</v>
      </c>
      <c r="J75" s="224">
        <f t="shared" si="36"/>
        <v>0.15</v>
      </c>
      <c r="K75" s="224">
        <f t="shared" si="36"/>
        <v>0.15</v>
      </c>
      <c r="L75" s="224">
        <f t="shared" si="36"/>
        <v>0.15</v>
      </c>
      <c r="M75" s="224">
        <f t="shared" si="36"/>
        <v>0.15</v>
      </c>
      <c r="N75" s="224">
        <f t="shared" si="36"/>
        <v>0.15</v>
      </c>
      <c r="O75" s="225" t="s">
        <v>1271</v>
      </c>
      <c r="P75" s="446"/>
      <c r="Q75" s="110">
        <v>0.15</v>
      </c>
      <c r="R75" s="110"/>
      <c r="S75" s="110"/>
      <c r="T75" s="110"/>
      <c r="U75" s="12"/>
      <c r="V75" s="12"/>
      <c r="W75" s="12"/>
      <c r="X75" s="12"/>
      <c r="Y75" s="12"/>
      <c r="AA75" s="12"/>
      <c r="AB75" s="12"/>
      <c r="AC75" s="12"/>
      <c r="AD75" s="12"/>
      <c r="AE75" s="12"/>
      <c r="AG75" s="12"/>
      <c r="AH75" s="12"/>
      <c r="AI75" s="12"/>
      <c r="AJ75" s="12"/>
      <c r="AK75" s="12"/>
    </row>
    <row r="76" spans="1:37" s="10" customFormat="1">
      <c r="A76" s="217"/>
      <c r="B76" s="11"/>
      <c r="C76" s="10" t="s">
        <v>900</v>
      </c>
      <c r="E76" s="224">
        <f t="shared" si="36"/>
        <v>0.375</v>
      </c>
      <c r="F76" s="224">
        <f t="shared" si="36"/>
        <v>0.375</v>
      </c>
      <c r="G76" s="224">
        <f t="shared" si="36"/>
        <v>0.375</v>
      </c>
      <c r="H76" s="224">
        <f t="shared" si="36"/>
        <v>0.375</v>
      </c>
      <c r="I76" s="224">
        <f t="shared" si="36"/>
        <v>0.375</v>
      </c>
      <c r="J76" s="224">
        <f t="shared" si="36"/>
        <v>0.375</v>
      </c>
      <c r="K76" s="224">
        <f t="shared" si="36"/>
        <v>0.375</v>
      </c>
      <c r="L76" s="224">
        <f t="shared" si="36"/>
        <v>0.375</v>
      </c>
      <c r="M76" s="224">
        <f t="shared" si="36"/>
        <v>0.375</v>
      </c>
      <c r="N76" s="224">
        <f t="shared" si="36"/>
        <v>0.375</v>
      </c>
      <c r="O76" s="225" t="s">
        <v>1272</v>
      </c>
      <c r="P76" s="446"/>
      <c r="Q76" s="110">
        <v>0.375</v>
      </c>
      <c r="R76" s="110"/>
      <c r="S76" s="110"/>
      <c r="T76" s="110"/>
      <c r="U76" s="12"/>
      <c r="V76" s="12"/>
      <c r="W76" s="12"/>
      <c r="X76" s="12"/>
      <c r="Y76" s="12"/>
      <c r="AA76" s="12"/>
      <c r="AB76" s="12"/>
      <c r="AC76" s="12"/>
      <c r="AD76" s="12"/>
      <c r="AE76" s="12"/>
      <c r="AG76" s="12"/>
      <c r="AH76" s="12"/>
      <c r="AI76" s="12"/>
      <c r="AJ76" s="12"/>
      <c r="AK76" s="12"/>
    </row>
    <row r="77" spans="1:37" s="10" customFormat="1">
      <c r="A77" s="217"/>
      <c r="B77" s="11"/>
      <c r="C77" s="10" t="s">
        <v>901</v>
      </c>
      <c r="E77" s="224">
        <f t="shared" si="36"/>
        <v>0.15</v>
      </c>
      <c r="F77" s="224">
        <f t="shared" si="36"/>
        <v>0.15</v>
      </c>
      <c r="G77" s="224">
        <f t="shared" si="36"/>
        <v>0.15</v>
      </c>
      <c r="H77" s="224">
        <f t="shared" si="36"/>
        <v>0.15</v>
      </c>
      <c r="I77" s="224">
        <f t="shared" si="36"/>
        <v>0.15</v>
      </c>
      <c r="J77" s="224">
        <f t="shared" si="36"/>
        <v>0.15</v>
      </c>
      <c r="K77" s="224">
        <f t="shared" si="36"/>
        <v>0.15</v>
      </c>
      <c r="L77" s="224">
        <f t="shared" si="36"/>
        <v>0.15</v>
      </c>
      <c r="M77" s="224">
        <f t="shared" si="36"/>
        <v>0.15</v>
      </c>
      <c r="N77" s="224">
        <f t="shared" si="36"/>
        <v>0.15</v>
      </c>
      <c r="O77" s="225" t="s">
        <v>1273</v>
      </c>
      <c r="P77" s="446"/>
      <c r="Q77" s="110">
        <v>0.15</v>
      </c>
      <c r="R77" s="110"/>
      <c r="S77" s="110"/>
      <c r="T77" s="110"/>
      <c r="U77" s="12"/>
      <c r="V77" s="12"/>
      <c r="W77" s="12"/>
      <c r="X77" s="12"/>
      <c r="Y77" s="12"/>
      <c r="AA77" s="12"/>
      <c r="AB77" s="12"/>
      <c r="AC77" s="12"/>
      <c r="AD77" s="12"/>
      <c r="AE77" s="12"/>
      <c r="AG77" s="12"/>
      <c r="AH77" s="12"/>
      <c r="AI77" s="12"/>
      <c r="AJ77" s="12"/>
      <c r="AK77" s="12"/>
    </row>
    <row r="78" spans="1:37" s="10" customFormat="1">
      <c r="A78" s="217"/>
      <c r="B78" s="11"/>
      <c r="C78" s="10" t="s">
        <v>902</v>
      </c>
      <c r="E78" s="224">
        <f t="shared" si="36"/>
        <v>0.32500000000000001</v>
      </c>
      <c r="F78" s="224">
        <f t="shared" si="36"/>
        <v>0.32500000000000001</v>
      </c>
      <c r="G78" s="224">
        <f t="shared" si="36"/>
        <v>0.32500000000000001</v>
      </c>
      <c r="H78" s="224">
        <f t="shared" si="36"/>
        <v>0.32500000000000001</v>
      </c>
      <c r="I78" s="224">
        <f t="shared" si="36"/>
        <v>0.32500000000000001</v>
      </c>
      <c r="J78" s="224">
        <f t="shared" si="36"/>
        <v>0.32500000000000001</v>
      </c>
      <c r="K78" s="224">
        <f t="shared" si="36"/>
        <v>0.32500000000000001</v>
      </c>
      <c r="L78" s="224">
        <f t="shared" si="36"/>
        <v>0.32500000000000001</v>
      </c>
      <c r="M78" s="224">
        <f t="shared" si="36"/>
        <v>0.32500000000000001</v>
      </c>
      <c r="N78" s="224">
        <f t="shared" si="36"/>
        <v>0.32500000000000001</v>
      </c>
      <c r="O78" s="225" t="s">
        <v>1274</v>
      </c>
      <c r="P78" s="446"/>
      <c r="Q78" s="110">
        <v>0.32500000000000001</v>
      </c>
      <c r="R78" s="110"/>
      <c r="S78" s="110"/>
      <c r="T78" s="110"/>
      <c r="U78" s="12"/>
      <c r="V78" s="12"/>
      <c r="W78" s="12"/>
      <c r="X78" s="12"/>
      <c r="Y78" s="12"/>
      <c r="AA78" s="12"/>
      <c r="AB78" s="12"/>
      <c r="AC78" s="12"/>
      <c r="AD78" s="12"/>
      <c r="AE78" s="12"/>
      <c r="AG78" s="12"/>
      <c r="AH78" s="12"/>
      <c r="AI78" s="12"/>
      <c r="AJ78" s="12"/>
      <c r="AK78" s="12"/>
    </row>
    <row r="79" spans="1:37" s="10" customFormat="1">
      <c r="B79" s="11"/>
      <c r="E79" s="225"/>
      <c r="F79" s="225"/>
      <c r="G79" s="225"/>
      <c r="H79" s="225"/>
      <c r="I79" s="225"/>
      <c r="J79" s="225"/>
      <c r="K79" s="225"/>
      <c r="L79" s="225"/>
      <c r="M79" s="225"/>
      <c r="N79" s="225"/>
      <c r="O79" s="225"/>
      <c r="P79" s="446"/>
      <c r="Q79" s="110"/>
      <c r="R79" s="110"/>
      <c r="S79" s="110"/>
      <c r="T79" s="110"/>
      <c r="U79" s="12"/>
      <c r="V79" s="12"/>
      <c r="W79" s="12"/>
      <c r="X79" s="12"/>
      <c r="Y79" s="12"/>
      <c r="AA79" s="12"/>
      <c r="AB79" s="12"/>
      <c r="AC79" s="12"/>
      <c r="AD79" s="12"/>
      <c r="AE79" s="12"/>
      <c r="AG79" s="12"/>
      <c r="AH79" s="12"/>
      <c r="AI79" s="12"/>
      <c r="AJ79" s="12"/>
      <c r="AK79" s="12"/>
    </row>
    <row r="80" spans="1:37" s="10" customFormat="1">
      <c r="B80" s="11"/>
      <c r="C80" s="201" t="s">
        <v>589</v>
      </c>
      <c r="E80" s="225"/>
      <c r="F80" s="225"/>
      <c r="G80" s="225"/>
      <c r="H80" s="225"/>
      <c r="I80" s="225"/>
      <c r="J80" s="225"/>
      <c r="K80" s="225"/>
      <c r="L80" s="225"/>
      <c r="M80" s="225"/>
      <c r="N80" s="225"/>
      <c r="O80" s="225"/>
      <c r="P80" s="446"/>
      <c r="Q80" s="110"/>
      <c r="R80" s="110"/>
      <c r="S80" s="110"/>
      <c r="T80" s="110"/>
      <c r="U80" s="12"/>
      <c r="V80" s="12"/>
      <c r="W80" s="12"/>
      <c r="X80" s="12"/>
      <c r="Y80" s="12"/>
      <c r="AA80" s="12"/>
      <c r="AB80" s="12"/>
      <c r="AC80" s="12"/>
      <c r="AD80" s="12"/>
      <c r="AE80" s="12"/>
      <c r="AG80" s="12"/>
      <c r="AH80" s="12"/>
      <c r="AI80" s="12"/>
      <c r="AJ80" s="12"/>
      <c r="AK80" s="12"/>
    </row>
    <row r="81" spans="2:37" s="10" customFormat="1">
      <c r="B81" s="11"/>
      <c r="D81" s="10" t="s">
        <v>647</v>
      </c>
      <c r="E81" s="447">
        <f t="shared" ref="E81:N81" si="37">decWobbler1</f>
        <v>0</v>
      </c>
      <c r="F81" s="447">
        <f t="shared" si="37"/>
        <v>0</v>
      </c>
      <c r="G81" s="447">
        <f t="shared" si="37"/>
        <v>0</v>
      </c>
      <c r="H81" s="447">
        <f t="shared" si="37"/>
        <v>0</v>
      </c>
      <c r="I81" s="447">
        <f t="shared" si="37"/>
        <v>0</v>
      </c>
      <c r="J81" s="447">
        <f t="shared" si="37"/>
        <v>0</v>
      </c>
      <c r="K81" s="447">
        <f t="shared" si="37"/>
        <v>0</v>
      </c>
      <c r="L81" s="447">
        <f t="shared" si="37"/>
        <v>0</v>
      </c>
      <c r="M81" s="447">
        <f t="shared" si="37"/>
        <v>0</v>
      </c>
      <c r="N81" s="447">
        <f t="shared" si="37"/>
        <v>0</v>
      </c>
      <c r="O81" s="225" t="s">
        <v>1203</v>
      </c>
      <c r="P81" s="446"/>
      <c r="Q81" s="110"/>
      <c r="R81" s="110"/>
      <c r="S81" s="110"/>
      <c r="T81" s="110"/>
      <c r="U81" s="12"/>
      <c r="V81" s="12"/>
      <c r="W81" s="12"/>
      <c r="X81" s="12"/>
      <c r="Y81" s="12"/>
      <c r="AA81" s="12"/>
      <c r="AB81" s="12"/>
      <c r="AC81" s="12"/>
      <c r="AD81" s="12"/>
      <c r="AE81" s="12"/>
      <c r="AG81" s="12"/>
      <c r="AH81" s="12"/>
      <c r="AI81" s="12"/>
      <c r="AJ81" s="12"/>
      <c r="AK81" s="12"/>
    </row>
    <row r="82" spans="2:37" s="10" customFormat="1">
      <c r="B82" s="11"/>
      <c r="D82" s="10" t="s">
        <v>649</v>
      </c>
      <c r="E82" s="447">
        <f t="shared" ref="E82:N82" si="38">decWobbler2</f>
        <v>0</v>
      </c>
      <c r="F82" s="447">
        <f t="shared" si="38"/>
        <v>0</v>
      </c>
      <c r="G82" s="447">
        <f t="shared" si="38"/>
        <v>0</v>
      </c>
      <c r="H82" s="447">
        <f t="shared" si="38"/>
        <v>0</v>
      </c>
      <c r="I82" s="447">
        <f t="shared" si="38"/>
        <v>0</v>
      </c>
      <c r="J82" s="447">
        <f t="shared" si="38"/>
        <v>0</v>
      </c>
      <c r="K82" s="447">
        <f t="shared" si="38"/>
        <v>0</v>
      </c>
      <c r="L82" s="447">
        <f t="shared" si="38"/>
        <v>0</v>
      </c>
      <c r="M82" s="447">
        <f t="shared" si="38"/>
        <v>0</v>
      </c>
      <c r="N82" s="447">
        <f t="shared" si="38"/>
        <v>0</v>
      </c>
      <c r="O82" s="225" t="s">
        <v>1204</v>
      </c>
      <c r="P82" s="446"/>
      <c r="Q82" s="110"/>
      <c r="R82" s="110"/>
      <c r="S82" s="110"/>
      <c r="T82" s="110"/>
      <c r="U82" s="12"/>
      <c r="V82" s="12"/>
      <c r="W82" s="12"/>
      <c r="X82" s="12"/>
      <c r="Y82" s="12"/>
      <c r="AA82" s="12"/>
      <c r="AB82" s="12"/>
      <c r="AC82" s="12"/>
      <c r="AD82" s="12"/>
      <c r="AE82" s="12"/>
      <c r="AG82" s="12"/>
      <c r="AH82" s="12"/>
      <c r="AI82" s="12"/>
      <c r="AJ82" s="12"/>
      <c r="AK82" s="12"/>
    </row>
    <row r="83" spans="2:37" s="10" customFormat="1">
      <c r="B83" s="11"/>
      <c r="D83" s="10" t="s">
        <v>651</v>
      </c>
      <c r="E83" s="447">
        <f t="shared" ref="E83:N83" si="39">decWobbler3</f>
        <v>0</v>
      </c>
      <c r="F83" s="447">
        <f t="shared" si="39"/>
        <v>0</v>
      </c>
      <c r="G83" s="447">
        <f t="shared" si="39"/>
        <v>0</v>
      </c>
      <c r="H83" s="447">
        <f t="shared" si="39"/>
        <v>0</v>
      </c>
      <c r="I83" s="447">
        <f t="shared" si="39"/>
        <v>0</v>
      </c>
      <c r="J83" s="447">
        <f t="shared" si="39"/>
        <v>0</v>
      </c>
      <c r="K83" s="447">
        <f t="shared" si="39"/>
        <v>0</v>
      </c>
      <c r="L83" s="447">
        <f t="shared" si="39"/>
        <v>0</v>
      </c>
      <c r="M83" s="447">
        <f t="shared" si="39"/>
        <v>0</v>
      </c>
      <c r="N83" s="447">
        <f t="shared" si="39"/>
        <v>0</v>
      </c>
      <c r="O83" s="225" t="s">
        <v>1205</v>
      </c>
      <c r="P83" s="446"/>
      <c r="Q83" s="110"/>
      <c r="R83" s="110"/>
      <c r="S83" s="110"/>
      <c r="T83" s="110"/>
      <c r="U83" s="12"/>
      <c r="V83" s="12"/>
      <c r="W83" s="12"/>
      <c r="X83" s="12"/>
      <c r="Y83" s="12"/>
      <c r="AA83" s="12"/>
      <c r="AB83" s="12"/>
      <c r="AC83" s="12"/>
      <c r="AD83" s="12"/>
      <c r="AE83" s="12"/>
      <c r="AG83" s="12"/>
      <c r="AH83" s="12"/>
      <c r="AI83" s="12"/>
      <c r="AJ83" s="12"/>
      <c r="AK83" s="12"/>
    </row>
    <row r="84" spans="2:37" s="10" customFormat="1">
      <c r="B84" s="11"/>
      <c r="D84" s="10" t="s">
        <v>652</v>
      </c>
      <c r="E84" s="447">
        <f t="shared" ref="E84:N84" si="40">decWobbler4</f>
        <v>0</v>
      </c>
      <c r="F84" s="447">
        <f t="shared" si="40"/>
        <v>0</v>
      </c>
      <c r="G84" s="447">
        <f t="shared" si="40"/>
        <v>0</v>
      </c>
      <c r="H84" s="447">
        <f t="shared" si="40"/>
        <v>0</v>
      </c>
      <c r="I84" s="447">
        <f t="shared" si="40"/>
        <v>0</v>
      </c>
      <c r="J84" s="447">
        <f t="shared" si="40"/>
        <v>0</v>
      </c>
      <c r="K84" s="447">
        <f t="shared" si="40"/>
        <v>0</v>
      </c>
      <c r="L84" s="447">
        <f t="shared" si="40"/>
        <v>0</v>
      </c>
      <c r="M84" s="447">
        <f t="shared" si="40"/>
        <v>0</v>
      </c>
      <c r="N84" s="447">
        <f t="shared" si="40"/>
        <v>0</v>
      </c>
      <c r="O84" s="225" t="s">
        <v>1206</v>
      </c>
      <c r="P84" s="446"/>
      <c r="Q84" s="110"/>
      <c r="R84" s="110"/>
      <c r="S84" s="110"/>
      <c r="T84" s="110"/>
      <c r="U84" s="12"/>
      <c r="V84" s="12"/>
      <c r="W84" s="12"/>
      <c r="X84" s="12"/>
      <c r="Y84" s="12"/>
      <c r="AA84" s="12"/>
      <c r="AB84" s="12"/>
      <c r="AC84" s="12"/>
      <c r="AD84" s="12"/>
      <c r="AE84" s="12"/>
      <c r="AG84" s="12"/>
      <c r="AH84" s="12"/>
      <c r="AI84" s="12"/>
      <c r="AJ84" s="12"/>
      <c r="AK84" s="12"/>
    </row>
    <row r="85" spans="2:37" s="10" customFormat="1">
      <c r="B85" s="11"/>
      <c r="D85" s="10" t="s">
        <v>653</v>
      </c>
      <c r="E85" s="447">
        <f t="shared" ref="E85:N85" si="41">decWobbler5</f>
        <v>0</v>
      </c>
      <c r="F85" s="447">
        <f t="shared" si="41"/>
        <v>0</v>
      </c>
      <c r="G85" s="447">
        <f t="shared" si="41"/>
        <v>0</v>
      </c>
      <c r="H85" s="447">
        <f t="shared" si="41"/>
        <v>0</v>
      </c>
      <c r="I85" s="447">
        <f t="shared" si="41"/>
        <v>0</v>
      </c>
      <c r="J85" s="447">
        <f t="shared" si="41"/>
        <v>0</v>
      </c>
      <c r="K85" s="447">
        <f t="shared" si="41"/>
        <v>0</v>
      </c>
      <c r="L85" s="447">
        <f t="shared" si="41"/>
        <v>0</v>
      </c>
      <c r="M85" s="447">
        <f t="shared" si="41"/>
        <v>0</v>
      </c>
      <c r="N85" s="447">
        <f t="shared" si="41"/>
        <v>0</v>
      </c>
      <c r="O85" s="225" t="s">
        <v>1207</v>
      </c>
      <c r="P85" s="446"/>
      <c r="Q85" s="110"/>
      <c r="R85" s="110"/>
      <c r="S85" s="110"/>
      <c r="T85" s="110"/>
      <c r="U85" s="12"/>
      <c r="V85" s="12"/>
      <c r="W85" s="12"/>
      <c r="X85" s="12"/>
      <c r="Y85" s="12"/>
      <c r="AA85" s="12"/>
      <c r="AB85" s="12"/>
      <c r="AC85" s="12"/>
      <c r="AD85" s="12"/>
      <c r="AE85" s="12"/>
      <c r="AG85" s="12"/>
      <c r="AH85" s="12"/>
      <c r="AI85" s="12"/>
      <c r="AJ85" s="12"/>
      <c r="AK85" s="12"/>
    </row>
    <row r="86" spans="2:37" s="10" customFormat="1">
      <c r="B86" s="11"/>
      <c r="D86" s="10" t="s">
        <v>654</v>
      </c>
      <c r="E86" s="447">
        <f t="shared" ref="E86:N86" si="42">decWobbler6</f>
        <v>0</v>
      </c>
      <c r="F86" s="447">
        <f t="shared" si="42"/>
        <v>0</v>
      </c>
      <c r="G86" s="447">
        <f t="shared" si="42"/>
        <v>0</v>
      </c>
      <c r="H86" s="447">
        <f t="shared" si="42"/>
        <v>0</v>
      </c>
      <c r="I86" s="447">
        <f t="shared" si="42"/>
        <v>0</v>
      </c>
      <c r="J86" s="447">
        <f t="shared" si="42"/>
        <v>0</v>
      </c>
      <c r="K86" s="447">
        <f t="shared" si="42"/>
        <v>0</v>
      </c>
      <c r="L86" s="447">
        <f t="shared" si="42"/>
        <v>0</v>
      </c>
      <c r="M86" s="447">
        <f t="shared" si="42"/>
        <v>0</v>
      </c>
      <c r="N86" s="447">
        <f t="shared" si="42"/>
        <v>0</v>
      </c>
      <c r="O86" s="225" t="s">
        <v>1208</v>
      </c>
      <c r="P86" s="446"/>
      <c r="Q86" s="110"/>
      <c r="R86" s="110"/>
      <c r="S86" s="110"/>
      <c r="T86" s="110"/>
      <c r="U86" s="12"/>
      <c r="V86" s="12"/>
      <c r="W86" s="12"/>
      <c r="X86" s="12"/>
      <c r="Y86" s="12"/>
      <c r="AA86" s="12"/>
      <c r="AB86" s="12"/>
      <c r="AC86" s="12"/>
      <c r="AD86" s="12"/>
      <c r="AE86" s="12"/>
      <c r="AG86" s="12"/>
      <c r="AH86" s="12"/>
      <c r="AI86" s="12"/>
      <c r="AJ86" s="12"/>
      <c r="AK86" s="12"/>
    </row>
    <row r="87" spans="2:37" s="10" customFormat="1">
      <c r="B87" s="11"/>
      <c r="D87" s="10" t="s">
        <v>655</v>
      </c>
      <c r="E87" s="447">
        <f t="shared" ref="E87:N87" si="43">decWobbler7</f>
        <v>0</v>
      </c>
      <c r="F87" s="447">
        <f t="shared" si="43"/>
        <v>0</v>
      </c>
      <c r="G87" s="447">
        <f t="shared" si="43"/>
        <v>0</v>
      </c>
      <c r="H87" s="447">
        <f t="shared" si="43"/>
        <v>0</v>
      </c>
      <c r="I87" s="447">
        <f t="shared" si="43"/>
        <v>0</v>
      </c>
      <c r="J87" s="447">
        <f t="shared" si="43"/>
        <v>0</v>
      </c>
      <c r="K87" s="447">
        <f t="shared" si="43"/>
        <v>0</v>
      </c>
      <c r="L87" s="447">
        <f t="shared" si="43"/>
        <v>0</v>
      </c>
      <c r="M87" s="447">
        <f t="shared" si="43"/>
        <v>0</v>
      </c>
      <c r="N87" s="447">
        <f t="shared" si="43"/>
        <v>0</v>
      </c>
      <c r="O87" s="225" t="s">
        <v>1209</v>
      </c>
      <c r="P87" s="446"/>
      <c r="Q87" s="110"/>
      <c r="R87" s="110"/>
      <c r="S87" s="110"/>
      <c r="T87" s="110"/>
      <c r="U87" s="12"/>
      <c r="V87" s="12"/>
      <c r="W87" s="12"/>
      <c r="X87" s="12"/>
      <c r="Y87" s="12"/>
      <c r="AA87" s="12"/>
      <c r="AB87" s="12"/>
      <c r="AC87" s="12"/>
      <c r="AD87" s="12"/>
      <c r="AE87" s="12"/>
      <c r="AG87" s="12"/>
      <c r="AH87" s="12"/>
      <c r="AI87" s="12"/>
      <c r="AJ87" s="12"/>
      <c r="AK87" s="12"/>
    </row>
    <row r="88" spans="2:37" s="10" customFormat="1">
      <c r="B88" s="11"/>
      <c r="D88" s="10" t="s">
        <v>656</v>
      </c>
      <c r="E88" s="447">
        <f t="shared" ref="E88:N88" si="44">decWobbler8</f>
        <v>0</v>
      </c>
      <c r="F88" s="447">
        <f t="shared" si="44"/>
        <v>0</v>
      </c>
      <c r="G88" s="447">
        <f t="shared" si="44"/>
        <v>0</v>
      </c>
      <c r="H88" s="447">
        <f t="shared" si="44"/>
        <v>0</v>
      </c>
      <c r="I88" s="447">
        <f t="shared" si="44"/>
        <v>0</v>
      </c>
      <c r="J88" s="447">
        <f t="shared" si="44"/>
        <v>0</v>
      </c>
      <c r="K88" s="447">
        <f t="shared" si="44"/>
        <v>0</v>
      </c>
      <c r="L88" s="447">
        <f t="shared" si="44"/>
        <v>0</v>
      </c>
      <c r="M88" s="447">
        <f t="shared" si="44"/>
        <v>0</v>
      </c>
      <c r="N88" s="447">
        <f t="shared" si="44"/>
        <v>0</v>
      </c>
      <c r="O88" s="225" t="s">
        <v>1210</v>
      </c>
      <c r="P88" s="446"/>
      <c r="Q88" s="110"/>
      <c r="R88" s="110"/>
      <c r="S88" s="110"/>
      <c r="T88" s="110"/>
      <c r="U88" s="12"/>
      <c r="V88" s="12"/>
      <c r="W88" s="12"/>
      <c r="X88" s="12"/>
      <c r="Y88" s="12"/>
      <c r="AA88" s="12"/>
      <c r="AB88" s="12"/>
      <c r="AC88" s="12"/>
      <c r="AD88" s="12"/>
      <c r="AE88" s="12"/>
      <c r="AG88" s="12"/>
      <c r="AH88" s="12"/>
      <c r="AI88" s="12"/>
      <c r="AJ88" s="12"/>
      <c r="AK88" s="12"/>
    </row>
    <row r="89" spans="2:37" s="10" customFormat="1">
      <c r="B89" s="11"/>
      <c r="D89" s="10" t="s">
        <v>657</v>
      </c>
      <c r="E89" s="447">
        <f t="shared" ref="E89:N89" si="45">decWobbler9</f>
        <v>0</v>
      </c>
      <c r="F89" s="447">
        <f t="shared" si="45"/>
        <v>0</v>
      </c>
      <c r="G89" s="447">
        <f t="shared" si="45"/>
        <v>0</v>
      </c>
      <c r="H89" s="447">
        <f t="shared" si="45"/>
        <v>0</v>
      </c>
      <c r="I89" s="447">
        <f t="shared" si="45"/>
        <v>0</v>
      </c>
      <c r="J89" s="447">
        <f t="shared" si="45"/>
        <v>0</v>
      </c>
      <c r="K89" s="447">
        <f t="shared" si="45"/>
        <v>0</v>
      </c>
      <c r="L89" s="447">
        <f t="shared" si="45"/>
        <v>0</v>
      </c>
      <c r="M89" s="447">
        <f t="shared" si="45"/>
        <v>0</v>
      </c>
      <c r="N89" s="447">
        <f t="shared" si="45"/>
        <v>0</v>
      </c>
      <c r="O89" s="225" t="s">
        <v>1211</v>
      </c>
      <c r="P89" s="446"/>
      <c r="Q89" s="110"/>
      <c r="R89" s="110"/>
      <c r="S89" s="110"/>
      <c r="T89" s="110"/>
      <c r="U89" s="12"/>
      <c r="V89" s="12"/>
      <c r="W89" s="12"/>
      <c r="X89" s="12"/>
      <c r="Y89" s="12"/>
      <c r="AA89" s="12"/>
      <c r="AB89" s="12"/>
      <c r="AC89" s="12"/>
      <c r="AD89" s="12"/>
      <c r="AE89" s="12"/>
      <c r="AG89" s="12"/>
      <c r="AH89" s="12"/>
      <c r="AI89" s="12"/>
      <c r="AJ89" s="12"/>
      <c r="AK89" s="12"/>
    </row>
    <row r="90" spans="2:37" s="10" customFormat="1">
      <c r="B90" s="11"/>
      <c r="D90" s="10" t="s">
        <v>658</v>
      </c>
      <c r="E90" s="447">
        <f t="shared" ref="E90:N90" si="46">decWobbler10</f>
        <v>0</v>
      </c>
      <c r="F90" s="447">
        <f t="shared" si="46"/>
        <v>0</v>
      </c>
      <c r="G90" s="447">
        <f t="shared" si="46"/>
        <v>0</v>
      </c>
      <c r="H90" s="447">
        <f t="shared" si="46"/>
        <v>0</v>
      </c>
      <c r="I90" s="447">
        <f t="shared" si="46"/>
        <v>0</v>
      </c>
      <c r="J90" s="447">
        <f t="shared" si="46"/>
        <v>0</v>
      </c>
      <c r="K90" s="447">
        <f t="shared" si="46"/>
        <v>0</v>
      </c>
      <c r="L90" s="447">
        <f t="shared" si="46"/>
        <v>0</v>
      </c>
      <c r="M90" s="447">
        <f t="shared" si="46"/>
        <v>0</v>
      </c>
      <c r="N90" s="447">
        <f t="shared" si="46"/>
        <v>0</v>
      </c>
      <c r="O90" s="225" t="s">
        <v>1212</v>
      </c>
      <c r="P90" s="446"/>
      <c r="Q90" s="110"/>
      <c r="R90" s="110"/>
      <c r="S90" s="110"/>
      <c r="T90" s="110"/>
      <c r="U90" s="12"/>
      <c r="V90" s="12"/>
      <c r="W90" s="12"/>
      <c r="X90" s="12"/>
      <c r="Y90" s="12"/>
      <c r="AA90" s="12"/>
      <c r="AB90" s="12"/>
      <c r="AC90" s="12"/>
      <c r="AD90" s="12"/>
      <c r="AE90" s="12"/>
      <c r="AG90" s="12"/>
      <c r="AH90" s="12"/>
      <c r="AI90" s="12"/>
      <c r="AJ90" s="12"/>
      <c r="AK90" s="12"/>
    </row>
    <row r="91" spans="2:37" s="10" customFormat="1">
      <c r="B91" s="11"/>
      <c r="D91" s="10" t="s">
        <v>659</v>
      </c>
      <c r="E91" s="447">
        <f t="shared" ref="E91:N91" si="47">decWobbler11</f>
        <v>0</v>
      </c>
      <c r="F91" s="447">
        <f t="shared" si="47"/>
        <v>0</v>
      </c>
      <c r="G91" s="447">
        <f t="shared" si="47"/>
        <v>0</v>
      </c>
      <c r="H91" s="447">
        <f t="shared" si="47"/>
        <v>0</v>
      </c>
      <c r="I91" s="447">
        <f t="shared" si="47"/>
        <v>0</v>
      </c>
      <c r="J91" s="447">
        <f t="shared" si="47"/>
        <v>0</v>
      </c>
      <c r="K91" s="447">
        <f t="shared" si="47"/>
        <v>0</v>
      </c>
      <c r="L91" s="447">
        <f t="shared" si="47"/>
        <v>0</v>
      </c>
      <c r="M91" s="447">
        <f t="shared" si="47"/>
        <v>0</v>
      </c>
      <c r="N91" s="447">
        <f t="shared" si="47"/>
        <v>0</v>
      </c>
      <c r="O91" s="225" t="s">
        <v>1213</v>
      </c>
      <c r="P91" s="446"/>
      <c r="Q91" s="110"/>
      <c r="R91" s="110"/>
      <c r="S91" s="110"/>
      <c r="T91" s="110"/>
      <c r="U91" s="12"/>
      <c r="V91" s="12"/>
      <c r="W91" s="12"/>
      <c r="X91" s="12"/>
      <c r="Y91" s="12"/>
      <c r="AA91" s="12"/>
      <c r="AB91" s="12"/>
      <c r="AC91" s="12"/>
      <c r="AD91" s="12"/>
      <c r="AE91" s="12"/>
      <c r="AG91" s="12"/>
      <c r="AH91" s="12"/>
      <c r="AI91" s="12"/>
      <c r="AJ91" s="12"/>
      <c r="AK91" s="12"/>
    </row>
    <row r="92" spans="2:37" s="10" customFormat="1">
      <c r="B92" s="11"/>
      <c r="D92" s="10" t="s">
        <v>660</v>
      </c>
      <c r="E92" s="447">
        <f t="shared" ref="E92:N92" si="48">decWobbler12</f>
        <v>0</v>
      </c>
      <c r="F92" s="447">
        <f t="shared" si="48"/>
        <v>0</v>
      </c>
      <c r="G92" s="447">
        <f t="shared" si="48"/>
        <v>0</v>
      </c>
      <c r="H92" s="447">
        <f t="shared" si="48"/>
        <v>0</v>
      </c>
      <c r="I92" s="447">
        <f t="shared" si="48"/>
        <v>0</v>
      </c>
      <c r="J92" s="447">
        <f t="shared" si="48"/>
        <v>0</v>
      </c>
      <c r="K92" s="447">
        <f t="shared" si="48"/>
        <v>0</v>
      </c>
      <c r="L92" s="447">
        <f t="shared" si="48"/>
        <v>0</v>
      </c>
      <c r="M92" s="447">
        <f t="shared" si="48"/>
        <v>0</v>
      </c>
      <c r="N92" s="447">
        <f t="shared" si="48"/>
        <v>0</v>
      </c>
      <c r="O92" s="225" t="s">
        <v>1214</v>
      </c>
      <c r="P92" s="446"/>
      <c r="Q92" s="110"/>
      <c r="R92" s="110"/>
      <c r="S92" s="110"/>
      <c r="T92" s="110"/>
      <c r="U92" s="12"/>
      <c r="V92" s="12"/>
      <c r="W92" s="12"/>
      <c r="X92" s="12"/>
      <c r="Y92" s="12"/>
      <c r="AA92" s="12"/>
      <c r="AB92" s="12"/>
      <c r="AC92" s="12"/>
      <c r="AD92" s="12"/>
      <c r="AE92" s="12"/>
      <c r="AG92" s="12"/>
      <c r="AH92" s="12"/>
      <c r="AI92" s="12"/>
      <c r="AJ92" s="12"/>
      <c r="AK92" s="12"/>
    </row>
    <row r="93" spans="2:37" s="10" customFormat="1">
      <c r="B93" s="11"/>
      <c r="D93" s="10" t="s">
        <v>661</v>
      </c>
      <c r="E93" s="447">
        <f t="shared" ref="E93:N93" si="49">decWobbler13</f>
        <v>0</v>
      </c>
      <c r="F93" s="447">
        <f t="shared" si="49"/>
        <v>0</v>
      </c>
      <c r="G93" s="447">
        <f t="shared" si="49"/>
        <v>0</v>
      </c>
      <c r="H93" s="447">
        <f t="shared" si="49"/>
        <v>0</v>
      </c>
      <c r="I93" s="447">
        <f t="shared" si="49"/>
        <v>0</v>
      </c>
      <c r="J93" s="447">
        <f t="shared" si="49"/>
        <v>0</v>
      </c>
      <c r="K93" s="447">
        <f t="shared" si="49"/>
        <v>0</v>
      </c>
      <c r="L93" s="447">
        <f t="shared" si="49"/>
        <v>0</v>
      </c>
      <c r="M93" s="447">
        <f t="shared" si="49"/>
        <v>0</v>
      </c>
      <c r="N93" s="447">
        <f t="shared" si="49"/>
        <v>0</v>
      </c>
      <c r="O93" s="225" t="s">
        <v>1215</v>
      </c>
      <c r="P93" s="446"/>
      <c r="Q93" s="110"/>
      <c r="R93" s="110"/>
      <c r="S93" s="110"/>
      <c r="T93" s="110"/>
      <c r="U93" s="12"/>
      <c r="V93" s="12"/>
      <c r="W93" s="12"/>
      <c r="X93" s="12"/>
      <c r="Y93" s="12"/>
      <c r="AA93" s="12"/>
      <c r="AB93" s="12"/>
      <c r="AC93" s="12"/>
      <c r="AD93" s="12"/>
      <c r="AE93" s="12"/>
      <c r="AG93" s="12"/>
      <c r="AH93" s="12"/>
      <c r="AI93" s="12"/>
      <c r="AJ93" s="12"/>
      <c r="AK93" s="12"/>
    </row>
    <row r="94" spans="2:37" s="10" customFormat="1">
      <c r="B94" s="11"/>
      <c r="D94" s="10" t="s">
        <v>662</v>
      </c>
      <c r="E94" s="447">
        <f t="shared" ref="E94:N94" si="50">decWobbler14</f>
        <v>0</v>
      </c>
      <c r="F94" s="447">
        <f t="shared" si="50"/>
        <v>0</v>
      </c>
      <c r="G94" s="447">
        <f t="shared" si="50"/>
        <v>0</v>
      </c>
      <c r="H94" s="447">
        <f t="shared" si="50"/>
        <v>0</v>
      </c>
      <c r="I94" s="447">
        <f t="shared" si="50"/>
        <v>0</v>
      </c>
      <c r="J94" s="447">
        <f t="shared" si="50"/>
        <v>0</v>
      </c>
      <c r="K94" s="447">
        <f t="shared" si="50"/>
        <v>0</v>
      </c>
      <c r="L94" s="447">
        <f t="shared" si="50"/>
        <v>0</v>
      </c>
      <c r="M94" s="447">
        <f t="shared" si="50"/>
        <v>0</v>
      </c>
      <c r="N94" s="447">
        <f t="shared" si="50"/>
        <v>0</v>
      </c>
      <c r="O94" s="225" t="s">
        <v>1216</v>
      </c>
      <c r="P94" s="446"/>
      <c r="Q94" s="110"/>
      <c r="R94" s="110"/>
      <c r="S94" s="110"/>
      <c r="T94" s="110"/>
      <c r="U94" s="12"/>
      <c r="V94" s="12"/>
      <c r="W94" s="12"/>
      <c r="X94" s="12"/>
      <c r="Y94" s="12"/>
      <c r="AA94" s="12"/>
      <c r="AB94" s="12"/>
      <c r="AC94" s="12"/>
      <c r="AD94" s="12"/>
      <c r="AE94" s="12"/>
      <c r="AG94" s="12"/>
      <c r="AH94" s="12"/>
      <c r="AI94" s="12"/>
      <c r="AJ94" s="12"/>
      <c r="AK94" s="12"/>
    </row>
    <row r="95" spans="2:37" s="10" customFormat="1">
      <c r="B95" s="11"/>
      <c r="D95" s="10" t="s">
        <v>663</v>
      </c>
      <c r="E95" s="447">
        <f t="shared" ref="E95:N95" si="51">decWobbler15</f>
        <v>0</v>
      </c>
      <c r="F95" s="447">
        <f t="shared" si="51"/>
        <v>0</v>
      </c>
      <c r="G95" s="447">
        <f t="shared" si="51"/>
        <v>0</v>
      </c>
      <c r="H95" s="447">
        <f t="shared" si="51"/>
        <v>0</v>
      </c>
      <c r="I95" s="447">
        <f t="shared" si="51"/>
        <v>0</v>
      </c>
      <c r="J95" s="447">
        <f t="shared" si="51"/>
        <v>0</v>
      </c>
      <c r="K95" s="447">
        <f t="shared" si="51"/>
        <v>0</v>
      </c>
      <c r="L95" s="447">
        <f t="shared" si="51"/>
        <v>0</v>
      </c>
      <c r="M95" s="447">
        <f t="shared" si="51"/>
        <v>0</v>
      </c>
      <c r="N95" s="447">
        <f t="shared" si="51"/>
        <v>0</v>
      </c>
      <c r="O95" s="225" t="s">
        <v>1217</v>
      </c>
      <c r="P95" s="446"/>
      <c r="Q95" s="110"/>
      <c r="R95" s="110"/>
      <c r="S95" s="110"/>
      <c r="T95" s="110"/>
      <c r="U95" s="12"/>
      <c r="V95" s="12"/>
      <c r="W95" s="12"/>
      <c r="X95" s="12"/>
      <c r="Y95" s="12"/>
      <c r="AA95" s="12"/>
      <c r="AB95" s="12"/>
      <c r="AC95" s="12"/>
      <c r="AD95" s="12"/>
      <c r="AE95" s="12"/>
      <c r="AG95" s="12"/>
      <c r="AH95" s="12"/>
      <c r="AI95" s="12"/>
      <c r="AJ95" s="12"/>
      <c r="AK95" s="12"/>
    </row>
    <row r="96" spans="2:37" s="69" customFormat="1">
      <c r="B96" s="69" t="s">
        <v>690</v>
      </c>
      <c r="E96" s="417"/>
      <c r="F96" s="417"/>
      <c r="G96" s="417"/>
      <c r="H96" s="417"/>
      <c r="I96" s="417"/>
      <c r="J96" s="417"/>
      <c r="K96" s="417"/>
      <c r="L96" s="417"/>
      <c r="M96" s="417"/>
      <c r="N96" s="417"/>
    </row>
    <row r="97" spans="3:15" s="69" customFormat="1">
      <c r="C97" s="217" t="s">
        <v>140</v>
      </c>
      <c r="E97" s="417"/>
      <c r="F97" s="417"/>
      <c r="G97" s="417"/>
      <c r="H97" s="417"/>
      <c r="I97" s="417"/>
      <c r="J97" s="417"/>
      <c r="K97" s="417"/>
      <c r="L97" s="417"/>
      <c r="M97" s="417"/>
      <c r="N97" s="417"/>
    </row>
    <row r="98" spans="3:15" s="410" customFormat="1">
      <c r="D98" s="410" t="s">
        <v>905</v>
      </c>
      <c r="E98" s="418">
        <f t="shared" ref="E98:N98" si="52">calcQ1Rev</f>
        <v>30955843.466136772</v>
      </c>
      <c r="F98" s="418">
        <f t="shared" si="52"/>
        <v>30955843.466136772</v>
      </c>
      <c r="G98" s="418">
        <f t="shared" si="52"/>
        <v>30955843.466136772</v>
      </c>
      <c r="H98" s="418">
        <f t="shared" si="52"/>
        <v>30955843.466136772</v>
      </c>
      <c r="I98" s="418">
        <f t="shared" si="52"/>
        <v>30955843.466136772</v>
      </c>
      <c r="J98" s="418">
        <f t="shared" si="52"/>
        <v>30955843.466136772</v>
      </c>
      <c r="K98" s="418">
        <f t="shared" si="52"/>
        <v>30955843.466136772</v>
      </c>
      <c r="L98" s="418">
        <f t="shared" si="52"/>
        <v>30955843.466136772</v>
      </c>
      <c r="M98" s="418">
        <f t="shared" si="52"/>
        <v>30955843.466136772</v>
      </c>
      <c r="N98" s="418">
        <f t="shared" si="52"/>
        <v>30955843.466136772</v>
      </c>
      <c r="O98" s="410" t="s">
        <v>3140</v>
      </c>
    </row>
    <row r="99" spans="3:15" s="410" customFormat="1">
      <c r="D99" s="410" t="s">
        <v>906</v>
      </c>
      <c r="E99" s="418">
        <f t="shared" ref="E99:N99" si="53">calcQ2Rev</f>
        <v>33831624.25685782</v>
      </c>
      <c r="F99" s="418">
        <f t="shared" si="53"/>
        <v>33831624.25685782</v>
      </c>
      <c r="G99" s="418">
        <f t="shared" si="53"/>
        <v>33831624.25685782</v>
      </c>
      <c r="H99" s="418">
        <f t="shared" si="53"/>
        <v>33831624.25685782</v>
      </c>
      <c r="I99" s="418">
        <f t="shared" si="53"/>
        <v>33831624.25685782</v>
      </c>
      <c r="J99" s="418">
        <f t="shared" si="53"/>
        <v>33831624.25685782</v>
      </c>
      <c r="K99" s="418">
        <f t="shared" si="53"/>
        <v>33831624.25685782</v>
      </c>
      <c r="L99" s="418">
        <f t="shared" si="53"/>
        <v>33831624.25685782</v>
      </c>
      <c r="M99" s="418">
        <f t="shared" si="53"/>
        <v>33831624.25685782</v>
      </c>
      <c r="N99" s="418">
        <f t="shared" si="53"/>
        <v>33831624.25685782</v>
      </c>
      <c r="O99" s="410" t="s">
        <v>3141</v>
      </c>
    </row>
    <row r="100" spans="3:15" s="410" customFormat="1">
      <c r="D100" s="410" t="s">
        <v>908</v>
      </c>
      <c r="E100" s="418">
        <f t="shared" ref="E100:N100" si="54">calcQ3Rev</f>
        <v>38275308.995502166</v>
      </c>
      <c r="F100" s="418">
        <f t="shared" si="54"/>
        <v>38275308.995502166</v>
      </c>
      <c r="G100" s="418">
        <f t="shared" si="54"/>
        <v>38275308.995502166</v>
      </c>
      <c r="H100" s="418">
        <f t="shared" si="54"/>
        <v>38275308.995502166</v>
      </c>
      <c r="I100" s="418">
        <f t="shared" si="54"/>
        <v>38275308.995502166</v>
      </c>
      <c r="J100" s="418">
        <f t="shared" si="54"/>
        <v>38275308.995502166</v>
      </c>
      <c r="K100" s="418">
        <f t="shared" si="54"/>
        <v>38275308.995502166</v>
      </c>
      <c r="L100" s="418">
        <f t="shared" si="54"/>
        <v>38275308.995502166</v>
      </c>
      <c r="M100" s="418">
        <f t="shared" si="54"/>
        <v>38275308.995502166</v>
      </c>
      <c r="N100" s="418">
        <f t="shared" si="54"/>
        <v>38275308.995502166</v>
      </c>
      <c r="O100" s="410" t="s">
        <v>3142</v>
      </c>
    </row>
    <row r="101" spans="3:15" s="410" customFormat="1">
      <c r="D101" s="410" t="s">
        <v>910</v>
      </c>
      <c r="E101" s="418">
        <f t="shared" ref="E101:N101" si="55">calcQ4Rev</f>
        <v>44809163.697226644</v>
      </c>
      <c r="F101" s="418">
        <f t="shared" si="55"/>
        <v>44809163.697226644</v>
      </c>
      <c r="G101" s="418">
        <f t="shared" si="55"/>
        <v>44809163.697226644</v>
      </c>
      <c r="H101" s="418">
        <f t="shared" si="55"/>
        <v>44809163.697226644</v>
      </c>
      <c r="I101" s="418">
        <f t="shared" si="55"/>
        <v>44809163.697226644</v>
      </c>
      <c r="J101" s="418">
        <f t="shared" si="55"/>
        <v>44809163.697226644</v>
      </c>
      <c r="K101" s="418">
        <f t="shared" si="55"/>
        <v>44809163.697226644</v>
      </c>
      <c r="L101" s="418">
        <f t="shared" si="55"/>
        <v>44809163.697226644</v>
      </c>
      <c r="M101" s="418">
        <f t="shared" si="55"/>
        <v>44809163.697226644</v>
      </c>
      <c r="N101" s="418">
        <f t="shared" si="55"/>
        <v>44809163.697226644</v>
      </c>
      <c r="O101" s="410" t="s">
        <v>3143</v>
      </c>
    </row>
    <row r="102" spans="3:15">
      <c r="D102" s="217" t="s">
        <v>492</v>
      </c>
      <c r="E102" s="419">
        <f t="shared" ref="E102:N102" si="56">finQ1Rev+finQ2Rev+finQ3Rev+finQ4Rev</f>
        <v>147871940.41572341</v>
      </c>
      <c r="F102" s="419">
        <f t="shared" si="56"/>
        <v>147871940.41572341</v>
      </c>
      <c r="G102" s="419">
        <f t="shared" si="56"/>
        <v>147871940.41572341</v>
      </c>
      <c r="H102" s="419">
        <f t="shared" si="56"/>
        <v>147871940.41572341</v>
      </c>
      <c r="I102" s="419">
        <f t="shared" si="56"/>
        <v>147871940.41572341</v>
      </c>
      <c r="J102" s="419">
        <f t="shared" si="56"/>
        <v>147871940.41572341</v>
      </c>
      <c r="K102" s="419">
        <f t="shared" si="56"/>
        <v>147871940.41572341</v>
      </c>
      <c r="L102" s="419">
        <f t="shared" si="56"/>
        <v>147871940.41572341</v>
      </c>
      <c r="M102" s="419">
        <f t="shared" si="56"/>
        <v>147871940.41572341</v>
      </c>
      <c r="N102" s="419">
        <f t="shared" si="56"/>
        <v>147871940.41572341</v>
      </c>
      <c r="O102" s="410" t="s">
        <v>3144</v>
      </c>
    </row>
    <row r="103" spans="3:15">
      <c r="D103" s="217"/>
      <c r="E103" s="419"/>
      <c r="F103" s="419"/>
      <c r="G103" s="419"/>
      <c r="H103" s="419"/>
      <c r="I103" s="419"/>
      <c r="J103" s="419"/>
      <c r="K103" s="419"/>
      <c r="L103" s="419"/>
      <c r="M103" s="419"/>
      <c r="N103" s="419"/>
      <c r="O103" s="410"/>
    </row>
    <row r="104" spans="3:15">
      <c r="C104" s="65" t="s">
        <v>434</v>
      </c>
      <c r="E104" s="419"/>
      <c r="F104" s="419"/>
      <c r="G104" s="419"/>
      <c r="H104" s="419"/>
      <c r="I104" s="419"/>
      <c r="J104" s="419"/>
      <c r="K104" s="419"/>
      <c r="L104" s="419"/>
      <c r="M104" s="419"/>
      <c r="N104" s="419"/>
    </row>
    <row r="105" spans="3:15">
      <c r="D105" s="410" t="s">
        <v>922</v>
      </c>
      <c r="E105" s="419">
        <f t="shared" ref="E105:N105" si="57">finQ1Rev*calcQ1COSPerc</f>
        <v>6191168.6932273544</v>
      </c>
      <c r="F105" s="419">
        <f t="shared" si="57"/>
        <v>6191168.6932273544</v>
      </c>
      <c r="G105" s="419">
        <f t="shared" si="57"/>
        <v>6191168.6932273544</v>
      </c>
      <c r="H105" s="419">
        <f t="shared" si="57"/>
        <v>6191168.6932273544</v>
      </c>
      <c r="I105" s="419">
        <f t="shared" si="57"/>
        <v>6191168.6932273544</v>
      </c>
      <c r="J105" s="419">
        <f t="shared" si="57"/>
        <v>6191168.6932273544</v>
      </c>
      <c r="K105" s="419">
        <f t="shared" si="57"/>
        <v>6191168.6932273544</v>
      </c>
      <c r="L105" s="419">
        <f t="shared" si="57"/>
        <v>6191168.6932273544</v>
      </c>
      <c r="M105" s="419">
        <f t="shared" si="57"/>
        <v>6191168.6932273544</v>
      </c>
      <c r="N105" s="419">
        <f t="shared" si="57"/>
        <v>6191168.6932273544</v>
      </c>
      <c r="O105" s="410" t="s">
        <v>3145</v>
      </c>
    </row>
    <row r="106" spans="3:15">
      <c r="D106" s="410" t="s">
        <v>928</v>
      </c>
      <c r="E106" s="419">
        <f t="shared" ref="E106:N106" si="58">finQ2Rev*calcQ2COSPerc</f>
        <v>6766324.851371564</v>
      </c>
      <c r="F106" s="419">
        <f t="shared" si="58"/>
        <v>6766324.851371564</v>
      </c>
      <c r="G106" s="419">
        <f t="shared" si="58"/>
        <v>6766324.851371564</v>
      </c>
      <c r="H106" s="419">
        <f t="shared" si="58"/>
        <v>6766324.851371564</v>
      </c>
      <c r="I106" s="419">
        <f t="shared" si="58"/>
        <v>6766324.851371564</v>
      </c>
      <c r="J106" s="419">
        <f t="shared" si="58"/>
        <v>6766324.851371564</v>
      </c>
      <c r="K106" s="419">
        <f t="shared" si="58"/>
        <v>6766324.851371564</v>
      </c>
      <c r="L106" s="419">
        <f t="shared" si="58"/>
        <v>6766324.851371564</v>
      </c>
      <c r="M106" s="419">
        <f t="shared" si="58"/>
        <v>6766324.851371564</v>
      </c>
      <c r="N106" s="419">
        <f t="shared" si="58"/>
        <v>6766324.851371564</v>
      </c>
      <c r="O106" s="410" t="s">
        <v>3146</v>
      </c>
    </row>
    <row r="107" spans="3:15">
      <c r="D107" s="410" t="s">
        <v>926</v>
      </c>
      <c r="E107" s="419">
        <f t="shared" ref="E107:N107" si="59">finQ3Rev*calcQ3COSPerc</f>
        <v>7655061.7991004335</v>
      </c>
      <c r="F107" s="419">
        <f t="shared" si="59"/>
        <v>7655061.7991004335</v>
      </c>
      <c r="G107" s="419">
        <f t="shared" si="59"/>
        <v>7655061.7991004335</v>
      </c>
      <c r="H107" s="419">
        <f t="shared" si="59"/>
        <v>7655061.7991004335</v>
      </c>
      <c r="I107" s="419">
        <f t="shared" si="59"/>
        <v>7655061.7991004335</v>
      </c>
      <c r="J107" s="419">
        <f t="shared" si="59"/>
        <v>7655061.7991004335</v>
      </c>
      <c r="K107" s="419">
        <f t="shared" si="59"/>
        <v>7655061.7991004335</v>
      </c>
      <c r="L107" s="419">
        <f t="shared" si="59"/>
        <v>7655061.7991004335</v>
      </c>
      <c r="M107" s="419">
        <f t="shared" si="59"/>
        <v>7655061.7991004335</v>
      </c>
      <c r="N107" s="419">
        <f t="shared" si="59"/>
        <v>7655061.7991004335</v>
      </c>
      <c r="O107" s="410" t="s">
        <v>3147</v>
      </c>
    </row>
    <row r="108" spans="3:15">
      <c r="D108" s="410" t="s">
        <v>924</v>
      </c>
      <c r="E108" s="419">
        <f t="shared" ref="E108:N108" si="60">finQ4Rev*calcQ4COSPerc</f>
        <v>8961832.7394453287</v>
      </c>
      <c r="F108" s="419">
        <f t="shared" si="60"/>
        <v>8961832.7394453287</v>
      </c>
      <c r="G108" s="419">
        <f t="shared" si="60"/>
        <v>8961832.7394453287</v>
      </c>
      <c r="H108" s="419">
        <f t="shared" si="60"/>
        <v>8961832.7394453287</v>
      </c>
      <c r="I108" s="419">
        <f t="shared" si="60"/>
        <v>8961832.7394453287</v>
      </c>
      <c r="J108" s="419">
        <f t="shared" si="60"/>
        <v>8961832.7394453287</v>
      </c>
      <c r="K108" s="419">
        <f t="shared" si="60"/>
        <v>8961832.7394453287</v>
      </c>
      <c r="L108" s="419">
        <f t="shared" si="60"/>
        <v>8961832.7394453287</v>
      </c>
      <c r="M108" s="419">
        <f t="shared" si="60"/>
        <v>8961832.7394453287</v>
      </c>
      <c r="N108" s="419">
        <f t="shared" si="60"/>
        <v>8961832.7394453287</v>
      </c>
      <c r="O108" s="410" t="s">
        <v>3148</v>
      </c>
    </row>
    <row r="109" spans="3:15" s="65" customFormat="1">
      <c r="D109" s="217" t="s">
        <v>930</v>
      </c>
      <c r="E109" s="420">
        <f t="shared" ref="E109:N109" si="61">finQ1COS+finQ2COS+finQ3COS+finQ4COS</f>
        <v>29574388.08314468</v>
      </c>
      <c r="F109" s="420">
        <f t="shared" si="61"/>
        <v>29574388.08314468</v>
      </c>
      <c r="G109" s="420">
        <f t="shared" si="61"/>
        <v>29574388.08314468</v>
      </c>
      <c r="H109" s="420">
        <f t="shared" si="61"/>
        <v>29574388.08314468</v>
      </c>
      <c r="I109" s="420">
        <f t="shared" si="61"/>
        <v>29574388.08314468</v>
      </c>
      <c r="J109" s="420">
        <f t="shared" si="61"/>
        <v>29574388.08314468</v>
      </c>
      <c r="K109" s="420">
        <f t="shared" si="61"/>
        <v>29574388.08314468</v>
      </c>
      <c r="L109" s="420">
        <f t="shared" si="61"/>
        <v>29574388.08314468</v>
      </c>
      <c r="M109" s="420">
        <f t="shared" si="61"/>
        <v>29574388.08314468</v>
      </c>
      <c r="N109" s="420">
        <f t="shared" si="61"/>
        <v>29574388.08314468</v>
      </c>
      <c r="O109" s="217" t="s">
        <v>3149</v>
      </c>
    </row>
    <row r="110" spans="3:15">
      <c r="E110" s="419"/>
      <c r="F110" s="419"/>
      <c r="G110" s="419"/>
      <c r="H110" s="419"/>
      <c r="I110" s="419"/>
      <c r="J110" s="419"/>
      <c r="K110" s="419"/>
      <c r="L110" s="419"/>
      <c r="M110" s="419"/>
      <c r="N110" s="419"/>
    </row>
    <row r="111" spans="3:15">
      <c r="C111" t="s">
        <v>237</v>
      </c>
      <c r="E111" s="420">
        <f t="shared" ref="E111:N111" si="62">FinAnnualRev-finAnnualCOS</f>
        <v>118297552.33257873</v>
      </c>
      <c r="F111" s="420">
        <f t="shared" si="62"/>
        <v>118297552.33257873</v>
      </c>
      <c r="G111" s="420">
        <f t="shared" si="62"/>
        <v>118297552.33257873</v>
      </c>
      <c r="H111" s="420">
        <f t="shared" si="62"/>
        <v>118297552.33257873</v>
      </c>
      <c r="I111" s="420">
        <f t="shared" si="62"/>
        <v>118297552.33257873</v>
      </c>
      <c r="J111" s="420">
        <f t="shared" si="62"/>
        <v>118297552.33257873</v>
      </c>
      <c r="K111" s="420">
        <f t="shared" si="62"/>
        <v>118297552.33257873</v>
      </c>
      <c r="L111" s="420">
        <f t="shared" si="62"/>
        <v>118297552.33257873</v>
      </c>
      <c r="M111" s="420">
        <f t="shared" si="62"/>
        <v>118297552.33257873</v>
      </c>
      <c r="N111" s="420">
        <f t="shared" si="62"/>
        <v>118297552.33257873</v>
      </c>
      <c r="O111" s="410" t="s">
        <v>3150</v>
      </c>
    </row>
    <row r="112" spans="3:15" s="295" customFormat="1">
      <c r="D112" s="421" t="s">
        <v>967</v>
      </c>
      <c r="E112" s="422">
        <f t="shared" ref="E112:N112" si="63">finAnnualGrossProfit/FinAnnualRev</f>
        <v>0.8</v>
      </c>
      <c r="F112" s="422">
        <f t="shared" si="63"/>
        <v>0.8</v>
      </c>
      <c r="G112" s="422">
        <f t="shared" si="63"/>
        <v>0.8</v>
      </c>
      <c r="H112" s="422">
        <f t="shared" si="63"/>
        <v>0.8</v>
      </c>
      <c r="I112" s="422">
        <f t="shared" si="63"/>
        <v>0.8</v>
      </c>
      <c r="J112" s="422">
        <f t="shared" si="63"/>
        <v>0.8</v>
      </c>
      <c r="K112" s="422">
        <f t="shared" si="63"/>
        <v>0.8</v>
      </c>
      <c r="L112" s="422">
        <f t="shared" si="63"/>
        <v>0.8</v>
      </c>
      <c r="M112" s="422">
        <f t="shared" si="63"/>
        <v>0.8</v>
      </c>
      <c r="N112" s="422">
        <f t="shared" si="63"/>
        <v>0.8</v>
      </c>
      <c r="O112" s="423" t="s">
        <v>3151</v>
      </c>
    </row>
    <row r="113" spans="1:15" s="295" customFormat="1">
      <c r="D113" s="421"/>
      <c r="E113" s="422"/>
      <c r="F113" s="422"/>
      <c r="G113" s="422"/>
      <c r="H113" s="422"/>
      <c r="I113" s="422"/>
      <c r="J113" s="422"/>
      <c r="K113" s="422"/>
      <c r="L113" s="422"/>
      <c r="M113" s="422"/>
      <c r="N113" s="422"/>
      <c r="O113" s="423"/>
    </row>
    <row r="114" spans="1:15">
      <c r="A114" s="65" t="s">
        <v>422</v>
      </c>
      <c r="E114" s="419"/>
      <c r="F114" s="419"/>
      <c r="G114" s="419"/>
      <c r="H114" s="419"/>
      <c r="I114" s="419"/>
      <c r="J114" s="419"/>
      <c r="K114" s="419"/>
      <c r="L114" s="419"/>
      <c r="M114" s="419"/>
      <c r="N114" s="419"/>
    </row>
    <row r="115" spans="1:15">
      <c r="C115" t="s">
        <v>936</v>
      </c>
      <c r="E115" s="419"/>
      <c r="F115" s="419"/>
      <c r="G115" s="419"/>
      <c r="H115" s="419"/>
      <c r="I115" s="419"/>
      <c r="J115" s="419"/>
      <c r="K115" s="419"/>
      <c r="L115" s="419"/>
      <c r="M115" s="419"/>
      <c r="N115" s="419"/>
    </row>
    <row r="116" spans="1:15">
      <c r="D116" t="s">
        <v>937</v>
      </c>
      <c r="E116" s="419">
        <f t="shared" ref="E116:N116" si="64">calcQ1MSExp</f>
        <v>13775350.342430864</v>
      </c>
      <c r="F116" s="419">
        <f t="shared" si="64"/>
        <v>13775350.342430864</v>
      </c>
      <c r="G116" s="419">
        <f t="shared" si="64"/>
        <v>13775350.342430864</v>
      </c>
      <c r="H116" s="419">
        <f t="shared" si="64"/>
        <v>13775350.342430864</v>
      </c>
      <c r="I116" s="419">
        <f t="shared" si="64"/>
        <v>13775350.342430864</v>
      </c>
      <c r="J116" s="419">
        <f t="shared" si="64"/>
        <v>13775350.342430864</v>
      </c>
      <c r="K116" s="419">
        <f t="shared" si="64"/>
        <v>13775350.342430864</v>
      </c>
      <c r="L116" s="419">
        <f t="shared" si="64"/>
        <v>13775350.342430864</v>
      </c>
      <c r="M116" s="419">
        <f t="shared" si="64"/>
        <v>13775350.342430864</v>
      </c>
      <c r="N116" s="419">
        <f t="shared" si="64"/>
        <v>13775350.342430864</v>
      </c>
      <c r="O116" t="s">
        <v>3152</v>
      </c>
    </row>
    <row r="117" spans="1:15">
      <c r="D117" t="s">
        <v>939</v>
      </c>
      <c r="E117" s="419">
        <f t="shared" ref="E117:N117" si="65">calcQ2MSExp</f>
        <v>15055072.79430173</v>
      </c>
      <c r="F117" s="419">
        <f t="shared" si="65"/>
        <v>15055072.79430173</v>
      </c>
      <c r="G117" s="419">
        <f t="shared" si="65"/>
        <v>15055072.79430173</v>
      </c>
      <c r="H117" s="419">
        <f t="shared" si="65"/>
        <v>15055072.79430173</v>
      </c>
      <c r="I117" s="419">
        <f t="shared" si="65"/>
        <v>15055072.79430173</v>
      </c>
      <c r="J117" s="419">
        <f t="shared" si="65"/>
        <v>15055072.79430173</v>
      </c>
      <c r="K117" s="419">
        <f t="shared" si="65"/>
        <v>15055072.79430173</v>
      </c>
      <c r="L117" s="419">
        <f t="shared" si="65"/>
        <v>15055072.79430173</v>
      </c>
      <c r="M117" s="419">
        <f t="shared" si="65"/>
        <v>15055072.79430173</v>
      </c>
      <c r="N117" s="419">
        <f t="shared" si="65"/>
        <v>15055072.79430173</v>
      </c>
      <c r="O117" t="s">
        <v>3153</v>
      </c>
    </row>
    <row r="118" spans="1:15">
      <c r="D118" t="s">
        <v>941</v>
      </c>
      <c r="E118" s="419">
        <f t="shared" ref="E118:N118" si="66">calcQ3MSExp</f>
        <v>17032512.502998464</v>
      </c>
      <c r="F118" s="419">
        <f t="shared" si="66"/>
        <v>17032512.502998464</v>
      </c>
      <c r="G118" s="419">
        <f t="shared" si="66"/>
        <v>17032512.502998464</v>
      </c>
      <c r="H118" s="419">
        <f t="shared" si="66"/>
        <v>17032512.502998464</v>
      </c>
      <c r="I118" s="419">
        <f t="shared" si="66"/>
        <v>17032512.502998464</v>
      </c>
      <c r="J118" s="419">
        <f t="shared" si="66"/>
        <v>17032512.502998464</v>
      </c>
      <c r="K118" s="419">
        <f t="shared" si="66"/>
        <v>17032512.502998464</v>
      </c>
      <c r="L118" s="419">
        <f t="shared" si="66"/>
        <v>17032512.502998464</v>
      </c>
      <c r="M118" s="419">
        <f t="shared" si="66"/>
        <v>17032512.502998464</v>
      </c>
      <c r="N118" s="419">
        <f t="shared" si="66"/>
        <v>17032512.502998464</v>
      </c>
      <c r="O118" t="s">
        <v>3154</v>
      </c>
    </row>
    <row r="119" spans="1:15">
      <c r="D119" t="s">
        <v>943</v>
      </c>
      <c r="E119" s="419">
        <f t="shared" ref="E119:N119" si="67">calcQ4MSExp</f>
        <v>19940077.845265858</v>
      </c>
      <c r="F119" s="419">
        <f t="shared" si="67"/>
        <v>19940077.845265858</v>
      </c>
      <c r="G119" s="419">
        <f t="shared" si="67"/>
        <v>19940077.845265858</v>
      </c>
      <c r="H119" s="419">
        <f t="shared" si="67"/>
        <v>19940077.845265858</v>
      </c>
      <c r="I119" s="419">
        <f t="shared" si="67"/>
        <v>19940077.845265858</v>
      </c>
      <c r="J119" s="419">
        <f t="shared" si="67"/>
        <v>19940077.845265858</v>
      </c>
      <c r="K119" s="419">
        <f t="shared" si="67"/>
        <v>19940077.845265858</v>
      </c>
      <c r="L119" s="419">
        <f t="shared" si="67"/>
        <v>19940077.845265858</v>
      </c>
      <c r="M119" s="419">
        <f t="shared" si="67"/>
        <v>19940077.845265858</v>
      </c>
      <c r="N119" s="419">
        <f t="shared" si="67"/>
        <v>19940077.845265858</v>
      </c>
      <c r="O119" t="s">
        <v>3155</v>
      </c>
    </row>
    <row r="120" spans="1:15" s="65" customFormat="1">
      <c r="D120" s="65" t="s">
        <v>949</v>
      </c>
      <c r="E120" s="420">
        <f t="shared" ref="E120:N120" si="68">finQ1MSExp+finQ2MSExp+finQ3MSExp+finQ4MSExp</f>
        <v>65803013.484996915</v>
      </c>
      <c r="F120" s="420">
        <f t="shared" si="68"/>
        <v>65803013.484996915</v>
      </c>
      <c r="G120" s="420">
        <f t="shared" si="68"/>
        <v>65803013.484996915</v>
      </c>
      <c r="H120" s="420">
        <f t="shared" si="68"/>
        <v>65803013.484996915</v>
      </c>
      <c r="I120" s="420">
        <f t="shared" si="68"/>
        <v>65803013.484996915</v>
      </c>
      <c r="J120" s="420">
        <f t="shared" si="68"/>
        <v>65803013.484996915</v>
      </c>
      <c r="K120" s="420">
        <f t="shared" si="68"/>
        <v>65803013.484996915</v>
      </c>
      <c r="L120" s="420">
        <f t="shared" si="68"/>
        <v>65803013.484996915</v>
      </c>
      <c r="M120" s="420">
        <f t="shared" si="68"/>
        <v>65803013.484996915</v>
      </c>
      <c r="N120" s="420">
        <f t="shared" si="68"/>
        <v>65803013.484996915</v>
      </c>
      <c r="O120" s="65" t="s">
        <v>3156</v>
      </c>
    </row>
    <row r="121" spans="1:15">
      <c r="C121" t="s">
        <v>424</v>
      </c>
      <c r="E121" s="419"/>
      <c r="F121" s="419"/>
      <c r="G121" s="419"/>
      <c r="H121" s="419"/>
      <c r="I121" s="419"/>
      <c r="J121" s="419"/>
      <c r="K121" s="419"/>
      <c r="L121" s="419"/>
      <c r="M121" s="419"/>
      <c r="N121" s="419"/>
    </row>
    <row r="122" spans="1:15">
      <c r="D122" t="s">
        <v>1105</v>
      </c>
      <c r="E122" s="419">
        <f t="shared" ref="E122:N122" si="69">calcQ1RDExp</f>
        <v>10308295.874223545</v>
      </c>
      <c r="F122" s="419">
        <f t="shared" si="69"/>
        <v>10308295.874223545</v>
      </c>
      <c r="G122" s="419">
        <f t="shared" si="69"/>
        <v>10308295.874223545</v>
      </c>
      <c r="H122" s="419">
        <f t="shared" si="69"/>
        <v>10308295.874223545</v>
      </c>
      <c r="I122" s="419">
        <f t="shared" si="69"/>
        <v>10308295.874223545</v>
      </c>
      <c r="J122" s="419">
        <f t="shared" si="69"/>
        <v>10308295.874223545</v>
      </c>
      <c r="K122" s="419">
        <f t="shared" si="69"/>
        <v>10308295.874223545</v>
      </c>
      <c r="L122" s="419">
        <f t="shared" si="69"/>
        <v>10308295.874223545</v>
      </c>
      <c r="M122" s="419">
        <f t="shared" si="69"/>
        <v>10308295.874223545</v>
      </c>
      <c r="N122" s="419">
        <f t="shared" si="69"/>
        <v>10308295.874223545</v>
      </c>
      <c r="O122" t="s">
        <v>3157</v>
      </c>
    </row>
    <row r="123" spans="1:15">
      <c r="D123" t="s">
        <v>1106</v>
      </c>
      <c r="E123" s="419">
        <f t="shared" ref="E123:N123" si="70">calcQ2RDExp</f>
        <v>11265930.877533654</v>
      </c>
      <c r="F123" s="419">
        <f t="shared" si="70"/>
        <v>11265930.877533654</v>
      </c>
      <c r="G123" s="419">
        <f t="shared" si="70"/>
        <v>11265930.877533654</v>
      </c>
      <c r="H123" s="419">
        <f t="shared" si="70"/>
        <v>11265930.877533654</v>
      </c>
      <c r="I123" s="419">
        <f t="shared" si="70"/>
        <v>11265930.877533654</v>
      </c>
      <c r="J123" s="419">
        <f t="shared" si="70"/>
        <v>11265930.877533654</v>
      </c>
      <c r="K123" s="419">
        <f t="shared" si="70"/>
        <v>11265930.877533654</v>
      </c>
      <c r="L123" s="419">
        <f t="shared" si="70"/>
        <v>11265930.877533654</v>
      </c>
      <c r="M123" s="419">
        <f t="shared" si="70"/>
        <v>11265930.877533654</v>
      </c>
      <c r="N123" s="419">
        <f t="shared" si="70"/>
        <v>11265930.877533654</v>
      </c>
      <c r="O123" t="s">
        <v>3158</v>
      </c>
    </row>
    <row r="124" spans="1:15">
      <c r="D124" t="s">
        <v>1107</v>
      </c>
      <c r="E124" s="419">
        <f t="shared" ref="E124:N124" si="71">calcQ3RDExp</f>
        <v>12745677.895502223</v>
      </c>
      <c r="F124" s="419">
        <f t="shared" si="71"/>
        <v>12745677.895502223</v>
      </c>
      <c r="G124" s="419">
        <f t="shared" si="71"/>
        <v>12745677.895502223</v>
      </c>
      <c r="H124" s="419">
        <f t="shared" si="71"/>
        <v>12745677.895502223</v>
      </c>
      <c r="I124" s="419">
        <f t="shared" si="71"/>
        <v>12745677.895502223</v>
      </c>
      <c r="J124" s="419">
        <f t="shared" si="71"/>
        <v>12745677.895502223</v>
      </c>
      <c r="K124" s="419">
        <f t="shared" si="71"/>
        <v>12745677.895502223</v>
      </c>
      <c r="L124" s="419">
        <f t="shared" si="71"/>
        <v>12745677.895502223</v>
      </c>
      <c r="M124" s="419">
        <f t="shared" si="71"/>
        <v>12745677.895502223</v>
      </c>
      <c r="N124" s="419">
        <f t="shared" si="71"/>
        <v>12745677.895502223</v>
      </c>
      <c r="O124" t="s">
        <v>3159</v>
      </c>
    </row>
    <row r="125" spans="1:15">
      <c r="D125" t="s">
        <v>1108</v>
      </c>
      <c r="E125" s="419">
        <f t="shared" ref="E125:N125" si="72">calcQ4RDExp</f>
        <v>14921451.511176473</v>
      </c>
      <c r="F125" s="419">
        <f t="shared" si="72"/>
        <v>14921451.511176473</v>
      </c>
      <c r="G125" s="419">
        <f t="shared" si="72"/>
        <v>14921451.511176473</v>
      </c>
      <c r="H125" s="419">
        <f t="shared" si="72"/>
        <v>14921451.511176473</v>
      </c>
      <c r="I125" s="419">
        <f t="shared" si="72"/>
        <v>14921451.511176473</v>
      </c>
      <c r="J125" s="419">
        <f t="shared" si="72"/>
        <v>14921451.511176473</v>
      </c>
      <c r="K125" s="419">
        <f t="shared" si="72"/>
        <v>14921451.511176473</v>
      </c>
      <c r="L125" s="419">
        <f t="shared" si="72"/>
        <v>14921451.511176473</v>
      </c>
      <c r="M125" s="419">
        <f t="shared" si="72"/>
        <v>14921451.511176473</v>
      </c>
      <c r="N125" s="419">
        <f t="shared" si="72"/>
        <v>14921451.511176473</v>
      </c>
      <c r="O125" t="s">
        <v>3160</v>
      </c>
    </row>
    <row r="126" spans="1:15" s="65" customFormat="1">
      <c r="D126" s="65" t="s">
        <v>1109</v>
      </c>
      <c r="E126" s="420">
        <f t="shared" ref="E126:N126" si="73">finQ1RDExp+finQ2RDExp+finQ3RDExp+finQ4RDExp</f>
        <v>49241356.158435896</v>
      </c>
      <c r="F126" s="420">
        <f t="shared" si="73"/>
        <v>49241356.158435896</v>
      </c>
      <c r="G126" s="420">
        <f t="shared" si="73"/>
        <v>49241356.158435896</v>
      </c>
      <c r="H126" s="420">
        <f t="shared" si="73"/>
        <v>49241356.158435896</v>
      </c>
      <c r="I126" s="420">
        <f t="shared" si="73"/>
        <v>49241356.158435896</v>
      </c>
      <c r="J126" s="420">
        <f t="shared" si="73"/>
        <v>49241356.158435896</v>
      </c>
      <c r="K126" s="420">
        <f t="shared" si="73"/>
        <v>49241356.158435896</v>
      </c>
      <c r="L126" s="420">
        <f t="shared" si="73"/>
        <v>49241356.158435896</v>
      </c>
      <c r="M126" s="420">
        <f t="shared" si="73"/>
        <v>49241356.158435896</v>
      </c>
      <c r="N126" s="420">
        <f t="shared" si="73"/>
        <v>49241356.158435896</v>
      </c>
      <c r="O126" s="65" t="s">
        <v>3161</v>
      </c>
    </row>
    <row r="127" spans="1:15">
      <c r="C127" t="s">
        <v>403</v>
      </c>
      <c r="E127" s="419"/>
      <c r="F127" s="419"/>
      <c r="G127" s="419"/>
      <c r="H127" s="419"/>
      <c r="I127" s="419"/>
      <c r="J127" s="419"/>
      <c r="K127" s="419"/>
      <c r="L127" s="419"/>
      <c r="M127" s="419"/>
      <c r="N127" s="419"/>
    </row>
    <row r="128" spans="1:15">
      <c r="D128" t="s">
        <v>1100</v>
      </c>
      <c r="E128" s="419">
        <f t="shared" ref="E128:N128" si="74">calcQ1GAExp</f>
        <v>6562638.8148209956</v>
      </c>
      <c r="F128" s="419">
        <f t="shared" si="74"/>
        <v>6562638.8148209956</v>
      </c>
      <c r="G128" s="419">
        <f t="shared" si="74"/>
        <v>6562638.8148209956</v>
      </c>
      <c r="H128" s="419">
        <f t="shared" si="74"/>
        <v>6562638.8148209956</v>
      </c>
      <c r="I128" s="419">
        <f t="shared" si="74"/>
        <v>6562638.8148209956</v>
      </c>
      <c r="J128" s="419">
        <f t="shared" si="74"/>
        <v>6562638.8148209956</v>
      </c>
      <c r="K128" s="419">
        <f t="shared" si="74"/>
        <v>6562638.8148209956</v>
      </c>
      <c r="L128" s="419">
        <f t="shared" si="74"/>
        <v>6562638.8148209956</v>
      </c>
      <c r="M128" s="419">
        <f t="shared" si="74"/>
        <v>6562638.8148209956</v>
      </c>
      <c r="N128" s="419">
        <f t="shared" si="74"/>
        <v>6562638.8148209956</v>
      </c>
      <c r="O128" t="s">
        <v>3162</v>
      </c>
    </row>
    <row r="129" spans="1:15">
      <c r="D129" t="s">
        <v>1101</v>
      </c>
      <c r="E129" s="419">
        <f t="shared" ref="E129:N129" si="75">calcQ2GAExp</f>
        <v>7172304.3424538579</v>
      </c>
      <c r="F129" s="419">
        <f t="shared" si="75"/>
        <v>7172304.3424538579</v>
      </c>
      <c r="G129" s="419">
        <f t="shared" si="75"/>
        <v>7172304.3424538579</v>
      </c>
      <c r="H129" s="419">
        <f t="shared" si="75"/>
        <v>7172304.3424538579</v>
      </c>
      <c r="I129" s="419">
        <f t="shared" si="75"/>
        <v>7172304.3424538579</v>
      </c>
      <c r="J129" s="419">
        <f t="shared" si="75"/>
        <v>7172304.3424538579</v>
      </c>
      <c r="K129" s="419">
        <f t="shared" si="75"/>
        <v>7172304.3424538579</v>
      </c>
      <c r="L129" s="419">
        <f t="shared" si="75"/>
        <v>7172304.3424538579</v>
      </c>
      <c r="M129" s="419">
        <f t="shared" si="75"/>
        <v>7172304.3424538579</v>
      </c>
      <c r="N129" s="419">
        <f t="shared" si="75"/>
        <v>7172304.3424538579</v>
      </c>
      <c r="O129" t="s">
        <v>3163</v>
      </c>
    </row>
    <row r="130" spans="1:15">
      <c r="D130" t="s">
        <v>1102</v>
      </c>
      <c r="E130" s="419">
        <f t="shared" ref="E130:N130" si="76">calcQ3GAExp</f>
        <v>8114365.5070464592</v>
      </c>
      <c r="F130" s="419">
        <f t="shared" si="76"/>
        <v>8114365.5070464592</v>
      </c>
      <c r="G130" s="419">
        <f t="shared" si="76"/>
        <v>8114365.5070464592</v>
      </c>
      <c r="H130" s="419">
        <f t="shared" si="76"/>
        <v>8114365.5070464592</v>
      </c>
      <c r="I130" s="419">
        <f t="shared" si="76"/>
        <v>8114365.5070464592</v>
      </c>
      <c r="J130" s="419">
        <f t="shared" si="76"/>
        <v>8114365.5070464592</v>
      </c>
      <c r="K130" s="419">
        <f t="shared" si="76"/>
        <v>8114365.5070464592</v>
      </c>
      <c r="L130" s="419">
        <f t="shared" si="76"/>
        <v>8114365.5070464592</v>
      </c>
      <c r="M130" s="419">
        <f t="shared" si="76"/>
        <v>8114365.5070464592</v>
      </c>
      <c r="N130" s="419">
        <f t="shared" si="76"/>
        <v>8114365.5070464592</v>
      </c>
      <c r="O130" t="s">
        <v>3164</v>
      </c>
    </row>
    <row r="131" spans="1:15">
      <c r="D131" t="s">
        <v>1103</v>
      </c>
      <c r="E131" s="419">
        <f t="shared" ref="E131:N131" si="77">calcQ4GAExp</f>
        <v>9499542.7038120478</v>
      </c>
      <c r="F131" s="419">
        <f t="shared" si="77"/>
        <v>9499542.7038120478</v>
      </c>
      <c r="G131" s="419">
        <f t="shared" si="77"/>
        <v>9499542.7038120478</v>
      </c>
      <c r="H131" s="419">
        <f t="shared" si="77"/>
        <v>9499542.7038120478</v>
      </c>
      <c r="I131" s="419">
        <f t="shared" si="77"/>
        <v>9499542.7038120478</v>
      </c>
      <c r="J131" s="419">
        <f t="shared" si="77"/>
        <v>9499542.7038120478</v>
      </c>
      <c r="K131" s="419">
        <f t="shared" si="77"/>
        <v>9499542.7038120478</v>
      </c>
      <c r="L131" s="419">
        <f t="shared" si="77"/>
        <v>9499542.7038120478</v>
      </c>
      <c r="M131" s="419">
        <f t="shared" si="77"/>
        <v>9499542.7038120478</v>
      </c>
      <c r="N131" s="419">
        <f t="shared" si="77"/>
        <v>9499542.7038120478</v>
      </c>
      <c r="O131" t="s">
        <v>3165</v>
      </c>
    </row>
    <row r="132" spans="1:15" s="65" customFormat="1">
      <c r="D132" s="65" t="s">
        <v>1104</v>
      </c>
      <c r="E132" s="420">
        <f t="shared" ref="E132:N132" si="78">finQ1GAExp+finQ2GAExp+finQ3GAExp+finQ4GAExp</f>
        <v>31348851.368133359</v>
      </c>
      <c r="F132" s="420">
        <f t="shared" si="78"/>
        <v>31348851.368133359</v>
      </c>
      <c r="G132" s="420">
        <f t="shared" si="78"/>
        <v>31348851.368133359</v>
      </c>
      <c r="H132" s="420">
        <f t="shared" si="78"/>
        <v>31348851.368133359</v>
      </c>
      <c r="I132" s="420">
        <f t="shared" si="78"/>
        <v>31348851.368133359</v>
      </c>
      <c r="J132" s="420">
        <f t="shared" si="78"/>
        <v>31348851.368133359</v>
      </c>
      <c r="K132" s="420">
        <f t="shared" si="78"/>
        <v>31348851.368133359</v>
      </c>
      <c r="L132" s="420">
        <f t="shared" si="78"/>
        <v>31348851.368133359</v>
      </c>
      <c r="M132" s="420">
        <f t="shared" si="78"/>
        <v>31348851.368133359</v>
      </c>
      <c r="N132" s="420">
        <f t="shared" si="78"/>
        <v>31348851.368133359</v>
      </c>
      <c r="O132" s="65" t="s">
        <v>3166</v>
      </c>
    </row>
    <row r="133" spans="1:15">
      <c r="E133" s="419"/>
      <c r="F133" s="419"/>
      <c r="G133" s="419"/>
      <c r="H133" s="419"/>
      <c r="I133" s="419"/>
      <c r="J133" s="419"/>
      <c r="K133" s="419"/>
      <c r="L133" s="419"/>
      <c r="M133" s="419"/>
      <c r="N133" s="419"/>
    </row>
    <row r="134" spans="1:15">
      <c r="D134" t="s">
        <v>426</v>
      </c>
      <c r="E134" s="419">
        <f t="shared" ref="E134:N134" si="79">finAnnualGrossProfit-finAnnualMSExp-finAnnualRDExp-finAnnualGAExp</f>
        <v>-28095668.678987436</v>
      </c>
      <c r="F134" s="419">
        <f t="shared" si="79"/>
        <v>-28095668.678987436</v>
      </c>
      <c r="G134" s="419">
        <f t="shared" si="79"/>
        <v>-28095668.678987436</v>
      </c>
      <c r="H134" s="419">
        <f t="shared" si="79"/>
        <v>-28095668.678987436</v>
      </c>
      <c r="I134" s="419">
        <f t="shared" si="79"/>
        <v>-28095668.678987436</v>
      </c>
      <c r="J134" s="419">
        <f t="shared" si="79"/>
        <v>-28095668.678987436</v>
      </c>
      <c r="K134" s="419">
        <f t="shared" si="79"/>
        <v>-28095668.678987436</v>
      </c>
      <c r="L134" s="419">
        <f t="shared" si="79"/>
        <v>-28095668.678987436</v>
      </c>
      <c r="M134" s="419">
        <f t="shared" si="79"/>
        <v>-28095668.678987436</v>
      </c>
      <c r="N134" s="419">
        <f t="shared" si="79"/>
        <v>-28095668.678987436</v>
      </c>
      <c r="O134" t="s">
        <v>3167</v>
      </c>
    </row>
    <row r="135" spans="1:15" s="295" customFormat="1">
      <c r="D135" s="421" t="s">
        <v>967</v>
      </c>
      <c r="E135" s="422">
        <f t="shared" ref="E135:N135" si="80">finAnnualOpProfit/FinAnnualRev</f>
        <v>-0.18999999999999992</v>
      </c>
      <c r="F135" s="422">
        <f t="shared" si="80"/>
        <v>-0.18999999999999992</v>
      </c>
      <c r="G135" s="422">
        <f t="shared" si="80"/>
        <v>-0.18999999999999992</v>
      </c>
      <c r="H135" s="422">
        <f t="shared" si="80"/>
        <v>-0.18999999999999992</v>
      </c>
      <c r="I135" s="422">
        <f t="shared" si="80"/>
        <v>-0.18999999999999992</v>
      </c>
      <c r="J135" s="422">
        <f t="shared" si="80"/>
        <v>-0.18999999999999992</v>
      </c>
      <c r="K135" s="422">
        <f t="shared" si="80"/>
        <v>-0.18999999999999992</v>
      </c>
      <c r="L135" s="422">
        <f t="shared" si="80"/>
        <v>-0.18999999999999992</v>
      </c>
      <c r="M135" s="422">
        <f t="shared" si="80"/>
        <v>-0.18999999999999992</v>
      </c>
      <c r="N135" s="422">
        <f t="shared" si="80"/>
        <v>-0.18999999999999992</v>
      </c>
      <c r="O135" s="295" t="s">
        <v>3168</v>
      </c>
    </row>
    <row r="136" spans="1:15">
      <c r="E136" s="419"/>
      <c r="F136" s="419"/>
      <c r="G136" s="419"/>
      <c r="H136" s="419"/>
      <c r="I136" s="419"/>
      <c r="J136" s="419"/>
      <c r="K136" s="419"/>
      <c r="L136" s="419"/>
      <c r="M136" s="419"/>
      <c r="N136" s="419"/>
    </row>
    <row r="137" spans="1:15">
      <c r="A137" t="s">
        <v>466</v>
      </c>
      <c r="E137" s="419"/>
      <c r="F137" s="419"/>
      <c r="G137" s="419"/>
      <c r="H137" s="419"/>
      <c r="I137" s="419"/>
      <c r="J137" s="419"/>
      <c r="K137" s="419"/>
      <c r="L137" s="419"/>
      <c r="M137" s="419"/>
      <c r="N137" s="419"/>
    </row>
    <row r="138" spans="1:15">
      <c r="C138" t="s">
        <v>467</v>
      </c>
      <c r="E138" s="419"/>
      <c r="F138" s="419"/>
      <c r="G138" s="419"/>
      <c r="H138" s="419"/>
      <c r="I138" s="419"/>
      <c r="J138" s="419"/>
      <c r="K138" s="419"/>
      <c r="L138" s="419"/>
      <c r="M138" s="419"/>
      <c r="N138" s="419"/>
    </row>
    <row r="139" spans="1:15">
      <c r="D139" t="s">
        <v>973</v>
      </c>
      <c r="E139" s="419">
        <f t="shared" ref="E139:N139" si="81">calcQ1HarmExp</f>
        <v>0</v>
      </c>
      <c r="F139" s="419">
        <f t="shared" si="81"/>
        <v>0</v>
      </c>
      <c r="G139" s="419">
        <f t="shared" si="81"/>
        <v>0</v>
      </c>
      <c r="H139" s="419">
        <f t="shared" si="81"/>
        <v>0</v>
      </c>
      <c r="I139" s="419">
        <f t="shared" si="81"/>
        <v>0</v>
      </c>
      <c r="J139" s="419">
        <f t="shared" si="81"/>
        <v>0</v>
      </c>
      <c r="K139" s="419">
        <f t="shared" si="81"/>
        <v>0</v>
      </c>
      <c r="L139" s="419">
        <f t="shared" si="81"/>
        <v>0</v>
      </c>
      <c r="M139" s="419">
        <f t="shared" si="81"/>
        <v>0</v>
      </c>
      <c r="N139" s="419">
        <f t="shared" si="81"/>
        <v>0</v>
      </c>
      <c r="O139" t="s">
        <v>3169</v>
      </c>
    </row>
    <row r="140" spans="1:15">
      <c r="D140" t="s">
        <v>985</v>
      </c>
      <c r="E140" s="419">
        <f t="shared" ref="E140:N140" si="82">calcQ2HarmExp</f>
        <v>0</v>
      </c>
      <c r="F140" s="419">
        <f t="shared" si="82"/>
        <v>0</v>
      </c>
      <c r="G140" s="419">
        <f t="shared" si="82"/>
        <v>0</v>
      </c>
      <c r="H140" s="419">
        <f t="shared" si="82"/>
        <v>0</v>
      </c>
      <c r="I140" s="419">
        <f t="shared" si="82"/>
        <v>0</v>
      </c>
      <c r="J140" s="419">
        <f t="shared" si="82"/>
        <v>0</v>
      </c>
      <c r="K140" s="419">
        <f t="shared" si="82"/>
        <v>0</v>
      </c>
      <c r="L140" s="419">
        <f t="shared" si="82"/>
        <v>0</v>
      </c>
      <c r="M140" s="419">
        <f t="shared" si="82"/>
        <v>0</v>
      </c>
      <c r="N140" s="419">
        <f t="shared" si="82"/>
        <v>0</v>
      </c>
      <c r="O140" t="s">
        <v>3170</v>
      </c>
    </row>
    <row r="141" spans="1:15">
      <c r="D141" t="s">
        <v>990</v>
      </c>
      <c r="E141" s="419">
        <f t="shared" ref="E141:N141" si="83">calcQ3HarmExp</f>
        <v>0</v>
      </c>
      <c r="F141" s="419">
        <f t="shared" si="83"/>
        <v>0</v>
      </c>
      <c r="G141" s="419">
        <f t="shared" si="83"/>
        <v>0</v>
      </c>
      <c r="H141" s="419">
        <f t="shared" si="83"/>
        <v>0</v>
      </c>
      <c r="I141" s="419">
        <f t="shared" si="83"/>
        <v>0</v>
      </c>
      <c r="J141" s="419">
        <f t="shared" si="83"/>
        <v>0</v>
      </c>
      <c r="K141" s="419">
        <f t="shared" si="83"/>
        <v>0</v>
      </c>
      <c r="L141" s="419">
        <f t="shared" si="83"/>
        <v>0</v>
      </c>
      <c r="M141" s="419">
        <f t="shared" si="83"/>
        <v>0</v>
      </c>
      <c r="N141" s="419">
        <f t="shared" si="83"/>
        <v>0</v>
      </c>
      <c r="O141" t="s">
        <v>3171</v>
      </c>
    </row>
    <row r="142" spans="1:15">
      <c r="D142" t="s">
        <v>994</v>
      </c>
      <c r="E142" s="419">
        <f t="shared" ref="E142:N142" si="84">calcQ4HarmExp</f>
        <v>0</v>
      </c>
      <c r="F142" s="419">
        <f t="shared" si="84"/>
        <v>0</v>
      </c>
      <c r="G142" s="419">
        <f t="shared" si="84"/>
        <v>0</v>
      </c>
      <c r="H142" s="419">
        <f t="shared" si="84"/>
        <v>0</v>
      </c>
      <c r="I142" s="419">
        <f t="shared" si="84"/>
        <v>0</v>
      </c>
      <c r="J142" s="419">
        <f t="shared" si="84"/>
        <v>0</v>
      </c>
      <c r="K142" s="419">
        <f t="shared" si="84"/>
        <v>0</v>
      </c>
      <c r="L142" s="419">
        <f t="shared" si="84"/>
        <v>0</v>
      </c>
      <c r="M142" s="419">
        <f t="shared" si="84"/>
        <v>0</v>
      </c>
      <c r="N142" s="419">
        <f t="shared" si="84"/>
        <v>0</v>
      </c>
      <c r="O142" t="s">
        <v>3172</v>
      </c>
    </row>
    <row r="143" spans="1:15" s="65" customFormat="1">
      <c r="D143" s="65" t="s">
        <v>1003</v>
      </c>
      <c r="E143" s="420">
        <f t="shared" ref="E143:N143" si="85">finQ1HarmExp+finQ2HarmExp+finQ3HarmExp+finQ4HarmExp</f>
        <v>0</v>
      </c>
      <c r="F143" s="420">
        <f t="shared" si="85"/>
        <v>0</v>
      </c>
      <c r="G143" s="420">
        <f t="shared" si="85"/>
        <v>0</v>
      </c>
      <c r="H143" s="420">
        <f t="shared" si="85"/>
        <v>0</v>
      </c>
      <c r="I143" s="420">
        <f t="shared" si="85"/>
        <v>0</v>
      </c>
      <c r="J143" s="420">
        <f t="shared" si="85"/>
        <v>0</v>
      </c>
      <c r="K143" s="420">
        <f t="shared" si="85"/>
        <v>0</v>
      </c>
      <c r="L143" s="420">
        <f t="shared" si="85"/>
        <v>0</v>
      </c>
      <c r="M143" s="420">
        <f t="shared" si="85"/>
        <v>0</v>
      </c>
      <c r="N143" s="420">
        <f t="shared" si="85"/>
        <v>0</v>
      </c>
      <c r="O143" s="65" t="s">
        <v>3173</v>
      </c>
    </row>
    <row r="144" spans="1:15" s="65" customFormat="1">
      <c r="C144" s="65" t="s">
        <v>401</v>
      </c>
      <c r="E144" s="420"/>
      <c r="F144" s="420"/>
      <c r="G144" s="420"/>
      <c r="H144" s="420"/>
      <c r="I144" s="420"/>
      <c r="J144" s="420"/>
      <c r="K144" s="420"/>
      <c r="L144" s="420"/>
      <c r="M144" s="420"/>
      <c r="N144" s="420"/>
    </row>
    <row r="145" spans="3:15">
      <c r="D145" t="s">
        <v>1018</v>
      </c>
      <c r="E145" s="419">
        <f t="shared" ref="E145:N145" si="86">calcQ1ITExp</f>
        <v>0</v>
      </c>
      <c r="F145" s="419">
        <f t="shared" si="86"/>
        <v>0</v>
      </c>
      <c r="G145" s="419">
        <f t="shared" si="86"/>
        <v>0</v>
      </c>
      <c r="H145" s="419">
        <f t="shared" si="86"/>
        <v>0</v>
      </c>
      <c r="I145" s="419">
        <f t="shared" si="86"/>
        <v>0</v>
      </c>
      <c r="J145" s="419">
        <f t="shared" si="86"/>
        <v>0</v>
      </c>
      <c r="K145" s="419">
        <f t="shared" si="86"/>
        <v>0</v>
      </c>
      <c r="L145" s="419">
        <f t="shared" si="86"/>
        <v>0</v>
      </c>
      <c r="M145" s="419">
        <f t="shared" si="86"/>
        <v>0</v>
      </c>
      <c r="N145" s="419">
        <f t="shared" si="86"/>
        <v>0</v>
      </c>
      <c r="O145" t="s">
        <v>3174</v>
      </c>
    </row>
    <row r="146" spans="3:15">
      <c r="D146" t="s">
        <v>1019</v>
      </c>
      <c r="E146" s="419">
        <f t="shared" ref="E146:N146" si="87">calcQ2ITExp</f>
        <v>0</v>
      </c>
      <c r="F146" s="419">
        <f t="shared" si="87"/>
        <v>0</v>
      </c>
      <c r="G146" s="419">
        <f t="shared" si="87"/>
        <v>0</v>
      </c>
      <c r="H146" s="419">
        <f t="shared" si="87"/>
        <v>0</v>
      </c>
      <c r="I146" s="419">
        <f t="shared" si="87"/>
        <v>0</v>
      </c>
      <c r="J146" s="419">
        <f t="shared" si="87"/>
        <v>0</v>
      </c>
      <c r="K146" s="419">
        <f t="shared" si="87"/>
        <v>0</v>
      </c>
      <c r="L146" s="419">
        <f t="shared" si="87"/>
        <v>0</v>
      </c>
      <c r="M146" s="419">
        <f t="shared" si="87"/>
        <v>0</v>
      </c>
      <c r="N146" s="419">
        <f t="shared" si="87"/>
        <v>0</v>
      </c>
      <c r="O146" t="s">
        <v>3175</v>
      </c>
    </row>
    <row r="147" spans="3:15">
      <c r="D147" t="s">
        <v>1020</v>
      </c>
      <c r="E147" s="419">
        <f t="shared" ref="E147:N147" si="88">calcQ3ITExp</f>
        <v>0</v>
      </c>
      <c r="F147" s="419">
        <f t="shared" si="88"/>
        <v>0</v>
      </c>
      <c r="G147" s="419">
        <f t="shared" si="88"/>
        <v>0</v>
      </c>
      <c r="H147" s="419">
        <f t="shared" si="88"/>
        <v>0</v>
      </c>
      <c r="I147" s="419">
        <f t="shared" si="88"/>
        <v>0</v>
      </c>
      <c r="J147" s="419">
        <f t="shared" si="88"/>
        <v>0</v>
      </c>
      <c r="K147" s="419">
        <f t="shared" si="88"/>
        <v>0</v>
      </c>
      <c r="L147" s="419">
        <f t="shared" si="88"/>
        <v>0</v>
      </c>
      <c r="M147" s="419">
        <f t="shared" si="88"/>
        <v>0</v>
      </c>
      <c r="N147" s="419">
        <f t="shared" si="88"/>
        <v>0</v>
      </c>
      <c r="O147" t="s">
        <v>3176</v>
      </c>
    </row>
    <row r="148" spans="3:15">
      <c r="D148" t="s">
        <v>1021</v>
      </c>
      <c r="E148" s="419">
        <f t="shared" ref="E148:N148" si="89">calcQ4ITExp</f>
        <v>0</v>
      </c>
      <c r="F148" s="419">
        <f t="shared" si="89"/>
        <v>0</v>
      </c>
      <c r="G148" s="419">
        <f t="shared" si="89"/>
        <v>0</v>
      </c>
      <c r="H148" s="419">
        <f t="shared" si="89"/>
        <v>0</v>
      </c>
      <c r="I148" s="419">
        <f t="shared" si="89"/>
        <v>0</v>
      </c>
      <c r="J148" s="419">
        <f t="shared" si="89"/>
        <v>0</v>
      </c>
      <c r="K148" s="419">
        <f t="shared" si="89"/>
        <v>0</v>
      </c>
      <c r="L148" s="419">
        <f t="shared" si="89"/>
        <v>0</v>
      </c>
      <c r="M148" s="419">
        <f t="shared" si="89"/>
        <v>0</v>
      </c>
      <c r="N148" s="419">
        <f t="shared" si="89"/>
        <v>0</v>
      </c>
      <c r="O148" t="s">
        <v>3177</v>
      </c>
    </row>
    <row r="149" spans="3:15" s="65" customFormat="1">
      <c r="D149" s="65" t="s">
        <v>1022</v>
      </c>
      <c r="E149" s="420">
        <f t="shared" ref="E149:N149" si="90">finQ1ITExp+finQ2ITExp+finQ3ITExp+finQ4ITExp</f>
        <v>0</v>
      </c>
      <c r="F149" s="420">
        <f t="shared" si="90"/>
        <v>0</v>
      </c>
      <c r="G149" s="420">
        <f t="shared" si="90"/>
        <v>0</v>
      </c>
      <c r="H149" s="420">
        <f t="shared" si="90"/>
        <v>0</v>
      </c>
      <c r="I149" s="420">
        <f t="shared" si="90"/>
        <v>0</v>
      </c>
      <c r="J149" s="420">
        <f t="shared" si="90"/>
        <v>0</v>
      </c>
      <c r="K149" s="420">
        <f t="shared" si="90"/>
        <v>0</v>
      </c>
      <c r="L149" s="420">
        <f t="shared" si="90"/>
        <v>0</v>
      </c>
      <c r="M149" s="420">
        <f t="shared" si="90"/>
        <v>0</v>
      </c>
      <c r="N149" s="420">
        <f t="shared" si="90"/>
        <v>0</v>
      </c>
      <c r="O149" s="65" t="s">
        <v>3178</v>
      </c>
    </row>
    <row r="150" spans="3:15">
      <c r="C150" t="s">
        <v>1332</v>
      </c>
      <c r="E150" s="419"/>
      <c r="F150" s="419"/>
      <c r="G150" s="419"/>
      <c r="H150" s="419"/>
      <c r="I150" s="419"/>
      <c r="J150" s="419"/>
      <c r="K150" s="419"/>
      <c r="L150" s="419"/>
      <c r="M150" s="419"/>
      <c r="N150" s="419"/>
    </row>
    <row r="151" spans="3:15">
      <c r="D151" t="s">
        <v>1358</v>
      </c>
      <c r="E151" s="419">
        <f t="shared" ref="E151:N151" si="91">calcQ1FullREExp</f>
        <v>0</v>
      </c>
      <c r="F151" s="419">
        <f t="shared" si="91"/>
        <v>0</v>
      </c>
      <c r="G151" s="419">
        <f t="shared" si="91"/>
        <v>0</v>
      </c>
      <c r="H151" s="419">
        <f t="shared" si="91"/>
        <v>0</v>
      </c>
      <c r="I151" s="419">
        <f t="shared" si="91"/>
        <v>0</v>
      </c>
      <c r="J151" s="419">
        <f t="shared" si="91"/>
        <v>0</v>
      </c>
      <c r="K151" s="419">
        <f t="shared" si="91"/>
        <v>0</v>
      </c>
      <c r="L151" s="419">
        <f t="shared" si="91"/>
        <v>0</v>
      </c>
      <c r="M151" s="419">
        <f t="shared" si="91"/>
        <v>0</v>
      </c>
      <c r="N151" s="419">
        <f t="shared" si="91"/>
        <v>0</v>
      </c>
      <c r="O151" t="s">
        <v>3179</v>
      </c>
    </row>
    <row r="152" spans="3:15">
      <c r="D152" t="s">
        <v>1359</v>
      </c>
      <c r="E152" s="419">
        <f t="shared" ref="E152:N152" si="92">calcQ2FullREExp</f>
        <v>0</v>
      </c>
      <c r="F152" s="419">
        <f t="shared" si="92"/>
        <v>0</v>
      </c>
      <c r="G152" s="419">
        <f t="shared" si="92"/>
        <v>0</v>
      </c>
      <c r="H152" s="419">
        <f t="shared" si="92"/>
        <v>0</v>
      </c>
      <c r="I152" s="419">
        <f t="shared" si="92"/>
        <v>0</v>
      </c>
      <c r="J152" s="419">
        <f t="shared" si="92"/>
        <v>0</v>
      </c>
      <c r="K152" s="419">
        <f t="shared" si="92"/>
        <v>0</v>
      </c>
      <c r="L152" s="419">
        <f t="shared" si="92"/>
        <v>0</v>
      </c>
      <c r="M152" s="419">
        <f t="shared" si="92"/>
        <v>0</v>
      </c>
      <c r="N152" s="419">
        <f t="shared" si="92"/>
        <v>0</v>
      </c>
      <c r="O152" t="s">
        <v>3180</v>
      </c>
    </row>
    <row r="153" spans="3:15">
      <c r="D153" t="s">
        <v>1360</v>
      </c>
      <c r="E153" s="419">
        <f t="shared" ref="E153:N153" si="93">calcQ3FullREExp</f>
        <v>0</v>
      </c>
      <c r="F153" s="419">
        <f t="shared" si="93"/>
        <v>0</v>
      </c>
      <c r="G153" s="419">
        <f t="shared" si="93"/>
        <v>0</v>
      </c>
      <c r="H153" s="419">
        <f t="shared" si="93"/>
        <v>0</v>
      </c>
      <c r="I153" s="419">
        <f t="shared" si="93"/>
        <v>0</v>
      </c>
      <c r="J153" s="419">
        <f t="shared" si="93"/>
        <v>0</v>
      </c>
      <c r="K153" s="419">
        <f t="shared" si="93"/>
        <v>0</v>
      </c>
      <c r="L153" s="419">
        <f t="shared" si="93"/>
        <v>0</v>
      </c>
      <c r="M153" s="419">
        <f t="shared" si="93"/>
        <v>0</v>
      </c>
      <c r="N153" s="419">
        <f t="shared" si="93"/>
        <v>0</v>
      </c>
      <c r="O153" t="s">
        <v>3181</v>
      </c>
    </row>
    <row r="154" spans="3:15">
      <c r="D154" t="s">
        <v>1361</v>
      </c>
      <c r="E154" s="419">
        <f t="shared" ref="E154:N154" si="94">calcQ4FullREExp</f>
        <v>0</v>
      </c>
      <c r="F154" s="419">
        <f t="shared" si="94"/>
        <v>0</v>
      </c>
      <c r="G154" s="419">
        <f t="shared" si="94"/>
        <v>0</v>
      </c>
      <c r="H154" s="419">
        <f t="shared" si="94"/>
        <v>0</v>
      </c>
      <c r="I154" s="419">
        <f t="shared" si="94"/>
        <v>0</v>
      </c>
      <c r="J154" s="419">
        <f t="shared" si="94"/>
        <v>0</v>
      </c>
      <c r="K154" s="419">
        <f t="shared" si="94"/>
        <v>0</v>
      </c>
      <c r="L154" s="419">
        <f t="shared" si="94"/>
        <v>0</v>
      </c>
      <c r="M154" s="419">
        <f t="shared" si="94"/>
        <v>0</v>
      </c>
      <c r="N154" s="419">
        <f t="shared" si="94"/>
        <v>0</v>
      </c>
      <c r="O154" t="s">
        <v>3182</v>
      </c>
    </row>
    <row r="155" spans="3:15" s="65" customFormat="1">
      <c r="D155" s="65" t="s">
        <v>1022</v>
      </c>
      <c r="E155" s="420">
        <f t="shared" ref="E155:N155" si="95">finQ1FullREExp+finQ2FullREExp+finQ3FullREExp+finQ4FullREExp</f>
        <v>0</v>
      </c>
      <c r="F155" s="420">
        <f t="shared" si="95"/>
        <v>0</v>
      </c>
      <c r="G155" s="420">
        <f t="shared" si="95"/>
        <v>0</v>
      </c>
      <c r="H155" s="420">
        <f t="shared" si="95"/>
        <v>0</v>
      </c>
      <c r="I155" s="420">
        <f t="shared" si="95"/>
        <v>0</v>
      </c>
      <c r="J155" s="420">
        <f t="shared" si="95"/>
        <v>0</v>
      </c>
      <c r="K155" s="420">
        <f t="shared" si="95"/>
        <v>0</v>
      </c>
      <c r="L155" s="420">
        <f t="shared" si="95"/>
        <v>0</v>
      </c>
      <c r="M155" s="420">
        <f t="shared" si="95"/>
        <v>0</v>
      </c>
      <c r="N155" s="420">
        <f t="shared" si="95"/>
        <v>0</v>
      </c>
      <c r="O155" s="65" t="s">
        <v>3183</v>
      </c>
    </row>
    <row r="156" spans="3:15">
      <c r="C156" t="s">
        <v>1333</v>
      </c>
      <c r="E156" s="419"/>
      <c r="F156" s="419"/>
      <c r="G156" s="419"/>
      <c r="H156" s="419"/>
      <c r="I156" s="419"/>
      <c r="J156" s="419"/>
      <c r="K156" s="419"/>
      <c r="L156" s="419"/>
      <c r="M156" s="419"/>
      <c r="N156" s="419"/>
    </row>
    <row r="157" spans="3:15">
      <c r="D157" t="s">
        <v>1321</v>
      </c>
      <c r="E157" s="419"/>
      <c r="F157" s="419"/>
      <c r="G157" s="419"/>
      <c r="H157" s="419"/>
      <c r="I157" s="419"/>
      <c r="J157" s="419"/>
      <c r="K157" s="419"/>
      <c r="L157" s="419"/>
      <c r="M157" s="419"/>
      <c r="N157" s="419"/>
      <c r="O157" t="s">
        <v>3184</v>
      </c>
    </row>
    <row r="158" spans="3:15">
      <c r="D158" t="s">
        <v>1322</v>
      </c>
      <c r="E158" s="419"/>
      <c r="F158" s="419"/>
      <c r="G158" s="419"/>
      <c r="H158" s="419"/>
      <c r="I158" s="419"/>
      <c r="J158" s="419"/>
      <c r="K158" s="419"/>
      <c r="L158" s="419"/>
      <c r="M158" s="419"/>
      <c r="N158" s="419"/>
      <c r="O158" t="s">
        <v>3185</v>
      </c>
    </row>
    <row r="159" spans="3:15">
      <c r="D159" t="s">
        <v>1323</v>
      </c>
      <c r="E159" s="419"/>
      <c r="F159" s="419"/>
      <c r="G159" s="419"/>
      <c r="H159" s="419"/>
      <c r="I159" s="419"/>
      <c r="J159" s="419"/>
      <c r="K159" s="419"/>
      <c r="L159" s="419"/>
      <c r="M159" s="419"/>
      <c r="N159" s="419"/>
      <c r="O159" t="s">
        <v>3186</v>
      </c>
    </row>
    <row r="160" spans="3:15">
      <c r="D160" t="s">
        <v>1324</v>
      </c>
      <c r="E160" s="419"/>
      <c r="F160" s="419"/>
      <c r="G160" s="419"/>
      <c r="H160" s="419"/>
      <c r="I160" s="419"/>
      <c r="J160" s="419"/>
      <c r="K160" s="419"/>
      <c r="L160" s="419"/>
      <c r="M160" s="419"/>
      <c r="N160" s="419"/>
      <c r="O160" t="s">
        <v>3187</v>
      </c>
    </row>
    <row r="161" spans="3:15" s="65" customFormat="1">
      <c r="D161" s="65" t="s">
        <v>1366</v>
      </c>
      <c r="E161" s="420">
        <f t="shared" ref="E161:N161" si="96">finQ1GAMigrationExp+finQ2GAMigrationExp+finQ3GAMigrationExp+finQ4GAMigrationExp</f>
        <v>0</v>
      </c>
      <c r="F161" s="420">
        <f t="shared" si="96"/>
        <v>0</v>
      </c>
      <c r="G161" s="420">
        <f t="shared" si="96"/>
        <v>0</v>
      </c>
      <c r="H161" s="420">
        <f t="shared" si="96"/>
        <v>0</v>
      </c>
      <c r="I161" s="420">
        <f t="shared" si="96"/>
        <v>0</v>
      </c>
      <c r="J161" s="420">
        <f t="shared" si="96"/>
        <v>0</v>
      </c>
      <c r="K161" s="420">
        <f t="shared" si="96"/>
        <v>0</v>
      </c>
      <c r="L161" s="420">
        <f t="shared" si="96"/>
        <v>0</v>
      </c>
      <c r="M161" s="420">
        <f t="shared" si="96"/>
        <v>0</v>
      </c>
      <c r="N161" s="420">
        <f t="shared" si="96"/>
        <v>0</v>
      </c>
      <c r="O161" s="65" t="s">
        <v>3188</v>
      </c>
    </row>
    <row r="162" spans="3:15" s="65" customFormat="1">
      <c r="C162" s="65" t="s">
        <v>1057</v>
      </c>
      <c r="E162" s="420"/>
      <c r="F162" s="420"/>
      <c r="G162" s="420"/>
      <c r="H162" s="420"/>
      <c r="I162" s="420"/>
      <c r="J162" s="420"/>
      <c r="K162" s="420"/>
      <c r="L162" s="420"/>
      <c r="M162" s="420"/>
      <c r="N162" s="420"/>
    </row>
    <row r="163" spans="3:15">
      <c r="D163" t="s">
        <v>1077</v>
      </c>
      <c r="E163" s="419">
        <f t="shared" ref="E163:N163" si="97">calcQ1TrustExp</f>
        <v>0</v>
      </c>
      <c r="F163" s="419">
        <f t="shared" si="97"/>
        <v>0</v>
      </c>
      <c r="G163" s="419">
        <f t="shared" si="97"/>
        <v>0</v>
      </c>
      <c r="H163" s="419">
        <f t="shared" si="97"/>
        <v>0</v>
      </c>
      <c r="I163" s="419">
        <f t="shared" si="97"/>
        <v>0</v>
      </c>
      <c r="J163" s="419">
        <f t="shared" si="97"/>
        <v>0</v>
      </c>
      <c r="K163" s="419">
        <f t="shared" si="97"/>
        <v>0</v>
      </c>
      <c r="L163" s="419">
        <f t="shared" si="97"/>
        <v>0</v>
      </c>
      <c r="M163" s="419">
        <f t="shared" si="97"/>
        <v>0</v>
      </c>
      <c r="N163" s="419">
        <f t="shared" si="97"/>
        <v>0</v>
      </c>
      <c r="O163" t="s">
        <v>3189</v>
      </c>
    </row>
    <row r="164" spans="3:15">
      <c r="D164" t="s">
        <v>1081</v>
      </c>
      <c r="E164" s="419">
        <f t="shared" ref="E164:N164" si="98">calcQ2TrustExp</f>
        <v>0</v>
      </c>
      <c r="F164" s="419">
        <f t="shared" si="98"/>
        <v>0</v>
      </c>
      <c r="G164" s="419">
        <f t="shared" si="98"/>
        <v>0</v>
      </c>
      <c r="H164" s="419">
        <f t="shared" si="98"/>
        <v>0</v>
      </c>
      <c r="I164" s="419">
        <f t="shared" si="98"/>
        <v>0</v>
      </c>
      <c r="J164" s="419">
        <f t="shared" si="98"/>
        <v>0</v>
      </c>
      <c r="K164" s="419">
        <f t="shared" si="98"/>
        <v>0</v>
      </c>
      <c r="L164" s="419">
        <f t="shared" si="98"/>
        <v>0</v>
      </c>
      <c r="M164" s="419">
        <f t="shared" si="98"/>
        <v>0</v>
      </c>
      <c r="N164" s="419">
        <f t="shared" si="98"/>
        <v>0</v>
      </c>
      <c r="O164" t="s">
        <v>3190</v>
      </c>
    </row>
    <row r="165" spans="3:15">
      <c r="D165" t="s">
        <v>1085</v>
      </c>
      <c r="E165" s="419">
        <f t="shared" ref="E165:N165" si="99">calcQ3TrustExp</f>
        <v>0</v>
      </c>
      <c r="F165" s="419">
        <f t="shared" si="99"/>
        <v>0</v>
      </c>
      <c r="G165" s="419">
        <f t="shared" si="99"/>
        <v>0</v>
      </c>
      <c r="H165" s="419">
        <f t="shared" si="99"/>
        <v>0</v>
      </c>
      <c r="I165" s="419">
        <f t="shared" si="99"/>
        <v>0</v>
      </c>
      <c r="J165" s="419">
        <f t="shared" si="99"/>
        <v>0</v>
      </c>
      <c r="K165" s="419">
        <f t="shared" si="99"/>
        <v>0</v>
      </c>
      <c r="L165" s="419">
        <f t="shared" si="99"/>
        <v>0</v>
      </c>
      <c r="M165" s="419">
        <f t="shared" si="99"/>
        <v>0</v>
      </c>
      <c r="N165" s="419">
        <f t="shared" si="99"/>
        <v>0</v>
      </c>
      <c r="O165" t="s">
        <v>3191</v>
      </c>
    </row>
    <row r="166" spans="3:15">
      <c r="D166" t="s">
        <v>1089</v>
      </c>
      <c r="E166" s="419">
        <f t="shared" ref="E166:N166" si="100">calcQ4TrustExp</f>
        <v>0</v>
      </c>
      <c r="F166" s="419">
        <f t="shared" si="100"/>
        <v>0</v>
      </c>
      <c r="G166" s="419">
        <f t="shared" si="100"/>
        <v>0</v>
      </c>
      <c r="H166" s="419">
        <f t="shared" si="100"/>
        <v>0</v>
      </c>
      <c r="I166" s="419">
        <f t="shared" si="100"/>
        <v>0</v>
      </c>
      <c r="J166" s="419">
        <f t="shared" si="100"/>
        <v>0</v>
      </c>
      <c r="K166" s="419">
        <f t="shared" si="100"/>
        <v>0</v>
      </c>
      <c r="L166" s="419">
        <f t="shared" si="100"/>
        <v>0</v>
      </c>
      <c r="M166" s="419">
        <f t="shared" si="100"/>
        <v>0</v>
      </c>
      <c r="N166" s="419">
        <f t="shared" si="100"/>
        <v>0</v>
      </c>
      <c r="O166" t="s">
        <v>3192</v>
      </c>
    </row>
    <row r="167" spans="3:15" s="65" customFormat="1">
      <c r="D167" s="65" t="s">
        <v>1097</v>
      </c>
      <c r="E167" s="420">
        <f t="shared" ref="E167:N167" si="101">finQ1TrustExp+finQ2TrustExp+finQ3TrustExp+finQ4TrustExp</f>
        <v>0</v>
      </c>
      <c r="F167" s="420">
        <f t="shared" si="101"/>
        <v>0</v>
      </c>
      <c r="G167" s="420">
        <f t="shared" si="101"/>
        <v>0</v>
      </c>
      <c r="H167" s="420">
        <f t="shared" si="101"/>
        <v>0</v>
      </c>
      <c r="I167" s="420">
        <f t="shared" si="101"/>
        <v>0</v>
      </c>
      <c r="J167" s="420">
        <f t="shared" si="101"/>
        <v>0</v>
      </c>
      <c r="K167" s="420">
        <f t="shared" si="101"/>
        <v>0</v>
      </c>
      <c r="L167" s="420">
        <f t="shared" si="101"/>
        <v>0</v>
      </c>
      <c r="M167" s="420">
        <f t="shared" si="101"/>
        <v>0</v>
      </c>
      <c r="N167" s="420">
        <f t="shared" si="101"/>
        <v>0</v>
      </c>
      <c r="O167" s="65" t="s">
        <v>3193</v>
      </c>
    </row>
    <row r="168" spans="3:15">
      <c r="E168" s="419"/>
      <c r="F168" s="419"/>
      <c r="G168" s="419"/>
      <c r="H168" s="419"/>
      <c r="I168" s="419"/>
      <c r="J168" s="419"/>
      <c r="K168" s="419"/>
      <c r="L168" s="419"/>
      <c r="M168" s="419"/>
      <c r="N168" s="419"/>
    </row>
    <row r="169" spans="3:15">
      <c r="C169" s="65" t="s">
        <v>2282</v>
      </c>
      <c r="E169" s="419"/>
      <c r="F169" s="419"/>
      <c r="G169" s="419"/>
      <c r="H169" s="419"/>
      <c r="I169" s="419"/>
      <c r="J169" s="419"/>
      <c r="K169" s="419"/>
      <c r="L169" s="419"/>
      <c r="M169" s="419"/>
      <c r="N169" s="419"/>
    </row>
    <row r="170" spans="3:15">
      <c r="D170" t="s">
        <v>899</v>
      </c>
      <c r="E170" s="419">
        <f t="shared" ref="E170:N170" si="102">calcQ1CSGExp</f>
        <v>0</v>
      </c>
      <c r="F170" s="419">
        <f t="shared" si="102"/>
        <v>0</v>
      </c>
      <c r="G170" s="419">
        <f t="shared" si="102"/>
        <v>0</v>
      </c>
      <c r="H170" s="419">
        <f t="shared" si="102"/>
        <v>0</v>
      </c>
      <c r="I170" s="419">
        <f t="shared" si="102"/>
        <v>0</v>
      </c>
      <c r="J170" s="419">
        <f t="shared" si="102"/>
        <v>0</v>
      </c>
      <c r="K170" s="419">
        <f t="shared" si="102"/>
        <v>0</v>
      </c>
      <c r="L170" s="419">
        <f t="shared" si="102"/>
        <v>0</v>
      </c>
      <c r="M170" s="419">
        <f t="shared" si="102"/>
        <v>0</v>
      </c>
      <c r="N170" s="419">
        <f t="shared" si="102"/>
        <v>0</v>
      </c>
      <c r="O170" t="s">
        <v>3194</v>
      </c>
    </row>
    <row r="171" spans="3:15">
      <c r="D171" t="s">
        <v>900</v>
      </c>
      <c r="E171" s="419">
        <f t="shared" ref="E171:N171" si="103">calcQ2CSGExp</f>
        <v>0</v>
      </c>
      <c r="F171" s="419">
        <f t="shared" si="103"/>
        <v>0</v>
      </c>
      <c r="G171" s="419">
        <f t="shared" si="103"/>
        <v>0</v>
      </c>
      <c r="H171" s="419">
        <f t="shared" si="103"/>
        <v>0</v>
      </c>
      <c r="I171" s="419">
        <f t="shared" si="103"/>
        <v>0</v>
      </c>
      <c r="J171" s="419">
        <f t="shared" si="103"/>
        <v>0</v>
      </c>
      <c r="K171" s="419">
        <f t="shared" si="103"/>
        <v>0</v>
      </c>
      <c r="L171" s="419">
        <f t="shared" si="103"/>
        <v>0</v>
      </c>
      <c r="M171" s="419">
        <f t="shared" si="103"/>
        <v>0</v>
      </c>
      <c r="N171" s="419">
        <f t="shared" si="103"/>
        <v>0</v>
      </c>
      <c r="O171" t="s">
        <v>3195</v>
      </c>
    </row>
    <row r="172" spans="3:15">
      <c r="D172" t="s">
        <v>901</v>
      </c>
      <c r="E172" s="419">
        <f t="shared" ref="E172:N172" si="104">calcQ3CSGExp</f>
        <v>0</v>
      </c>
      <c r="F172" s="419">
        <f t="shared" si="104"/>
        <v>0</v>
      </c>
      <c r="G172" s="419">
        <f t="shared" si="104"/>
        <v>0</v>
      </c>
      <c r="H172" s="419">
        <f t="shared" si="104"/>
        <v>0</v>
      </c>
      <c r="I172" s="419">
        <f t="shared" si="104"/>
        <v>0</v>
      </c>
      <c r="J172" s="419">
        <f t="shared" si="104"/>
        <v>0</v>
      </c>
      <c r="K172" s="419">
        <f t="shared" si="104"/>
        <v>0</v>
      </c>
      <c r="L172" s="419">
        <f t="shared" si="104"/>
        <v>0</v>
      </c>
      <c r="M172" s="419">
        <f t="shared" si="104"/>
        <v>0</v>
      </c>
      <c r="N172" s="419">
        <f t="shared" si="104"/>
        <v>0</v>
      </c>
      <c r="O172" t="s">
        <v>3196</v>
      </c>
    </row>
    <row r="173" spans="3:15">
      <c r="D173" t="s">
        <v>902</v>
      </c>
      <c r="E173" s="419">
        <f t="shared" ref="E173:N173" si="105">calcQ4CSGExp</f>
        <v>0</v>
      </c>
      <c r="F173" s="419">
        <f t="shared" si="105"/>
        <v>0</v>
      </c>
      <c r="G173" s="419">
        <f t="shared" si="105"/>
        <v>0</v>
      </c>
      <c r="H173" s="419">
        <f t="shared" si="105"/>
        <v>0</v>
      </c>
      <c r="I173" s="419">
        <f t="shared" si="105"/>
        <v>0</v>
      </c>
      <c r="J173" s="419">
        <f t="shared" si="105"/>
        <v>0</v>
      </c>
      <c r="K173" s="419">
        <f t="shared" si="105"/>
        <v>0</v>
      </c>
      <c r="L173" s="419">
        <f t="shared" si="105"/>
        <v>0</v>
      </c>
      <c r="M173" s="419">
        <f t="shared" si="105"/>
        <v>0</v>
      </c>
      <c r="N173" s="419">
        <f t="shared" si="105"/>
        <v>0</v>
      </c>
      <c r="O173" t="s">
        <v>3197</v>
      </c>
    </row>
    <row r="174" spans="3:15">
      <c r="D174" t="s">
        <v>2297</v>
      </c>
      <c r="E174" s="420">
        <f t="shared" ref="E174:N174" si="106">finQ1CSGExp+finQ2CSGExp+finQ3CSGExp+finQ4CSGExp</f>
        <v>0</v>
      </c>
      <c r="F174" s="420">
        <f t="shared" si="106"/>
        <v>0</v>
      </c>
      <c r="G174" s="420">
        <f t="shared" si="106"/>
        <v>0</v>
      </c>
      <c r="H174" s="420">
        <f t="shared" si="106"/>
        <v>0</v>
      </c>
      <c r="I174" s="420">
        <f t="shared" si="106"/>
        <v>0</v>
      </c>
      <c r="J174" s="420">
        <f t="shared" si="106"/>
        <v>0</v>
      </c>
      <c r="K174" s="420">
        <f t="shared" si="106"/>
        <v>0</v>
      </c>
      <c r="L174" s="420">
        <f t="shared" si="106"/>
        <v>0</v>
      </c>
      <c r="M174" s="420">
        <f t="shared" si="106"/>
        <v>0</v>
      </c>
      <c r="N174" s="420">
        <f t="shared" si="106"/>
        <v>0</v>
      </c>
      <c r="O174" t="s">
        <v>3198</v>
      </c>
    </row>
    <row r="175" spans="3:15">
      <c r="E175" s="419"/>
      <c r="F175" s="419"/>
      <c r="G175" s="419"/>
      <c r="H175" s="419"/>
      <c r="I175" s="419"/>
      <c r="J175" s="419"/>
      <c r="K175" s="419"/>
      <c r="L175" s="419"/>
      <c r="M175" s="419"/>
      <c r="N175" s="419"/>
    </row>
    <row r="176" spans="3:15">
      <c r="C176" s="65" t="s">
        <v>3079</v>
      </c>
      <c r="E176" s="419"/>
      <c r="F176" s="419"/>
      <c r="G176" s="419"/>
      <c r="H176" s="419"/>
      <c r="I176" s="419"/>
      <c r="J176" s="419"/>
      <c r="K176" s="419"/>
      <c r="L176" s="419"/>
      <c r="M176" s="419"/>
      <c r="N176" s="419"/>
    </row>
    <row r="177" spans="3:15">
      <c r="D177" t="s">
        <v>899</v>
      </c>
      <c r="E177" s="419">
        <f t="shared" ref="E177:N177" si="107">calcQ1BrandIntExp</f>
        <v>0</v>
      </c>
      <c r="F177" s="419">
        <f t="shared" si="107"/>
        <v>0</v>
      </c>
      <c r="G177" s="419">
        <f t="shared" si="107"/>
        <v>0</v>
      </c>
      <c r="H177" s="419">
        <f t="shared" si="107"/>
        <v>0</v>
      </c>
      <c r="I177" s="419">
        <f t="shared" si="107"/>
        <v>0</v>
      </c>
      <c r="J177" s="419">
        <f t="shared" si="107"/>
        <v>0</v>
      </c>
      <c r="K177" s="419">
        <f t="shared" si="107"/>
        <v>0</v>
      </c>
      <c r="L177" s="419">
        <f t="shared" si="107"/>
        <v>0</v>
      </c>
      <c r="M177" s="419">
        <f t="shared" si="107"/>
        <v>0</v>
      </c>
      <c r="N177" s="419">
        <f t="shared" si="107"/>
        <v>0</v>
      </c>
      <c r="O177" t="s">
        <v>3199</v>
      </c>
    </row>
    <row r="178" spans="3:15">
      <c r="D178" t="s">
        <v>900</v>
      </c>
      <c r="E178" s="419">
        <f t="shared" ref="E178:N178" si="108">calcQ2BrandIntExp</f>
        <v>0</v>
      </c>
      <c r="F178" s="419">
        <f t="shared" si="108"/>
        <v>0</v>
      </c>
      <c r="G178" s="419">
        <f t="shared" si="108"/>
        <v>0</v>
      </c>
      <c r="H178" s="419">
        <f t="shared" si="108"/>
        <v>0</v>
      </c>
      <c r="I178" s="419">
        <f t="shared" si="108"/>
        <v>0</v>
      </c>
      <c r="J178" s="419">
        <f t="shared" si="108"/>
        <v>0</v>
      </c>
      <c r="K178" s="419">
        <f t="shared" si="108"/>
        <v>0</v>
      </c>
      <c r="L178" s="419">
        <f t="shared" si="108"/>
        <v>0</v>
      </c>
      <c r="M178" s="419">
        <f t="shared" si="108"/>
        <v>0</v>
      </c>
      <c r="N178" s="419">
        <f t="shared" si="108"/>
        <v>0</v>
      </c>
      <c r="O178" t="s">
        <v>3200</v>
      </c>
    </row>
    <row r="179" spans="3:15">
      <c r="D179" t="s">
        <v>901</v>
      </c>
      <c r="E179" s="419">
        <f t="shared" ref="E179:N179" si="109">calcQ3BrandIntExp</f>
        <v>0</v>
      </c>
      <c r="F179" s="419">
        <f t="shared" si="109"/>
        <v>0</v>
      </c>
      <c r="G179" s="419">
        <f t="shared" si="109"/>
        <v>0</v>
      </c>
      <c r="H179" s="419">
        <f t="shared" si="109"/>
        <v>0</v>
      </c>
      <c r="I179" s="419">
        <f t="shared" si="109"/>
        <v>0</v>
      </c>
      <c r="J179" s="419">
        <f t="shared" si="109"/>
        <v>0</v>
      </c>
      <c r="K179" s="419">
        <f t="shared" si="109"/>
        <v>0</v>
      </c>
      <c r="L179" s="419">
        <f t="shared" si="109"/>
        <v>0</v>
      </c>
      <c r="M179" s="419">
        <f t="shared" si="109"/>
        <v>0</v>
      </c>
      <c r="N179" s="419">
        <f t="shared" si="109"/>
        <v>0</v>
      </c>
      <c r="O179" t="s">
        <v>3201</v>
      </c>
    </row>
    <row r="180" spans="3:15">
      <c r="D180" t="s">
        <v>902</v>
      </c>
      <c r="E180" s="419">
        <f t="shared" ref="E180:N180" si="110">calcQ4BrandIntExp</f>
        <v>0</v>
      </c>
      <c r="F180" s="419">
        <f t="shared" si="110"/>
        <v>0</v>
      </c>
      <c r="G180" s="419">
        <f t="shared" si="110"/>
        <v>0</v>
      </c>
      <c r="H180" s="419">
        <f t="shared" si="110"/>
        <v>0</v>
      </c>
      <c r="I180" s="419">
        <f t="shared" si="110"/>
        <v>0</v>
      </c>
      <c r="J180" s="419">
        <f t="shared" si="110"/>
        <v>0</v>
      </c>
      <c r="K180" s="419">
        <f t="shared" si="110"/>
        <v>0</v>
      </c>
      <c r="L180" s="419">
        <f t="shared" si="110"/>
        <v>0</v>
      </c>
      <c r="M180" s="419">
        <f t="shared" si="110"/>
        <v>0</v>
      </c>
      <c r="N180" s="419">
        <f t="shared" si="110"/>
        <v>0</v>
      </c>
      <c r="O180" t="s">
        <v>3202</v>
      </c>
    </row>
    <row r="181" spans="3:15">
      <c r="D181" t="s">
        <v>2297</v>
      </c>
      <c r="E181" s="420">
        <f t="shared" ref="E181:N181" si="111">finQ1BrandIntExp+finQ2BrandIntExp+finQ3BrandIntExp+finQ4BrandIntExp</f>
        <v>0</v>
      </c>
      <c r="F181" s="420">
        <f t="shared" si="111"/>
        <v>0</v>
      </c>
      <c r="G181" s="420">
        <f t="shared" si="111"/>
        <v>0</v>
      </c>
      <c r="H181" s="420">
        <f t="shared" si="111"/>
        <v>0</v>
      </c>
      <c r="I181" s="420">
        <f t="shared" si="111"/>
        <v>0</v>
      </c>
      <c r="J181" s="420">
        <f t="shared" si="111"/>
        <v>0</v>
      </c>
      <c r="K181" s="420">
        <f t="shared" si="111"/>
        <v>0</v>
      </c>
      <c r="L181" s="420">
        <f t="shared" si="111"/>
        <v>0</v>
      </c>
      <c r="M181" s="420">
        <f t="shared" si="111"/>
        <v>0</v>
      </c>
      <c r="N181" s="420">
        <f t="shared" si="111"/>
        <v>0</v>
      </c>
      <c r="O181" t="s">
        <v>3203</v>
      </c>
    </row>
    <row r="182" spans="3:15">
      <c r="E182" s="419"/>
      <c r="F182" s="419"/>
      <c r="G182" s="419"/>
      <c r="H182" s="419"/>
      <c r="I182" s="419"/>
      <c r="J182" s="419"/>
      <c r="K182" s="419"/>
      <c r="L182" s="419"/>
      <c r="M182" s="419"/>
      <c r="N182" s="419"/>
    </row>
    <row r="183" spans="3:15">
      <c r="C183" s="65" t="s">
        <v>2391</v>
      </c>
      <c r="E183" s="419"/>
      <c r="F183" s="419"/>
      <c r="G183" s="419"/>
      <c r="H183" s="419"/>
      <c r="I183" s="419"/>
      <c r="J183" s="419"/>
      <c r="K183" s="419"/>
      <c r="L183" s="419"/>
      <c r="M183" s="419"/>
      <c r="N183" s="419"/>
    </row>
    <row r="184" spans="3:15">
      <c r="D184" t="s">
        <v>899</v>
      </c>
      <c r="E184" s="419">
        <f t="shared" ref="E184:N184" si="112">calcQ1LeadPassExp</f>
        <v>0</v>
      </c>
      <c r="F184" s="419">
        <f t="shared" si="112"/>
        <v>0</v>
      </c>
      <c r="G184" s="419">
        <f t="shared" si="112"/>
        <v>0</v>
      </c>
      <c r="H184" s="419">
        <f t="shared" si="112"/>
        <v>0</v>
      </c>
      <c r="I184" s="419">
        <f t="shared" si="112"/>
        <v>0</v>
      </c>
      <c r="J184" s="419">
        <f t="shared" si="112"/>
        <v>0</v>
      </c>
      <c r="K184" s="419">
        <f t="shared" si="112"/>
        <v>0</v>
      </c>
      <c r="L184" s="419">
        <f t="shared" si="112"/>
        <v>0</v>
      </c>
      <c r="M184" s="419">
        <f t="shared" si="112"/>
        <v>0</v>
      </c>
      <c r="N184" s="419">
        <f t="shared" si="112"/>
        <v>0</v>
      </c>
      <c r="O184" t="s">
        <v>3204</v>
      </c>
    </row>
    <row r="185" spans="3:15">
      <c r="D185" t="s">
        <v>900</v>
      </c>
      <c r="E185" s="419">
        <f t="shared" ref="E185:N185" si="113">calcQ2LeadPassExp</f>
        <v>0</v>
      </c>
      <c r="F185" s="419">
        <f t="shared" si="113"/>
        <v>0</v>
      </c>
      <c r="G185" s="419">
        <f t="shared" si="113"/>
        <v>0</v>
      </c>
      <c r="H185" s="419">
        <f t="shared" si="113"/>
        <v>0</v>
      </c>
      <c r="I185" s="419">
        <f t="shared" si="113"/>
        <v>0</v>
      </c>
      <c r="J185" s="419">
        <f t="shared" si="113"/>
        <v>0</v>
      </c>
      <c r="K185" s="419">
        <f t="shared" si="113"/>
        <v>0</v>
      </c>
      <c r="L185" s="419">
        <f t="shared" si="113"/>
        <v>0</v>
      </c>
      <c r="M185" s="419">
        <f t="shared" si="113"/>
        <v>0</v>
      </c>
      <c r="N185" s="419">
        <f t="shared" si="113"/>
        <v>0</v>
      </c>
      <c r="O185" t="s">
        <v>3205</v>
      </c>
    </row>
    <row r="186" spans="3:15">
      <c r="D186" t="s">
        <v>901</v>
      </c>
      <c r="E186" s="419">
        <f t="shared" ref="E186:N186" si="114">calcQ3LeadPassExp</f>
        <v>0</v>
      </c>
      <c r="F186" s="419">
        <f t="shared" si="114"/>
        <v>0</v>
      </c>
      <c r="G186" s="419">
        <f t="shared" si="114"/>
        <v>0</v>
      </c>
      <c r="H186" s="419">
        <f t="shared" si="114"/>
        <v>0</v>
      </c>
      <c r="I186" s="419">
        <f t="shared" si="114"/>
        <v>0</v>
      </c>
      <c r="J186" s="419">
        <f t="shared" si="114"/>
        <v>0</v>
      </c>
      <c r="K186" s="419">
        <f t="shared" si="114"/>
        <v>0</v>
      </c>
      <c r="L186" s="419">
        <f t="shared" si="114"/>
        <v>0</v>
      </c>
      <c r="M186" s="419">
        <f t="shared" si="114"/>
        <v>0</v>
      </c>
      <c r="N186" s="419">
        <f t="shared" si="114"/>
        <v>0</v>
      </c>
      <c r="O186" t="s">
        <v>3206</v>
      </c>
    </row>
    <row r="187" spans="3:15">
      <c r="D187" t="s">
        <v>902</v>
      </c>
      <c r="E187" s="419">
        <f t="shared" ref="E187:N187" si="115">calcQ4LeadPassExp</f>
        <v>0</v>
      </c>
      <c r="F187" s="419">
        <f t="shared" si="115"/>
        <v>0</v>
      </c>
      <c r="G187" s="419">
        <f t="shared" si="115"/>
        <v>0</v>
      </c>
      <c r="H187" s="419">
        <f t="shared" si="115"/>
        <v>0</v>
      </c>
      <c r="I187" s="419">
        <f t="shared" si="115"/>
        <v>0</v>
      </c>
      <c r="J187" s="419">
        <f t="shared" si="115"/>
        <v>0</v>
      </c>
      <c r="K187" s="419">
        <f t="shared" si="115"/>
        <v>0</v>
      </c>
      <c r="L187" s="419">
        <f t="shared" si="115"/>
        <v>0</v>
      </c>
      <c r="M187" s="419">
        <f t="shared" si="115"/>
        <v>0</v>
      </c>
      <c r="N187" s="419">
        <f t="shared" si="115"/>
        <v>0</v>
      </c>
      <c r="O187" t="s">
        <v>3207</v>
      </c>
    </row>
    <row r="188" spans="3:15">
      <c r="D188" t="s">
        <v>2297</v>
      </c>
      <c r="E188" s="420">
        <f t="shared" ref="E188:N188" si="116">finQ1LeadPassExp+finQ2LeadPassExp+finQ3LeadPassExp+finQ4LeadPassExp</f>
        <v>0</v>
      </c>
      <c r="F188" s="420">
        <f t="shared" si="116"/>
        <v>0</v>
      </c>
      <c r="G188" s="420">
        <f t="shared" si="116"/>
        <v>0</v>
      </c>
      <c r="H188" s="420">
        <f t="shared" si="116"/>
        <v>0</v>
      </c>
      <c r="I188" s="420">
        <f t="shared" si="116"/>
        <v>0</v>
      </c>
      <c r="J188" s="420">
        <f t="shared" si="116"/>
        <v>0</v>
      </c>
      <c r="K188" s="420">
        <f t="shared" si="116"/>
        <v>0</v>
      </c>
      <c r="L188" s="420">
        <f t="shared" si="116"/>
        <v>0</v>
      </c>
      <c r="M188" s="420">
        <f t="shared" si="116"/>
        <v>0</v>
      </c>
      <c r="N188" s="420">
        <f t="shared" si="116"/>
        <v>0</v>
      </c>
      <c r="O188" t="s">
        <v>3208</v>
      </c>
    </row>
    <row r="189" spans="3:15">
      <c r="C189" t="s">
        <v>1099</v>
      </c>
      <c r="E189" s="419"/>
      <c r="F189" s="419"/>
      <c r="G189" s="419"/>
      <c r="H189" s="419"/>
      <c r="I189" s="419"/>
      <c r="J189" s="419"/>
      <c r="K189" s="419"/>
      <c r="L189" s="419"/>
      <c r="M189" s="419"/>
      <c r="N189" s="419"/>
    </row>
    <row r="190" spans="3:15" s="65" customFormat="1">
      <c r="C190" s="65" t="s">
        <v>1139</v>
      </c>
      <c r="E190" s="420"/>
      <c r="F190" s="420"/>
      <c r="G190" s="420"/>
      <c r="H190" s="420"/>
      <c r="I190" s="420"/>
      <c r="J190" s="420"/>
      <c r="K190" s="420"/>
      <c r="L190" s="420"/>
      <c r="M190" s="420"/>
      <c r="N190" s="420"/>
    </row>
    <row r="191" spans="3:15">
      <c r="D191" t="s">
        <v>1123</v>
      </c>
      <c r="E191" s="419">
        <f t="shared" ref="E191:N191" si="117">calcQ1Org62Exp</f>
        <v>0</v>
      </c>
      <c r="F191" s="419">
        <f t="shared" si="117"/>
        <v>0</v>
      </c>
      <c r="G191" s="419">
        <f t="shared" si="117"/>
        <v>0</v>
      </c>
      <c r="H191" s="419">
        <f t="shared" si="117"/>
        <v>0</v>
      </c>
      <c r="I191" s="419">
        <f t="shared" si="117"/>
        <v>0</v>
      </c>
      <c r="J191" s="419">
        <f t="shared" si="117"/>
        <v>0</v>
      </c>
      <c r="K191" s="419">
        <f t="shared" si="117"/>
        <v>0</v>
      </c>
      <c r="L191" s="419">
        <f t="shared" si="117"/>
        <v>0</v>
      </c>
      <c r="M191" s="419">
        <f t="shared" si="117"/>
        <v>0</v>
      </c>
      <c r="N191" s="419">
        <f t="shared" si="117"/>
        <v>0</v>
      </c>
      <c r="O191" t="s">
        <v>3209</v>
      </c>
    </row>
    <row r="192" spans="3:15">
      <c r="D192" t="s">
        <v>1127</v>
      </c>
      <c r="E192" s="419">
        <f t="shared" ref="E192:N192" si="118">calcQ2Org62Exp</f>
        <v>0</v>
      </c>
      <c r="F192" s="419">
        <f t="shared" si="118"/>
        <v>0</v>
      </c>
      <c r="G192" s="419">
        <f t="shared" si="118"/>
        <v>0</v>
      </c>
      <c r="H192" s="419">
        <f t="shared" si="118"/>
        <v>0</v>
      </c>
      <c r="I192" s="419">
        <f t="shared" si="118"/>
        <v>0</v>
      </c>
      <c r="J192" s="419">
        <f t="shared" si="118"/>
        <v>0</v>
      </c>
      <c r="K192" s="419">
        <f t="shared" si="118"/>
        <v>0</v>
      </c>
      <c r="L192" s="419">
        <f t="shared" si="118"/>
        <v>0</v>
      </c>
      <c r="M192" s="419">
        <f t="shared" si="118"/>
        <v>0</v>
      </c>
      <c r="N192" s="419">
        <f t="shared" si="118"/>
        <v>0</v>
      </c>
      <c r="O192" t="s">
        <v>3210</v>
      </c>
    </row>
    <row r="193" spans="3:15">
      <c r="D193" t="s">
        <v>1131</v>
      </c>
      <c r="E193" s="419">
        <f t="shared" ref="E193:N193" si="119">calcQ3Org62Exp</f>
        <v>0</v>
      </c>
      <c r="F193" s="419">
        <f t="shared" si="119"/>
        <v>0</v>
      </c>
      <c r="G193" s="419">
        <f t="shared" si="119"/>
        <v>0</v>
      </c>
      <c r="H193" s="419">
        <f t="shared" si="119"/>
        <v>0</v>
      </c>
      <c r="I193" s="419">
        <f t="shared" si="119"/>
        <v>0</v>
      </c>
      <c r="J193" s="419">
        <f t="shared" si="119"/>
        <v>0</v>
      </c>
      <c r="K193" s="419">
        <f t="shared" si="119"/>
        <v>0</v>
      </c>
      <c r="L193" s="419">
        <f t="shared" si="119"/>
        <v>0</v>
      </c>
      <c r="M193" s="419">
        <f t="shared" si="119"/>
        <v>0</v>
      </c>
      <c r="N193" s="419">
        <f t="shared" si="119"/>
        <v>0</v>
      </c>
      <c r="O193" t="s">
        <v>3211</v>
      </c>
    </row>
    <row r="194" spans="3:15">
      <c r="D194" t="s">
        <v>1135</v>
      </c>
      <c r="E194" s="419">
        <f t="shared" ref="E194:N194" si="120">calcQ4Org62Exp</f>
        <v>0</v>
      </c>
      <c r="F194" s="419">
        <f t="shared" si="120"/>
        <v>0</v>
      </c>
      <c r="G194" s="419">
        <f t="shared" si="120"/>
        <v>0</v>
      </c>
      <c r="H194" s="419">
        <f t="shared" si="120"/>
        <v>0</v>
      </c>
      <c r="I194" s="419">
        <f t="shared" si="120"/>
        <v>0</v>
      </c>
      <c r="J194" s="419">
        <f t="shared" si="120"/>
        <v>0</v>
      </c>
      <c r="K194" s="419">
        <f t="shared" si="120"/>
        <v>0</v>
      </c>
      <c r="L194" s="419">
        <f t="shared" si="120"/>
        <v>0</v>
      </c>
      <c r="M194" s="419">
        <f t="shared" si="120"/>
        <v>0</v>
      </c>
      <c r="N194" s="419">
        <f t="shared" si="120"/>
        <v>0</v>
      </c>
      <c r="O194" t="s">
        <v>3212</v>
      </c>
    </row>
    <row r="195" spans="3:15" s="65" customFormat="1">
      <c r="D195" s="65" t="s">
        <v>1144</v>
      </c>
      <c r="E195" s="420">
        <f t="shared" ref="E195:N195" si="121">finQ1Org62Exp+finQ2Org62Exp+finQ3Org62Exp+finQ4Org62Exp</f>
        <v>0</v>
      </c>
      <c r="F195" s="420">
        <f t="shared" si="121"/>
        <v>0</v>
      </c>
      <c r="G195" s="420">
        <f t="shared" si="121"/>
        <v>0</v>
      </c>
      <c r="H195" s="420">
        <f t="shared" si="121"/>
        <v>0</v>
      </c>
      <c r="I195" s="420">
        <f t="shared" si="121"/>
        <v>0</v>
      </c>
      <c r="J195" s="420">
        <f t="shared" si="121"/>
        <v>0</v>
      </c>
      <c r="K195" s="420">
        <f t="shared" si="121"/>
        <v>0</v>
      </c>
      <c r="L195" s="420">
        <f t="shared" si="121"/>
        <v>0</v>
      </c>
      <c r="M195" s="420">
        <f t="shared" si="121"/>
        <v>0</v>
      </c>
      <c r="N195" s="420">
        <f t="shared" si="121"/>
        <v>0</v>
      </c>
      <c r="O195" s="65" t="s">
        <v>3213</v>
      </c>
    </row>
    <row r="196" spans="3:15" s="65" customFormat="1">
      <c r="C196" s="65" t="s">
        <v>507</v>
      </c>
      <c r="E196" s="420"/>
      <c r="F196" s="420"/>
      <c r="G196" s="420"/>
      <c r="H196" s="420"/>
      <c r="I196" s="420"/>
      <c r="J196" s="420"/>
      <c r="K196" s="420"/>
      <c r="L196" s="420"/>
      <c r="M196" s="420"/>
      <c r="N196" s="420"/>
    </row>
    <row r="197" spans="3:15">
      <c r="D197" t="s">
        <v>1160</v>
      </c>
      <c r="E197" s="419">
        <f t="shared" ref="E197:N197" si="122">calcQ1StackExp</f>
        <v>0</v>
      </c>
      <c r="F197" s="419">
        <f t="shared" si="122"/>
        <v>0</v>
      </c>
      <c r="G197" s="419">
        <f t="shared" si="122"/>
        <v>0</v>
      </c>
      <c r="H197" s="419">
        <f t="shared" si="122"/>
        <v>0</v>
      </c>
      <c r="I197" s="419">
        <f t="shared" si="122"/>
        <v>0</v>
      </c>
      <c r="J197" s="419">
        <f t="shared" si="122"/>
        <v>0</v>
      </c>
      <c r="K197" s="419">
        <f t="shared" si="122"/>
        <v>0</v>
      </c>
      <c r="L197" s="419">
        <f t="shared" si="122"/>
        <v>0</v>
      </c>
      <c r="M197" s="419">
        <f t="shared" si="122"/>
        <v>0</v>
      </c>
      <c r="N197" s="419">
        <f t="shared" si="122"/>
        <v>0</v>
      </c>
      <c r="O197" t="s">
        <v>3214</v>
      </c>
    </row>
    <row r="198" spans="3:15">
      <c r="D198" t="s">
        <v>1164</v>
      </c>
      <c r="E198" s="419">
        <f t="shared" ref="E198:N198" si="123">calcQ2StackExp</f>
        <v>0</v>
      </c>
      <c r="F198" s="419">
        <f t="shared" si="123"/>
        <v>0</v>
      </c>
      <c r="G198" s="419">
        <f t="shared" si="123"/>
        <v>0</v>
      </c>
      <c r="H198" s="419">
        <f t="shared" si="123"/>
        <v>0</v>
      </c>
      <c r="I198" s="419">
        <f t="shared" si="123"/>
        <v>0</v>
      </c>
      <c r="J198" s="419">
        <f t="shared" si="123"/>
        <v>0</v>
      </c>
      <c r="K198" s="419">
        <f t="shared" si="123"/>
        <v>0</v>
      </c>
      <c r="L198" s="419">
        <f t="shared" si="123"/>
        <v>0</v>
      </c>
      <c r="M198" s="419">
        <f t="shared" si="123"/>
        <v>0</v>
      </c>
      <c r="N198" s="419">
        <f t="shared" si="123"/>
        <v>0</v>
      </c>
      <c r="O198" t="s">
        <v>3215</v>
      </c>
    </row>
    <row r="199" spans="3:15">
      <c r="D199" t="s">
        <v>1168</v>
      </c>
      <c r="E199" s="419">
        <f t="shared" ref="E199:N199" si="124">calcQ3StackExp</f>
        <v>0</v>
      </c>
      <c r="F199" s="419">
        <f t="shared" si="124"/>
        <v>0</v>
      </c>
      <c r="G199" s="419">
        <f t="shared" si="124"/>
        <v>0</v>
      </c>
      <c r="H199" s="419">
        <f t="shared" si="124"/>
        <v>0</v>
      </c>
      <c r="I199" s="419">
        <f t="shared" si="124"/>
        <v>0</v>
      </c>
      <c r="J199" s="419">
        <f t="shared" si="124"/>
        <v>0</v>
      </c>
      <c r="K199" s="419">
        <f t="shared" si="124"/>
        <v>0</v>
      </c>
      <c r="L199" s="419">
        <f t="shared" si="124"/>
        <v>0</v>
      </c>
      <c r="M199" s="419">
        <f t="shared" si="124"/>
        <v>0</v>
      </c>
      <c r="N199" s="419">
        <f t="shared" si="124"/>
        <v>0</v>
      </c>
      <c r="O199" t="s">
        <v>3216</v>
      </c>
    </row>
    <row r="200" spans="3:15">
      <c r="D200" t="s">
        <v>1172</v>
      </c>
      <c r="E200" s="419">
        <f t="shared" ref="E200:N200" si="125">calcQ4StackExp</f>
        <v>0</v>
      </c>
      <c r="F200" s="419">
        <f t="shared" si="125"/>
        <v>0</v>
      </c>
      <c r="G200" s="419">
        <f t="shared" si="125"/>
        <v>0</v>
      </c>
      <c r="H200" s="419">
        <f t="shared" si="125"/>
        <v>0</v>
      </c>
      <c r="I200" s="419">
        <f t="shared" si="125"/>
        <v>0</v>
      </c>
      <c r="J200" s="419">
        <f t="shared" si="125"/>
        <v>0</v>
      </c>
      <c r="K200" s="419">
        <f t="shared" si="125"/>
        <v>0</v>
      </c>
      <c r="L200" s="419">
        <f t="shared" si="125"/>
        <v>0</v>
      </c>
      <c r="M200" s="419">
        <f t="shared" si="125"/>
        <v>0</v>
      </c>
      <c r="N200" s="419">
        <f t="shared" si="125"/>
        <v>0</v>
      </c>
      <c r="O200" t="s">
        <v>3217</v>
      </c>
    </row>
    <row r="201" spans="3:15" s="65" customFormat="1">
      <c r="D201" s="65" t="s">
        <v>1181</v>
      </c>
      <c r="E201" s="420">
        <f t="shared" ref="E201:N201" si="126">finQ1StackExp+finQ2StackExp+finQ3StackExp+finQ4StackExp</f>
        <v>0</v>
      </c>
      <c r="F201" s="420">
        <f t="shared" si="126"/>
        <v>0</v>
      </c>
      <c r="G201" s="420">
        <f t="shared" si="126"/>
        <v>0</v>
      </c>
      <c r="H201" s="420">
        <f t="shared" si="126"/>
        <v>0</v>
      </c>
      <c r="I201" s="420">
        <f t="shared" si="126"/>
        <v>0</v>
      </c>
      <c r="J201" s="420">
        <f t="shared" si="126"/>
        <v>0</v>
      </c>
      <c r="K201" s="420">
        <f t="shared" si="126"/>
        <v>0</v>
      </c>
      <c r="L201" s="420">
        <f t="shared" si="126"/>
        <v>0</v>
      </c>
      <c r="M201" s="420">
        <f t="shared" si="126"/>
        <v>0</v>
      </c>
      <c r="N201" s="420">
        <f t="shared" si="126"/>
        <v>0</v>
      </c>
      <c r="O201" s="65" t="s">
        <v>3218</v>
      </c>
    </row>
    <row r="202" spans="3:15" s="65" customFormat="1">
      <c r="C202" s="65" t="s">
        <v>494</v>
      </c>
      <c r="E202" s="420"/>
      <c r="F202" s="420"/>
      <c r="G202" s="420"/>
      <c r="H202" s="420"/>
      <c r="I202" s="420"/>
      <c r="J202" s="420"/>
      <c r="K202" s="420"/>
      <c r="L202" s="420"/>
      <c r="M202" s="420"/>
      <c r="N202" s="420"/>
    </row>
    <row r="203" spans="3:15">
      <c r="D203" t="s">
        <v>1328</v>
      </c>
      <c r="E203" s="419"/>
      <c r="F203" s="419"/>
      <c r="G203" s="419"/>
      <c r="H203" s="419"/>
      <c r="I203" s="419"/>
      <c r="J203" s="419"/>
      <c r="K203" s="419"/>
      <c r="L203" s="419"/>
      <c r="M203" s="419"/>
      <c r="N203" s="419"/>
      <c r="O203" t="s">
        <v>3219</v>
      </c>
    </row>
    <row r="204" spans="3:15">
      <c r="D204" t="s">
        <v>1329</v>
      </c>
      <c r="E204" s="419"/>
      <c r="F204" s="419"/>
      <c r="G204" s="419"/>
      <c r="H204" s="419"/>
      <c r="I204" s="419"/>
      <c r="J204" s="419"/>
      <c r="K204" s="419"/>
      <c r="L204" s="419"/>
      <c r="M204" s="419"/>
      <c r="N204" s="419"/>
      <c r="O204" t="s">
        <v>3220</v>
      </c>
    </row>
    <row r="205" spans="3:15">
      <c r="D205" t="s">
        <v>1330</v>
      </c>
      <c r="E205" s="419"/>
      <c r="F205" s="419"/>
      <c r="G205" s="419"/>
      <c r="H205" s="419"/>
      <c r="I205" s="419"/>
      <c r="J205" s="419"/>
      <c r="K205" s="419"/>
      <c r="L205" s="419"/>
      <c r="M205" s="419"/>
      <c r="N205" s="419"/>
      <c r="O205" t="s">
        <v>3221</v>
      </c>
    </row>
    <row r="206" spans="3:15">
      <c r="D206" t="s">
        <v>1331</v>
      </c>
      <c r="E206" s="419"/>
      <c r="F206" s="419"/>
      <c r="G206" s="419"/>
      <c r="H206" s="419"/>
      <c r="I206" s="419"/>
      <c r="J206" s="419"/>
      <c r="K206" s="419"/>
      <c r="L206" s="419"/>
      <c r="M206" s="419"/>
      <c r="N206" s="419"/>
      <c r="O206" t="s">
        <v>3222</v>
      </c>
    </row>
    <row r="207" spans="3:15" s="65" customFormat="1">
      <c r="D207" s="65" t="s">
        <v>1372</v>
      </c>
      <c r="E207" s="420"/>
      <c r="F207" s="420"/>
      <c r="G207" s="420"/>
      <c r="H207" s="420"/>
      <c r="I207" s="420"/>
      <c r="J207" s="420"/>
      <c r="K207" s="420"/>
      <c r="L207" s="420"/>
      <c r="M207" s="420"/>
      <c r="N207" s="420"/>
      <c r="O207" s="65" t="s">
        <v>3223</v>
      </c>
    </row>
    <row r="208" spans="3:15" s="65" customFormat="1">
      <c r="C208" s="65" t="s">
        <v>494</v>
      </c>
      <c r="E208" s="420"/>
      <c r="F208" s="420"/>
      <c r="G208" s="420"/>
      <c r="H208" s="420"/>
      <c r="I208" s="420"/>
      <c r="J208" s="420"/>
      <c r="K208" s="420"/>
      <c r="L208" s="420"/>
      <c r="M208" s="420"/>
      <c r="N208" s="420"/>
    </row>
    <row r="209" spans="1:15">
      <c r="D209" t="s">
        <v>1673</v>
      </c>
      <c r="E209" s="419">
        <f t="shared" ref="E209:N209" si="127">calcQ1ExternalSalesExp</f>
        <v>0</v>
      </c>
      <c r="F209" s="419">
        <f t="shared" si="127"/>
        <v>0</v>
      </c>
      <c r="G209" s="419">
        <f t="shared" si="127"/>
        <v>0</v>
      </c>
      <c r="H209" s="419">
        <f t="shared" si="127"/>
        <v>0</v>
      </c>
      <c r="I209" s="419">
        <f t="shared" si="127"/>
        <v>0</v>
      </c>
      <c r="J209" s="419">
        <f t="shared" si="127"/>
        <v>0</v>
      </c>
      <c r="K209" s="419">
        <f t="shared" si="127"/>
        <v>0</v>
      </c>
      <c r="L209" s="419">
        <f t="shared" si="127"/>
        <v>0</v>
      </c>
      <c r="M209" s="419">
        <f t="shared" si="127"/>
        <v>0</v>
      </c>
      <c r="N209" s="419">
        <f t="shared" si="127"/>
        <v>0</v>
      </c>
      <c r="O209" t="s">
        <v>3224</v>
      </c>
    </row>
    <row r="210" spans="1:15">
      <c r="D210" t="s">
        <v>1677</v>
      </c>
      <c r="E210" s="419">
        <f t="shared" ref="E210:N210" si="128">calcQ2ExternalSalesExp</f>
        <v>0</v>
      </c>
      <c r="F210" s="419">
        <f t="shared" si="128"/>
        <v>0</v>
      </c>
      <c r="G210" s="419">
        <f t="shared" si="128"/>
        <v>0</v>
      </c>
      <c r="H210" s="419">
        <f t="shared" si="128"/>
        <v>0</v>
      </c>
      <c r="I210" s="419">
        <f t="shared" si="128"/>
        <v>0</v>
      </c>
      <c r="J210" s="419">
        <f t="shared" si="128"/>
        <v>0</v>
      </c>
      <c r="K210" s="419">
        <f t="shared" si="128"/>
        <v>0</v>
      </c>
      <c r="L210" s="419">
        <f t="shared" si="128"/>
        <v>0</v>
      </c>
      <c r="M210" s="419">
        <f t="shared" si="128"/>
        <v>0</v>
      </c>
      <c r="N210" s="419">
        <f t="shared" si="128"/>
        <v>0</v>
      </c>
      <c r="O210" t="s">
        <v>3225</v>
      </c>
    </row>
    <row r="211" spans="1:15">
      <c r="D211" t="s">
        <v>1681</v>
      </c>
      <c r="E211" s="419">
        <f t="shared" ref="E211:N211" si="129">calcQ3ExternalSalesExp</f>
        <v>0</v>
      </c>
      <c r="F211" s="419">
        <f t="shared" si="129"/>
        <v>0</v>
      </c>
      <c r="G211" s="419">
        <f t="shared" si="129"/>
        <v>0</v>
      </c>
      <c r="H211" s="419">
        <f t="shared" si="129"/>
        <v>0</v>
      </c>
      <c r="I211" s="419">
        <f t="shared" si="129"/>
        <v>0</v>
      </c>
      <c r="J211" s="419">
        <f t="shared" si="129"/>
        <v>0</v>
      </c>
      <c r="K211" s="419">
        <f t="shared" si="129"/>
        <v>0</v>
      </c>
      <c r="L211" s="419">
        <f t="shared" si="129"/>
        <v>0</v>
      </c>
      <c r="M211" s="419">
        <f t="shared" si="129"/>
        <v>0</v>
      </c>
      <c r="N211" s="419">
        <f t="shared" si="129"/>
        <v>0</v>
      </c>
      <c r="O211" t="s">
        <v>3226</v>
      </c>
    </row>
    <row r="212" spans="1:15">
      <c r="D212" t="s">
        <v>1685</v>
      </c>
      <c r="E212" s="419">
        <f t="shared" ref="E212:N212" si="130">calcQ4ExternalSalesExp</f>
        <v>0</v>
      </c>
      <c r="F212" s="419">
        <f t="shared" si="130"/>
        <v>0</v>
      </c>
      <c r="G212" s="419">
        <f t="shared" si="130"/>
        <v>0</v>
      </c>
      <c r="H212" s="419">
        <f t="shared" si="130"/>
        <v>0</v>
      </c>
      <c r="I212" s="419">
        <f t="shared" si="130"/>
        <v>0</v>
      </c>
      <c r="J212" s="419">
        <f t="shared" si="130"/>
        <v>0</v>
      </c>
      <c r="K212" s="419">
        <f t="shared" si="130"/>
        <v>0</v>
      </c>
      <c r="L212" s="419">
        <f t="shared" si="130"/>
        <v>0</v>
      </c>
      <c r="M212" s="419">
        <f t="shared" si="130"/>
        <v>0</v>
      </c>
      <c r="N212" s="419">
        <f t="shared" si="130"/>
        <v>0</v>
      </c>
      <c r="O212" t="s">
        <v>3227</v>
      </c>
    </row>
    <row r="213" spans="1:15" s="65" customFormat="1">
      <c r="D213" s="65" t="s">
        <v>1710</v>
      </c>
      <c r="E213" s="420">
        <f t="shared" ref="E213:N213" si="131">finQ1ExternalSalesExp+finQ2ExternalSalesExp+finQ3ExternalSalesExp+finQ4ExternalSalesExp</f>
        <v>0</v>
      </c>
      <c r="F213" s="420">
        <f t="shared" si="131"/>
        <v>0</v>
      </c>
      <c r="G213" s="420">
        <f t="shared" si="131"/>
        <v>0</v>
      </c>
      <c r="H213" s="420">
        <f t="shared" si="131"/>
        <v>0</v>
      </c>
      <c r="I213" s="420">
        <f t="shared" si="131"/>
        <v>0</v>
      </c>
      <c r="J213" s="420">
        <f t="shared" si="131"/>
        <v>0</v>
      </c>
      <c r="K213" s="420">
        <f t="shared" si="131"/>
        <v>0</v>
      </c>
      <c r="L213" s="420">
        <f t="shared" si="131"/>
        <v>0</v>
      </c>
      <c r="M213" s="420">
        <f t="shared" si="131"/>
        <v>0</v>
      </c>
      <c r="N213" s="420">
        <f t="shared" si="131"/>
        <v>0</v>
      </c>
      <c r="O213" s="65" t="s">
        <v>3228</v>
      </c>
    </row>
    <row r="214" spans="1:15" s="65" customFormat="1">
      <c r="C214" s="65" t="s">
        <v>1386</v>
      </c>
      <c r="E214" s="420"/>
      <c r="F214" s="420"/>
      <c r="G214" s="420"/>
      <c r="H214" s="420"/>
      <c r="I214" s="420"/>
      <c r="J214" s="420"/>
      <c r="K214" s="420"/>
      <c r="L214" s="420"/>
      <c r="M214" s="420"/>
      <c r="N214" s="420"/>
    </row>
    <row r="215" spans="1:15">
      <c r="D215" t="s">
        <v>1387</v>
      </c>
      <c r="E215" s="419">
        <f t="shared" ref="E215:N215" si="132">calcQ1RevWriteDownExp</f>
        <v>0</v>
      </c>
      <c r="F215" s="419">
        <f t="shared" si="132"/>
        <v>0</v>
      </c>
      <c r="G215" s="419">
        <f t="shared" si="132"/>
        <v>0</v>
      </c>
      <c r="H215" s="419">
        <f t="shared" si="132"/>
        <v>0</v>
      </c>
      <c r="I215" s="419">
        <f t="shared" si="132"/>
        <v>0</v>
      </c>
      <c r="J215" s="419">
        <f t="shared" si="132"/>
        <v>0</v>
      </c>
      <c r="K215" s="419">
        <f t="shared" si="132"/>
        <v>0</v>
      </c>
      <c r="L215" s="419">
        <f t="shared" si="132"/>
        <v>0</v>
      </c>
      <c r="M215" s="419">
        <f t="shared" si="132"/>
        <v>0</v>
      </c>
      <c r="N215" s="419">
        <f t="shared" si="132"/>
        <v>0</v>
      </c>
      <c r="O215" t="s">
        <v>3229</v>
      </c>
    </row>
    <row r="216" spans="1:15">
      <c r="D216" t="s">
        <v>1389</v>
      </c>
      <c r="E216" s="419">
        <f t="shared" ref="E216:N216" si="133">calcQ2RevWriteDownExp</f>
        <v>0</v>
      </c>
      <c r="F216" s="419">
        <f t="shared" si="133"/>
        <v>0</v>
      </c>
      <c r="G216" s="419">
        <f t="shared" si="133"/>
        <v>0</v>
      </c>
      <c r="H216" s="419">
        <f t="shared" si="133"/>
        <v>0</v>
      </c>
      <c r="I216" s="419">
        <f t="shared" si="133"/>
        <v>0</v>
      </c>
      <c r="J216" s="419">
        <f t="shared" si="133"/>
        <v>0</v>
      </c>
      <c r="K216" s="419">
        <f t="shared" si="133"/>
        <v>0</v>
      </c>
      <c r="L216" s="419">
        <f t="shared" si="133"/>
        <v>0</v>
      </c>
      <c r="M216" s="419">
        <f t="shared" si="133"/>
        <v>0</v>
      </c>
      <c r="N216" s="419">
        <f t="shared" si="133"/>
        <v>0</v>
      </c>
      <c r="O216" t="s">
        <v>3230</v>
      </c>
    </row>
    <row r="217" spans="1:15">
      <c r="D217" t="s">
        <v>1391</v>
      </c>
      <c r="E217" s="419">
        <f t="shared" ref="E217:N217" si="134">calcQ3RevWriteDownExp</f>
        <v>0</v>
      </c>
      <c r="F217" s="419">
        <f t="shared" si="134"/>
        <v>0</v>
      </c>
      <c r="G217" s="419">
        <f t="shared" si="134"/>
        <v>0</v>
      </c>
      <c r="H217" s="419">
        <f t="shared" si="134"/>
        <v>0</v>
      </c>
      <c r="I217" s="419">
        <f t="shared" si="134"/>
        <v>0</v>
      </c>
      <c r="J217" s="419">
        <f t="shared" si="134"/>
        <v>0</v>
      </c>
      <c r="K217" s="419">
        <f t="shared" si="134"/>
        <v>0</v>
      </c>
      <c r="L217" s="419">
        <f t="shared" si="134"/>
        <v>0</v>
      </c>
      <c r="M217" s="419">
        <f t="shared" si="134"/>
        <v>0</v>
      </c>
      <c r="N217" s="419">
        <f t="shared" si="134"/>
        <v>0</v>
      </c>
      <c r="O217" t="s">
        <v>3231</v>
      </c>
    </row>
    <row r="218" spans="1:15">
      <c r="D218" t="s">
        <v>1393</v>
      </c>
      <c r="E218" s="419">
        <f t="shared" ref="E218:N218" si="135">calcQ4RevWriteDownExp</f>
        <v>0</v>
      </c>
      <c r="F218" s="419">
        <f t="shared" si="135"/>
        <v>0</v>
      </c>
      <c r="G218" s="419">
        <f t="shared" si="135"/>
        <v>0</v>
      </c>
      <c r="H218" s="419">
        <f t="shared" si="135"/>
        <v>0</v>
      </c>
      <c r="I218" s="419">
        <f t="shared" si="135"/>
        <v>0</v>
      </c>
      <c r="J218" s="419">
        <f t="shared" si="135"/>
        <v>0</v>
      </c>
      <c r="K218" s="419">
        <f t="shared" si="135"/>
        <v>0</v>
      </c>
      <c r="L218" s="419">
        <f t="shared" si="135"/>
        <v>0</v>
      </c>
      <c r="M218" s="419">
        <f t="shared" si="135"/>
        <v>0</v>
      </c>
      <c r="N218" s="419">
        <f t="shared" si="135"/>
        <v>0</v>
      </c>
      <c r="O218" t="s">
        <v>3232</v>
      </c>
    </row>
    <row r="219" spans="1:15" s="65" customFormat="1">
      <c r="D219" s="65" t="s">
        <v>1395</v>
      </c>
      <c r="E219" s="420">
        <f t="shared" ref="E219:N219" si="136">finQ1RevWriteDownExp+finQ2RevWriteDownExp+finQ3RevWriteDownExp+finQ4RevWriteDownExp</f>
        <v>0</v>
      </c>
      <c r="F219" s="420">
        <f t="shared" si="136"/>
        <v>0</v>
      </c>
      <c r="G219" s="420">
        <f t="shared" si="136"/>
        <v>0</v>
      </c>
      <c r="H219" s="420">
        <f t="shared" si="136"/>
        <v>0</v>
      </c>
      <c r="I219" s="420">
        <f t="shared" si="136"/>
        <v>0</v>
      </c>
      <c r="J219" s="420">
        <f t="shared" si="136"/>
        <v>0</v>
      </c>
      <c r="K219" s="420">
        <f t="shared" si="136"/>
        <v>0</v>
      </c>
      <c r="L219" s="420">
        <f t="shared" si="136"/>
        <v>0</v>
      </c>
      <c r="M219" s="420">
        <f t="shared" si="136"/>
        <v>0</v>
      </c>
      <c r="N219" s="420">
        <f t="shared" si="136"/>
        <v>0</v>
      </c>
      <c r="O219" s="65" t="s">
        <v>3233</v>
      </c>
    </row>
    <row r="220" spans="1:15">
      <c r="A220" s="65" t="s">
        <v>1148</v>
      </c>
      <c r="E220" s="419"/>
      <c r="F220" s="419"/>
      <c r="G220" s="419"/>
      <c r="H220" s="419"/>
      <c r="I220" s="419"/>
      <c r="J220" s="419"/>
      <c r="K220" s="419"/>
      <c r="L220" s="419"/>
      <c r="M220" s="419"/>
      <c r="N220" s="419"/>
    </row>
    <row r="221" spans="1:15">
      <c r="D221" t="s">
        <v>426</v>
      </c>
      <c r="E221" s="419">
        <f t="shared" ref="E221:N221" si="137">finAnnualOpProfit-finAnnualHarmExp-finAnnualITExp-finAnnualTrustExp-finAnnualOrg62Exp-finAnnualStackExp-finAnnualFullREExp-finAnnualRevWriteDownExp-finAnnualExternalSalesExp-finY1CSGExp-finY1BrandIntExp</f>
        <v>-28095668.678987436</v>
      </c>
      <c r="F221" s="419">
        <f t="shared" si="137"/>
        <v>-28095668.678987436</v>
      </c>
      <c r="G221" s="419">
        <f t="shared" si="137"/>
        <v>-28095668.678987436</v>
      </c>
      <c r="H221" s="419">
        <f t="shared" si="137"/>
        <v>-28095668.678987436</v>
      </c>
      <c r="I221" s="419">
        <f t="shared" si="137"/>
        <v>-28095668.678987436</v>
      </c>
      <c r="J221" s="419">
        <f t="shared" si="137"/>
        <v>-28095668.678987436</v>
      </c>
      <c r="K221" s="419">
        <f t="shared" si="137"/>
        <v>-28095668.678987436</v>
      </c>
      <c r="L221" s="419">
        <f t="shared" si="137"/>
        <v>-28095668.678987436</v>
      </c>
      <c r="M221" s="419">
        <f t="shared" si="137"/>
        <v>-28095668.678987436</v>
      </c>
      <c r="N221" s="419">
        <f t="shared" si="137"/>
        <v>-28095668.678987436</v>
      </c>
      <c r="O221" t="s">
        <v>3234</v>
      </c>
    </row>
    <row r="222" spans="1:15">
      <c r="D222" t="s">
        <v>967</v>
      </c>
      <c r="E222" s="442">
        <f t="shared" ref="E222:N222" si="138">finAnnualIntegratedOpProfit/FinAnnualRev</f>
        <v>-0.18999999999999992</v>
      </c>
      <c r="F222" s="442">
        <f t="shared" si="138"/>
        <v>-0.18999999999999992</v>
      </c>
      <c r="G222" s="442">
        <f t="shared" si="138"/>
        <v>-0.18999999999999992</v>
      </c>
      <c r="H222" s="442">
        <f t="shared" si="138"/>
        <v>-0.18999999999999992</v>
      </c>
      <c r="I222" s="442">
        <f t="shared" si="138"/>
        <v>-0.18999999999999992</v>
      </c>
      <c r="J222" s="442">
        <f t="shared" si="138"/>
        <v>-0.18999999999999992</v>
      </c>
      <c r="K222" s="442">
        <f t="shared" si="138"/>
        <v>-0.18999999999999992</v>
      </c>
      <c r="L222" s="442">
        <f t="shared" si="138"/>
        <v>-0.18999999999999992</v>
      </c>
      <c r="M222" s="442">
        <f t="shared" si="138"/>
        <v>-0.18999999999999992</v>
      </c>
      <c r="N222" s="442">
        <f t="shared" si="138"/>
        <v>-0.18999999999999992</v>
      </c>
      <c r="O222" t="s">
        <v>3235</v>
      </c>
    </row>
    <row r="223" spans="1:15">
      <c r="E223" s="419"/>
      <c r="F223" s="419"/>
      <c r="G223" s="419"/>
      <c r="H223" s="419"/>
      <c r="I223" s="419"/>
      <c r="J223" s="419"/>
      <c r="K223" s="419"/>
      <c r="L223" s="419"/>
      <c r="M223" s="419"/>
      <c r="N223" s="419"/>
    </row>
    <row r="224" spans="1:15" s="69" customFormat="1">
      <c r="B224" s="69" t="s">
        <v>690</v>
      </c>
      <c r="E224" s="417"/>
      <c r="F224" s="417"/>
      <c r="G224" s="417"/>
      <c r="H224" s="417"/>
      <c r="I224" s="417"/>
      <c r="J224" s="417"/>
      <c r="K224" s="417"/>
      <c r="L224" s="417"/>
      <c r="M224" s="417"/>
      <c r="N224" s="417"/>
    </row>
    <row r="225" spans="3:15" s="69" customFormat="1">
      <c r="C225" s="217" t="s">
        <v>140</v>
      </c>
      <c r="E225" s="417"/>
      <c r="F225" s="417"/>
      <c r="G225" s="417"/>
      <c r="H225" s="417"/>
      <c r="I225" s="417"/>
      <c r="J225" s="417"/>
      <c r="K225" s="417"/>
      <c r="L225" s="417"/>
      <c r="M225" s="417"/>
      <c r="N225" s="417"/>
    </row>
    <row r="226" spans="3:15" s="410" customFormat="1">
      <c r="D226" s="410" t="s">
        <v>1544</v>
      </c>
      <c r="E226" s="418">
        <f t="shared" ref="E226:N226" si="139">calcY2Q1Rev</f>
        <v>47751016.926157117</v>
      </c>
      <c r="F226" s="418">
        <f t="shared" si="139"/>
        <v>47751016.926157117</v>
      </c>
      <c r="G226" s="418">
        <f t="shared" si="139"/>
        <v>47751016.926157117</v>
      </c>
      <c r="H226" s="418">
        <f t="shared" si="139"/>
        <v>47751016.926157117</v>
      </c>
      <c r="I226" s="418">
        <f t="shared" si="139"/>
        <v>47751016.926157117</v>
      </c>
      <c r="J226" s="418">
        <f t="shared" si="139"/>
        <v>47751016.926157117</v>
      </c>
      <c r="K226" s="418">
        <f t="shared" si="139"/>
        <v>47751016.926157117</v>
      </c>
      <c r="L226" s="418">
        <f t="shared" si="139"/>
        <v>47751016.926157117</v>
      </c>
      <c r="M226" s="418">
        <f t="shared" si="139"/>
        <v>47751016.926157117</v>
      </c>
      <c r="N226" s="418">
        <f t="shared" si="139"/>
        <v>47751016.926157117</v>
      </c>
      <c r="O226" s="410" t="s">
        <v>3236</v>
      </c>
    </row>
    <row r="227" spans="3:15" s="410" customFormat="1">
      <c r="D227" s="410" t="s">
        <v>1565</v>
      </c>
      <c r="E227" s="418">
        <f t="shared" ref="E227:N227" si="140">calcY2Q2Rev</f>
        <v>51348833.619274132</v>
      </c>
      <c r="F227" s="418">
        <f t="shared" si="140"/>
        <v>51348833.619274132</v>
      </c>
      <c r="G227" s="418">
        <f t="shared" si="140"/>
        <v>51348833.619274132</v>
      </c>
      <c r="H227" s="418">
        <f t="shared" si="140"/>
        <v>51348833.619274132</v>
      </c>
      <c r="I227" s="418">
        <f t="shared" si="140"/>
        <v>51348833.619274132</v>
      </c>
      <c r="J227" s="418">
        <f t="shared" si="140"/>
        <v>51348833.619274132</v>
      </c>
      <c r="K227" s="418">
        <f t="shared" si="140"/>
        <v>51348833.619274132</v>
      </c>
      <c r="L227" s="418">
        <f t="shared" si="140"/>
        <v>51348833.619274132</v>
      </c>
      <c r="M227" s="418">
        <f t="shared" si="140"/>
        <v>51348833.619274132</v>
      </c>
      <c r="N227" s="418">
        <f t="shared" si="140"/>
        <v>51348833.619274132</v>
      </c>
      <c r="O227" s="410" t="s">
        <v>3237</v>
      </c>
    </row>
    <row r="228" spans="3:15" s="410" customFormat="1">
      <c r="D228" s="410" t="s">
        <v>1586</v>
      </c>
      <c r="E228" s="418">
        <f t="shared" ref="E228:N228" si="141">calcY2Q3Rev</f>
        <v>56908390.58385019</v>
      </c>
      <c r="F228" s="418">
        <f t="shared" si="141"/>
        <v>56908390.58385019</v>
      </c>
      <c r="G228" s="418">
        <f t="shared" si="141"/>
        <v>56908390.58385019</v>
      </c>
      <c r="H228" s="418">
        <f t="shared" si="141"/>
        <v>56908390.58385019</v>
      </c>
      <c r="I228" s="418">
        <f t="shared" si="141"/>
        <v>56908390.58385019</v>
      </c>
      <c r="J228" s="418">
        <f t="shared" si="141"/>
        <v>56908390.58385019</v>
      </c>
      <c r="K228" s="418">
        <f t="shared" si="141"/>
        <v>56908390.58385019</v>
      </c>
      <c r="L228" s="418">
        <f t="shared" si="141"/>
        <v>56908390.58385019</v>
      </c>
      <c r="M228" s="418">
        <f t="shared" si="141"/>
        <v>56908390.58385019</v>
      </c>
      <c r="N228" s="418">
        <f t="shared" si="141"/>
        <v>56908390.58385019</v>
      </c>
      <c r="O228" s="410" t="s">
        <v>3238</v>
      </c>
    </row>
    <row r="229" spans="3:15" s="410" customFormat="1">
      <c r="D229" s="410" t="s">
        <v>1607</v>
      </c>
      <c r="E229" s="418">
        <f t="shared" ref="E229:N229" si="142">calcY2Q4Rev</f>
        <v>65083231.854531035</v>
      </c>
      <c r="F229" s="418">
        <f t="shared" si="142"/>
        <v>65083231.854531035</v>
      </c>
      <c r="G229" s="418">
        <f t="shared" si="142"/>
        <v>65083231.854531035</v>
      </c>
      <c r="H229" s="418">
        <f t="shared" si="142"/>
        <v>65083231.854531035</v>
      </c>
      <c r="I229" s="418">
        <f t="shared" si="142"/>
        <v>65083231.854531035</v>
      </c>
      <c r="J229" s="418">
        <f t="shared" si="142"/>
        <v>65083231.854531035</v>
      </c>
      <c r="K229" s="418">
        <f t="shared" si="142"/>
        <v>65083231.854531035</v>
      </c>
      <c r="L229" s="418">
        <f t="shared" si="142"/>
        <v>65083231.854531035</v>
      </c>
      <c r="M229" s="418">
        <f t="shared" si="142"/>
        <v>65083231.854531035</v>
      </c>
      <c r="N229" s="418">
        <f t="shared" si="142"/>
        <v>65083231.854531035</v>
      </c>
      <c r="O229" s="410" t="s">
        <v>3239</v>
      </c>
    </row>
    <row r="230" spans="3:15">
      <c r="D230" s="217" t="s">
        <v>492</v>
      </c>
      <c r="E230" s="419">
        <f t="shared" ref="E230:N230" si="143">finY2Q1Rev+finY2Q2Rev+finY2Q3Rev+finY2Q4Rev</f>
        <v>221091472.98381251</v>
      </c>
      <c r="F230" s="419">
        <f t="shared" si="143"/>
        <v>221091472.98381251</v>
      </c>
      <c r="G230" s="419">
        <f t="shared" si="143"/>
        <v>221091472.98381251</v>
      </c>
      <c r="H230" s="419">
        <f t="shared" si="143"/>
        <v>221091472.98381251</v>
      </c>
      <c r="I230" s="419">
        <f t="shared" si="143"/>
        <v>221091472.98381251</v>
      </c>
      <c r="J230" s="419">
        <f t="shared" si="143"/>
        <v>221091472.98381251</v>
      </c>
      <c r="K230" s="419">
        <f t="shared" si="143"/>
        <v>221091472.98381251</v>
      </c>
      <c r="L230" s="419">
        <f t="shared" si="143"/>
        <v>221091472.98381251</v>
      </c>
      <c r="M230" s="419">
        <f t="shared" si="143"/>
        <v>221091472.98381251</v>
      </c>
      <c r="N230" s="419">
        <f t="shared" si="143"/>
        <v>221091472.98381251</v>
      </c>
      <c r="O230" s="410" t="s">
        <v>3240</v>
      </c>
    </row>
    <row r="231" spans="3:15">
      <c r="D231" s="217"/>
      <c r="E231" s="419"/>
      <c r="F231" s="777"/>
      <c r="G231" s="419"/>
      <c r="H231" s="419"/>
      <c r="I231" s="419"/>
      <c r="J231" s="419"/>
      <c r="K231" s="419"/>
      <c r="L231" s="419"/>
      <c r="M231" s="419"/>
      <c r="N231" s="419"/>
      <c r="O231" s="410"/>
    </row>
    <row r="232" spans="3:15">
      <c r="C232" s="65" t="s">
        <v>434</v>
      </c>
      <c r="E232" s="419"/>
      <c r="F232" s="419"/>
      <c r="G232" s="419"/>
      <c r="H232" s="419"/>
      <c r="I232" s="419"/>
      <c r="J232" s="419"/>
      <c r="K232" s="419"/>
      <c r="L232" s="419"/>
      <c r="M232" s="419"/>
      <c r="N232" s="419"/>
    </row>
    <row r="233" spans="3:15">
      <c r="D233" s="410" t="s">
        <v>1546</v>
      </c>
      <c r="E233" s="419">
        <f t="shared" ref="E233:N233" si="144">finY2Q1Rev*calcY2Q1COSPerc</f>
        <v>9550203.3852314241</v>
      </c>
      <c r="F233" s="419">
        <f t="shared" si="144"/>
        <v>9550203.3852314241</v>
      </c>
      <c r="G233" s="419">
        <f t="shared" si="144"/>
        <v>9550203.3852314241</v>
      </c>
      <c r="H233" s="419">
        <f t="shared" si="144"/>
        <v>9550203.3852314241</v>
      </c>
      <c r="I233" s="419">
        <f t="shared" si="144"/>
        <v>9550203.3852314241</v>
      </c>
      <c r="J233" s="419">
        <f t="shared" si="144"/>
        <v>9550203.3852314241</v>
      </c>
      <c r="K233" s="419">
        <f t="shared" si="144"/>
        <v>9550203.3852314241</v>
      </c>
      <c r="L233" s="419">
        <f t="shared" si="144"/>
        <v>9550203.3852314241</v>
      </c>
      <c r="M233" s="419">
        <f t="shared" si="144"/>
        <v>9550203.3852314241</v>
      </c>
      <c r="N233" s="419">
        <f t="shared" si="144"/>
        <v>9550203.3852314241</v>
      </c>
      <c r="O233" s="410" t="s">
        <v>3241</v>
      </c>
    </row>
    <row r="234" spans="3:15">
      <c r="D234" s="410" t="s">
        <v>1567</v>
      </c>
      <c r="E234" s="419">
        <f t="shared" ref="E234:N234" si="145">finY2Q2Rev*calcY2Q2COSPerc</f>
        <v>10269766.723854827</v>
      </c>
      <c r="F234" s="419">
        <f t="shared" si="145"/>
        <v>10269766.723854827</v>
      </c>
      <c r="G234" s="419">
        <f t="shared" si="145"/>
        <v>10269766.723854827</v>
      </c>
      <c r="H234" s="419">
        <f t="shared" si="145"/>
        <v>10269766.723854827</v>
      </c>
      <c r="I234" s="419">
        <f t="shared" si="145"/>
        <v>10269766.723854827</v>
      </c>
      <c r="J234" s="419">
        <f t="shared" si="145"/>
        <v>10269766.723854827</v>
      </c>
      <c r="K234" s="419">
        <f t="shared" si="145"/>
        <v>10269766.723854827</v>
      </c>
      <c r="L234" s="419">
        <f t="shared" si="145"/>
        <v>10269766.723854827</v>
      </c>
      <c r="M234" s="419">
        <f t="shared" si="145"/>
        <v>10269766.723854827</v>
      </c>
      <c r="N234" s="419">
        <f t="shared" si="145"/>
        <v>10269766.723854827</v>
      </c>
      <c r="O234" s="410" t="s">
        <v>3242</v>
      </c>
    </row>
    <row r="235" spans="3:15">
      <c r="D235" s="410" t="s">
        <v>1588</v>
      </c>
      <c r="E235" s="419">
        <f t="shared" ref="E235:N235" si="146">finY2Q3Rev*calcY2Q3COSPerc</f>
        <v>11381678.116770038</v>
      </c>
      <c r="F235" s="419">
        <f t="shared" si="146"/>
        <v>11381678.116770038</v>
      </c>
      <c r="G235" s="419">
        <f t="shared" si="146"/>
        <v>11381678.116770038</v>
      </c>
      <c r="H235" s="419">
        <f t="shared" si="146"/>
        <v>11381678.116770038</v>
      </c>
      <c r="I235" s="419">
        <f t="shared" si="146"/>
        <v>11381678.116770038</v>
      </c>
      <c r="J235" s="419">
        <f t="shared" si="146"/>
        <v>11381678.116770038</v>
      </c>
      <c r="K235" s="419">
        <f t="shared" si="146"/>
        <v>11381678.116770038</v>
      </c>
      <c r="L235" s="419">
        <f t="shared" si="146"/>
        <v>11381678.116770038</v>
      </c>
      <c r="M235" s="419">
        <f t="shared" si="146"/>
        <v>11381678.116770038</v>
      </c>
      <c r="N235" s="419">
        <f t="shared" si="146"/>
        <v>11381678.116770038</v>
      </c>
      <c r="O235" s="410" t="s">
        <v>3243</v>
      </c>
    </row>
    <row r="236" spans="3:15">
      <c r="D236" s="410" t="s">
        <v>1609</v>
      </c>
      <c r="E236" s="419">
        <f t="shared" ref="E236:N236" si="147">finY2Q4Rev*calcY2Q4COSPerc</f>
        <v>13016646.370906208</v>
      </c>
      <c r="F236" s="419">
        <f t="shared" si="147"/>
        <v>13016646.370906208</v>
      </c>
      <c r="G236" s="419">
        <f t="shared" si="147"/>
        <v>13016646.370906208</v>
      </c>
      <c r="H236" s="419">
        <f t="shared" si="147"/>
        <v>13016646.370906208</v>
      </c>
      <c r="I236" s="419">
        <f t="shared" si="147"/>
        <v>13016646.370906208</v>
      </c>
      <c r="J236" s="419">
        <f t="shared" si="147"/>
        <v>13016646.370906208</v>
      </c>
      <c r="K236" s="419">
        <f t="shared" si="147"/>
        <v>13016646.370906208</v>
      </c>
      <c r="L236" s="419">
        <f t="shared" si="147"/>
        <v>13016646.370906208</v>
      </c>
      <c r="M236" s="419">
        <f t="shared" si="147"/>
        <v>13016646.370906208</v>
      </c>
      <c r="N236" s="419">
        <f t="shared" si="147"/>
        <v>13016646.370906208</v>
      </c>
      <c r="O236" s="410" t="s">
        <v>3244</v>
      </c>
    </row>
    <row r="237" spans="3:15" s="65" customFormat="1">
      <c r="D237" s="217" t="s">
        <v>930</v>
      </c>
      <c r="E237" s="420">
        <f t="shared" ref="E237:N237" si="148">finY2Q1COS+finY2Q2COS+finY2Q3COS+finY2Q4COS</f>
        <v>44218294.596762493</v>
      </c>
      <c r="F237" s="420">
        <f t="shared" si="148"/>
        <v>44218294.596762493</v>
      </c>
      <c r="G237" s="420">
        <f t="shared" si="148"/>
        <v>44218294.596762493</v>
      </c>
      <c r="H237" s="420">
        <f t="shared" si="148"/>
        <v>44218294.596762493</v>
      </c>
      <c r="I237" s="420">
        <f t="shared" si="148"/>
        <v>44218294.596762493</v>
      </c>
      <c r="J237" s="420">
        <f t="shared" si="148"/>
        <v>44218294.596762493</v>
      </c>
      <c r="K237" s="420">
        <f t="shared" si="148"/>
        <v>44218294.596762493</v>
      </c>
      <c r="L237" s="420">
        <f t="shared" si="148"/>
        <v>44218294.596762493</v>
      </c>
      <c r="M237" s="420">
        <f t="shared" si="148"/>
        <v>44218294.596762493</v>
      </c>
      <c r="N237" s="420">
        <f t="shared" si="148"/>
        <v>44218294.596762493</v>
      </c>
      <c r="O237" s="217" t="s">
        <v>3245</v>
      </c>
    </row>
    <row r="238" spans="3:15">
      <c r="E238" s="419"/>
      <c r="F238" s="419"/>
      <c r="G238" s="419"/>
      <c r="H238" s="419"/>
      <c r="I238" s="419"/>
      <c r="J238" s="419"/>
      <c r="K238" s="419"/>
      <c r="L238" s="419"/>
      <c r="M238" s="419"/>
      <c r="N238" s="419"/>
    </row>
    <row r="239" spans="3:15">
      <c r="C239" t="s">
        <v>237</v>
      </c>
      <c r="E239" s="420">
        <f t="shared" ref="E239:N239" si="149">FinY2AnnualRev-finY2AnnualCOS</f>
        <v>176873178.38705003</v>
      </c>
      <c r="F239" s="420">
        <f t="shared" si="149"/>
        <v>176873178.38705003</v>
      </c>
      <c r="G239" s="420">
        <f t="shared" si="149"/>
        <v>176873178.38705003</v>
      </c>
      <c r="H239" s="420">
        <f t="shared" si="149"/>
        <v>176873178.38705003</v>
      </c>
      <c r="I239" s="420">
        <f t="shared" si="149"/>
        <v>176873178.38705003</v>
      </c>
      <c r="J239" s="420">
        <f t="shared" si="149"/>
        <v>176873178.38705003</v>
      </c>
      <c r="K239" s="420">
        <f t="shared" si="149"/>
        <v>176873178.38705003</v>
      </c>
      <c r="L239" s="420">
        <f t="shared" si="149"/>
        <v>176873178.38705003</v>
      </c>
      <c r="M239" s="420">
        <f t="shared" si="149"/>
        <v>176873178.38705003</v>
      </c>
      <c r="N239" s="420">
        <f t="shared" si="149"/>
        <v>176873178.38705003</v>
      </c>
      <c r="O239" s="410" t="s">
        <v>3246</v>
      </c>
    </row>
    <row r="240" spans="3:15" s="295" customFormat="1">
      <c r="D240" s="421" t="s">
        <v>967</v>
      </c>
      <c r="E240" s="422">
        <f t="shared" ref="E240:N240" si="150">finAnnualGrossProfit/FinAnnualRev</f>
        <v>0.8</v>
      </c>
      <c r="F240" s="422">
        <f t="shared" si="150"/>
        <v>0.8</v>
      </c>
      <c r="G240" s="422">
        <f t="shared" si="150"/>
        <v>0.8</v>
      </c>
      <c r="H240" s="422">
        <f t="shared" si="150"/>
        <v>0.8</v>
      </c>
      <c r="I240" s="422">
        <f t="shared" si="150"/>
        <v>0.8</v>
      </c>
      <c r="J240" s="422">
        <f t="shared" si="150"/>
        <v>0.8</v>
      </c>
      <c r="K240" s="422">
        <f t="shared" si="150"/>
        <v>0.8</v>
      </c>
      <c r="L240" s="422">
        <f t="shared" si="150"/>
        <v>0.8</v>
      </c>
      <c r="M240" s="422">
        <f t="shared" si="150"/>
        <v>0.8</v>
      </c>
      <c r="N240" s="422">
        <f t="shared" si="150"/>
        <v>0.8</v>
      </c>
      <c r="O240" s="423" t="s">
        <v>3247</v>
      </c>
    </row>
    <row r="241" spans="1:15" s="295" customFormat="1">
      <c r="D241" s="421"/>
      <c r="E241" s="422"/>
      <c r="F241" s="422"/>
      <c r="G241" s="422"/>
      <c r="H241" s="422"/>
      <c r="I241" s="422"/>
      <c r="J241" s="422"/>
      <c r="K241" s="422"/>
      <c r="L241" s="422"/>
      <c r="M241" s="422"/>
      <c r="N241" s="422"/>
      <c r="O241" s="423"/>
    </row>
    <row r="242" spans="1:15">
      <c r="A242" s="65" t="s">
        <v>422</v>
      </c>
      <c r="E242" s="419"/>
      <c r="F242" s="419"/>
      <c r="G242" s="419"/>
      <c r="H242" s="419"/>
      <c r="I242" s="419"/>
      <c r="J242" s="419"/>
      <c r="K242" s="419"/>
      <c r="L242" s="419"/>
      <c r="M242" s="419"/>
      <c r="N242" s="419"/>
    </row>
    <row r="243" spans="1:15">
      <c r="C243" t="s">
        <v>936</v>
      </c>
      <c r="E243" s="419"/>
      <c r="F243" s="419"/>
      <c r="G243" s="419"/>
      <c r="H243" s="419"/>
      <c r="I243" s="419"/>
      <c r="J243" s="419"/>
      <c r="K243" s="419"/>
      <c r="L243" s="419"/>
      <c r="M243" s="419"/>
      <c r="N243" s="419"/>
    </row>
    <row r="244" spans="1:15">
      <c r="D244" t="s">
        <v>1548</v>
      </c>
      <c r="E244" s="419">
        <f t="shared" ref="E244:N244" si="151">calcY2Q1MSExp</f>
        <v>20938532.520494912</v>
      </c>
      <c r="F244" s="419">
        <f t="shared" si="151"/>
        <v>20938532.520494912</v>
      </c>
      <c r="G244" s="419">
        <f t="shared" si="151"/>
        <v>20938532.520494912</v>
      </c>
      <c r="H244" s="419">
        <f t="shared" si="151"/>
        <v>20938532.520494912</v>
      </c>
      <c r="I244" s="419">
        <f t="shared" si="151"/>
        <v>20938532.520494912</v>
      </c>
      <c r="J244" s="419">
        <f t="shared" si="151"/>
        <v>20938532.520494912</v>
      </c>
      <c r="K244" s="419">
        <f t="shared" si="151"/>
        <v>20938532.520494912</v>
      </c>
      <c r="L244" s="419">
        <f t="shared" si="151"/>
        <v>20938532.520494912</v>
      </c>
      <c r="M244" s="419">
        <f t="shared" si="151"/>
        <v>20938532.520494912</v>
      </c>
      <c r="N244" s="419">
        <f t="shared" si="151"/>
        <v>20938532.520494912</v>
      </c>
      <c r="O244" t="s">
        <v>3248</v>
      </c>
    </row>
    <row r="245" spans="1:15">
      <c r="D245" t="s">
        <v>1569</v>
      </c>
      <c r="E245" s="419">
        <f t="shared" ref="E245:N245" si="152">calcY2Q2MSExp</f>
        <v>22432058.463509578</v>
      </c>
      <c r="F245" s="419">
        <f t="shared" si="152"/>
        <v>22432058.463509578</v>
      </c>
      <c r="G245" s="419">
        <f t="shared" si="152"/>
        <v>22432058.463509578</v>
      </c>
      <c r="H245" s="419">
        <f t="shared" si="152"/>
        <v>22432058.463509578</v>
      </c>
      <c r="I245" s="419">
        <f t="shared" si="152"/>
        <v>22432058.463509578</v>
      </c>
      <c r="J245" s="419">
        <f t="shared" si="152"/>
        <v>22432058.463509578</v>
      </c>
      <c r="K245" s="419">
        <f t="shared" si="152"/>
        <v>22432058.463509578</v>
      </c>
      <c r="L245" s="419">
        <f t="shared" si="152"/>
        <v>22432058.463509578</v>
      </c>
      <c r="M245" s="419">
        <f t="shared" si="152"/>
        <v>22432058.463509578</v>
      </c>
      <c r="N245" s="419">
        <f t="shared" si="152"/>
        <v>22432058.463509578</v>
      </c>
      <c r="O245" t="s">
        <v>3249</v>
      </c>
    </row>
    <row r="246" spans="1:15">
      <c r="D246" t="s">
        <v>1590</v>
      </c>
      <c r="E246" s="419">
        <f t="shared" ref="E246:N246" si="153">calcY2Q3MSExp</f>
        <v>24867468.254377756</v>
      </c>
      <c r="F246" s="419">
        <f t="shared" si="153"/>
        <v>24867468.254377756</v>
      </c>
      <c r="G246" s="419">
        <f t="shared" si="153"/>
        <v>24867468.254377756</v>
      </c>
      <c r="H246" s="419">
        <f t="shared" si="153"/>
        <v>24867468.254377756</v>
      </c>
      <c r="I246" s="419">
        <f t="shared" si="153"/>
        <v>24867468.254377756</v>
      </c>
      <c r="J246" s="419">
        <f t="shared" si="153"/>
        <v>24867468.254377756</v>
      </c>
      <c r="K246" s="419">
        <f t="shared" si="153"/>
        <v>24867468.254377756</v>
      </c>
      <c r="L246" s="419">
        <f t="shared" si="153"/>
        <v>24867468.254377756</v>
      </c>
      <c r="M246" s="419">
        <f t="shared" si="153"/>
        <v>24867468.254377756</v>
      </c>
      <c r="N246" s="419">
        <f t="shared" si="153"/>
        <v>24867468.254377756</v>
      </c>
      <c r="O246" t="s">
        <v>3250</v>
      </c>
    </row>
    <row r="247" spans="1:15">
      <c r="D247" t="s">
        <v>1611</v>
      </c>
      <c r="E247" s="419">
        <f t="shared" ref="E247:N247" si="154">calcY2Q4MSExp</f>
        <v>28514311.318730175</v>
      </c>
      <c r="F247" s="419">
        <f t="shared" si="154"/>
        <v>28514311.318730175</v>
      </c>
      <c r="G247" s="419">
        <f t="shared" si="154"/>
        <v>28514311.318730175</v>
      </c>
      <c r="H247" s="419">
        <f t="shared" si="154"/>
        <v>28514311.318730175</v>
      </c>
      <c r="I247" s="419">
        <f t="shared" si="154"/>
        <v>28514311.318730175</v>
      </c>
      <c r="J247" s="419">
        <f t="shared" si="154"/>
        <v>28514311.318730175</v>
      </c>
      <c r="K247" s="419">
        <f t="shared" si="154"/>
        <v>28514311.318730175</v>
      </c>
      <c r="L247" s="419">
        <f t="shared" si="154"/>
        <v>28514311.318730175</v>
      </c>
      <c r="M247" s="419">
        <f t="shared" si="154"/>
        <v>28514311.318730175</v>
      </c>
      <c r="N247" s="419">
        <f t="shared" si="154"/>
        <v>28514311.318730175</v>
      </c>
      <c r="O247" t="s">
        <v>3251</v>
      </c>
    </row>
    <row r="248" spans="1:15" s="65" customFormat="1">
      <c r="D248" s="65" t="s">
        <v>949</v>
      </c>
      <c r="E248" s="420">
        <f t="shared" ref="E248:N248" si="155">finY2Q1MSExp+finY2Q2MSExp+finY2Q3MSExp+finY2Q4MSExp</f>
        <v>96752370.557112426</v>
      </c>
      <c r="F248" s="420">
        <f t="shared" si="155"/>
        <v>96752370.557112426</v>
      </c>
      <c r="G248" s="420">
        <f t="shared" si="155"/>
        <v>96752370.557112426</v>
      </c>
      <c r="H248" s="420">
        <f t="shared" si="155"/>
        <v>96752370.557112426</v>
      </c>
      <c r="I248" s="420">
        <f t="shared" si="155"/>
        <v>96752370.557112426</v>
      </c>
      <c r="J248" s="420">
        <f t="shared" si="155"/>
        <v>96752370.557112426</v>
      </c>
      <c r="K248" s="420">
        <f t="shared" si="155"/>
        <v>96752370.557112426</v>
      </c>
      <c r="L248" s="420">
        <f t="shared" si="155"/>
        <v>96752370.557112426</v>
      </c>
      <c r="M248" s="420">
        <f t="shared" si="155"/>
        <v>96752370.557112426</v>
      </c>
      <c r="N248" s="420">
        <f t="shared" si="155"/>
        <v>96752370.557112426</v>
      </c>
      <c r="O248" s="65" t="s">
        <v>3252</v>
      </c>
    </row>
    <row r="249" spans="1:15">
      <c r="C249" t="s">
        <v>424</v>
      </c>
      <c r="E249" s="419"/>
      <c r="F249" s="419"/>
      <c r="G249" s="419"/>
      <c r="H249" s="419"/>
      <c r="I249" s="419"/>
      <c r="J249" s="419"/>
      <c r="K249" s="419"/>
      <c r="L249" s="419"/>
      <c r="M249" s="419"/>
      <c r="N249" s="419"/>
    </row>
    <row r="250" spans="1:15">
      <c r="D250" t="s">
        <v>1550</v>
      </c>
      <c r="E250" s="419">
        <f t="shared" ref="E250:N250" si="156">calcY2Q1RDExp</f>
        <v>15668609.728819789</v>
      </c>
      <c r="F250" s="419">
        <f t="shared" si="156"/>
        <v>15668609.728819789</v>
      </c>
      <c r="G250" s="419">
        <f t="shared" si="156"/>
        <v>15668609.728819789</v>
      </c>
      <c r="H250" s="419">
        <f t="shared" si="156"/>
        <v>15668609.728819789</v>
      </c>
      <c r="I250" s="419">
        <f t="shared" si="156"/>
        <v>15668609.728819789</v>
      </c>
      <c r="J250" s="419">
        <f t="shared" si="156"/>
        <v>15668609.728819789</v>
      </c>
      <c r="K250" s="419">
        <f t="shared" si="156"/>
        <v>15668609.728819789</v>
      </c>
      <c r="L250" s="419">
        <f t="shared" si="156"/>
        <v>15668609.728819789</v>
      </c>
      <c r="M250" s="419">
        <f t="shared" si="156"/>
        <v>15668609.728819789</v>
      </c>
      <c r="N250" s="419">
        <f t="shared" si="156"/>
        <v>15668609.728819789</v>
      </c>
      <c r="O250" t="s">
        <v>3253</v>
      </c>
    </row>
    <row r="251" spans="1:15">
      <c r="D251" t="s">
        <v>1571</v>
      </c>
      <c r="E251" s="419">
        <f t="shared" ref="E251:N251" si="157">calcY2Q2RDExp</f>
        <v>16786237.007525142</v>
      </c>
      <c r="F251" s="419">
        <f t="shared" si="157"/>
        <v>16786237.007525142</v>
      </c>
      <c r="G251" s="419">
        <f t="shared" si="157"/>
        <v>16786237.007525142</v>
      </c>
      <c r="H251" s="419">
        <f t="shared" si="157"/>
        <v>16786237.007525142</v>
      </c>
      <c r="I251" s="419">
        <f t="shared" si="157"/>
        <v>16786237.007525142</v>
      </c>
      <c r="J251" s="419">
        <f t="shared" si="157"/>
        <v>16786237.007525142</v>
      </c>
      <c r="K251" s="419">
        <f t="shared" si="157"/>
        <v>16786237.007525142</v>
      </c>
      <c r="L251" s="419">
        <f t="shared" si="157"/>
        <v>16786237.007525142</v>
      </c>
      <c r="M251" s="419">
        <f t="shared" si="157"/>
        <v>16786237.007525142</v>
      </c>
      <c r="N251" s="419">
        <f t="shared" si="157"/>
        <v>16786237.007525142</v>
      </c>
      <c r="O251" t="s">
        <v>3254</v>
      </c>
    </row>
    <row r="252" spans="1:15">
      <c r="D252" t="s">
        <v>1592</v>
      </c>
      <c r="E252" s="419">
        <f t="shared" ref="E252:N252" si="158">calcY2Q3RDExp</f>
        <v>18608689.727433246</v>
      </c>
      <c r="F252" s="419">
        <f t="shared" si="158"/>
        <v>18608689.727433246</v>
      </c>
      <c r="G252" s="419">
        <f t="shared" si="158"/>
        <v>18608689.727433246</v>
      </c>
      <c r="H252" s="419">
        <f t="shared" si="158"/>
        <v>18608689.727433246</v>
      </c>
      <c r="I252" s="419">
        <f t="shared" si="158"/>
        <v>18608689.727433246</v>
      </c>
      <c r="J252" s="419">
        <f t="shared" si="158"/>
        <v>18608689.727433246</v>
      </c>
      <c r="K252" s="419">
        <f t="shared" si="158"/>
        <v>18608689.727433246</v>
      </c>
      <c r="L252" s="419">
        <f t="shared" si="158"/>
        <v>18608689.727433246</v>
      </c>
      <c r="M252" s="419">
        <f t="shared" si="158"/>
        <v>18608689.727433246</v>
      </c>
      <c r="N252" s="419">
        <f t="shared" si="158"/>
        <v>18608689.727433246</v>
      </c>
      <c r="O252" t="s">
        <v>3255</v>
      </c>
    </row>
    <row r="253" spans="1:15">
      <c r="D253" t="s">
        <v>1613</v>
      </c>
      <c r="E253" s="419">
        <f t="shared" ref="E253:N253" si="159">calcY2Q4RDExp</f>
        <v>21337675.660982355</v>
      </c>
      <c r="F253" s="419">
        <f t="shared" si="159"/>
        <v>21337675.660982355</v>
      </c>
      <c r="G253" s="419">
        <f t="shared" si="159"/>
        <v>21337675.660982355</v>
      </c>
      <c r="H253" s="419">
        <f t="shared" si="159"/>
        <v>21337675.660982355</v>
      </c>
      <c r="I253" s="419">
        <f t="shared" si="159"/>
        <v>21337675.660982355</v>
      </c>
      <c r="J253" s="419">
        <f t="shared" si="159"/>
        <v>21337675.660982355</v>
      </c>
      <c r="K253" s="419">
        <f t="shared" si="159"/>
        <v>21337675.660982355</v>
      </c>
      <c r="L253" s="419">
        <f t="shared" si="159"/>
        <v>21337675.660982355</v>
      </c>
      <c r="M253" s="419">
        <f t="shared" si="159"/>
        <v>21337675.660982355</v>
      </c>
      <c r="N253" s="419">
        <f t="shared" si="159"/>
        <v>21337675.660982355</v>
      </c>
      <c r="O253" t="s">
        <v>3256</v>
      </c>
    </row>
    <row r="254" spans="1:15" s="65" customFormat="1">
      <c r="D254" s="65" t="s">
        <v>1109</v>
      </c>
      <c r="E254" s="420">
        <f t="shared" ref="E254:N254" si="160">finY2Q1RDExp+finY2Q2RDExp+finY2Q3RDExp+finY2Q4RDExp</f>
        <v>72401212.124760538</v>
      </c>
      <c r="F254" s="420">
        <f t="shared" si="160"/>
        <v>72401212.124760538</v>
      </c>
      <c r="G254" s="420">
        <f t="shared" si="160"/>
        <v>72401212.124760538</v>
      </c>
      <c r="H254" s="420">
        <f t="shared" si="160"/>
        <v>72401212.124760538</v>
      </c>
      <c r="I254" s="420">
        <f t="shared" si="160"/>
        <v>72401212.124760538</v>
      </c>
      <c r="J254" s="420">
        <f t="shared" si="160"/>
        <v>72401212.124760538</v>
      </c>
      <c r="K254" s="420">
        <f t="shared" si="160"/>
        <v>72401212.124760538</v>
      </c>
      <c r="L254" s="420">
        <f t="shared" si="160"/>
        <v>72401212.124760538</v>
      </c>
      <c r="M254" s="420">
        <f t="shared" si="160"/>
        <v>72401212.124760538</v>
      </c>
      <c r="N254" s="420">
        <f t="shared" si="160"/>
        <v>72401212.124760538</v>
      </c>
      <c r="O254" s="65" t="s">
        <v>3257</v>
      </c>
    </row>
    <row r="255" spans="1:15">
      <c r="C255" t="s">
        <v>403</v>
      </c>
      <c r="E255" s="419"/>
      <c r="F255" s="419"/>
      <c r="G255" s="419"/>
      <c r="H255" s="419"/>
      <c r="I255" s="419"/>
      <c r="J255" s="419"/>
      <c r="K255" s="419"/>
      <c r="L255" s="419"/>
      <c r="M255" s="419"/>
      <c r="N255" s="419"/>
    </row>
    <row r="256" spans="1:15">
      <c r="D256" t="s">
        <v>1552</v>
      </c>
      <c r="E256" s="419">
        <f t="shared" ref="E256:N256" si="161">calcY2Q1GAExp</f>
        <v>9975210.9985279143</v>
      </c>
      <c r="F256" s="419">
        <f t="shared" si="161"/>
        <v>9975210.9985279143</v>
      </c>
      <c r="G256" s="419">
        <f t="shared" si="161"/>
        <v>9975210.9985279143</v>
      </c>
      <c r="H256" s="419">
        <f t="shared" si="161"/>
        <v>9975210.9985279143</v>
      </c>
      <c r="I256" s="419">
        <f t="shared" si="161"/>
        <v>9975210.9985279143</v>
      </c>
      <c r="J256" s="419">
        <f t="shared" si="161"/>
        <v>9975210.9985279143</v>
      </c>
      <c r="K256" s="419">
        <f t="shared" si="161"/>
        <v>9975210.9985279143</v>
      </c>
      <c r="L256" s="419">
        <f t="shared" si="161"/>
        <v>9975210.9985279143</v>
      </c>
      <c r="M256" s="419">
        <f t="shared" si="161"/>
        <v>9975210.9985279143</v>
      </c>
      <c r="N256" s="419">
        <f t="shared" si="161"/>
        <v>9975210.9985279143</v>
      </c>
      <c r="O256" t="s">
        <v>3258</v>
      </c>
    </row>
    <row r="257" spans="1:15">
      <c r="D257" t="s">
        <v>1573</v>
      </c>
      <c r="E257" s="419">
        <f t="shared" ref="E257:N257" si="162">calcY2Q2GAExp</f>
        <v>10686733.470256248</v>
      </c>
      <c r="F257" s="419">
        <f t="shared" si="162"/>
        <v>10686733.470256248</v>
      </c>
      <c r="G257" s="419">
        <f t="shared" si="162"/>
        <v>10686733.470256248</v>
      </c>
      <c r="H257" s="419">
        <f t="shared" si="162"/>
        <v>10686733.470256248</v>
      </c>
      <c r="I257" s="419">
        <f t="shared" si="162"/>
        <v>10686733.470256248</v>
      </c>
      <c r="J257" s="419">
        <f t="shared" si="162"/>
        <v>10686733.470256248</v>
      </c>
      <c r="K257" s="419">
        <f t="shared" si="162"/>
        <v>10686733.470256248</v>
      </c>
      <c r="L257" s="419">
        <f t="shared" si="162"/>
        <v>10686733.470256248</v>
      </c>
      <c r="M257" s="419">
        <f t="shared" si="162"/>
        <v>10686733.470256248</v>
      </c>
      <c r="N257" s="419">
        <f t="shared" si="162"/>
        <v>10686733.470256248</v>
      </c>
      <c r="O257" t="s">
        <v>3259</v>
      </c>
    </row>
    <row r="258" spans="1:15">
      <c r="D258" t="s">
        <v>1594</v>
      </c>
      <c r="E258" s="419">
        <f t="shared" ref="E258:N258" si="163">calcY2Q3GAExp</f>
        <v>11846973.64028783</v>
      </c>
      <c r="F258" s="419">
        <f t="shared" si="163"/>
        <v>11846973.64028783</v>
      </c>
      <c r="G258" s="419">
        <f t="shared" si="163"/>
        <v>11846973.64028783</v>
      </c>
      <c r="H258" s="419">
        <f t="shared" si="163"/>
        <v>11846973.64028783</v>
      </c>
      <c r="I258" s="419">
        <f t="shared" si="163"/>
        <v>11846973.64028783</v>
      </c>
      <c r="J258" s="419">
        <f t="shared" si="163"/>
        <v>11846973.64028783</v>
      </c>
      <c r="K258" s="419">
        <f t="shared" si="163"/>
        <v>11846973.64028783</v>
      </c>
      <c r="L258" s="419">
        <f t="shared" si="163"/>
        <v>11846973.64028783</v>
      </c>
      <c r="M258" s="419">
        <f t="shared" si="163"/>
        <v>11846973.64028783</v>
      </c>
      <c r="N258" s="419">
        <f t="shared" si="163"/>
        <v>11846973.64028783</v>
      </c>
      <c r="O258" t="s">
        <v>3260</v>
      </c>
    </row>
    <row r="259" spans="1:15">
      <c r="D259" t="s">
        <v>1615</v>
      </c>
      <c r="E259" s="419">
        <f t="shared" ref="E259:N259" si="164">calcY2Q4GAExp</f>
        <v>13584346.066451227</v>
      </c>
      <c r="F259" s="419">
        <f t="shared" si="164"/>
        <v>13584346.066451227</v>
      </c>
      <c r="G259" s="419">
        <f t="shared" si="164"/>
        <v>13584346.066451227</v>
      </c>
      <c r="H259" s="419">
        <f t="shared" si="164"/>
        <v>13584346.066451227</v>
      </c>
      <c r="I259" s="419">
        <f t="shared" si="164"/>
        <v>13584346.066451227</v>
      </c>
      <c r="J259" s="419">
        <f t="shared" si="164"/>
        <v>13584346.066451227</v>
      </c>
      <c r="K259" s="419">
        <f t="shared" si="164"/>
        <v>13584346.066451227</v>
      </c>
      <c r="L259" s="419">
        <f t="shared" si="164"/>
        <v>13584346.066451227</v>
      </c>
      <c r="M259" s="419">
        <f t="shared" si="164"/>
        <v>13584346.066451227</v>
      </c>
      <c r="N259" s="419">
        <f t="shared" si="164"/>
        <v>13584346.066451227</v>
      </c>
      <c r="O259" t="s">
        <v>3261</v>
      </c>
    </row>
    <row r="260" spans="1:15" s="65" customFormat="1">
      <c r="D260" s="65" t="s">
        <v>1104</v>
      </c>
      <c r="E260" s="420">
        <f t="shared" ref="E260:N260" si="165">finY2Q1GAExp+finY2Q2GAExp+finY2Q3GAExp+finY2Q4GAExp</f>
        <v>46093264.175523221</v>
      </c>
      <c r="F260" s="420">
        <f t="shared" si="165"/>
        <v>46093264.175523221</v>
      </c>
      <c r="G260" s="420">
        <f t="shared" si="165"/>
        <v>46093264.175523221</v>
      </c>
      <c r="H260" s="420">
        <f t="shared" si="165"/>
        <v>46093264.175523221</v>
      </c>
      <c r="I260" s="420">
        <f t="shared" si="165"/>
        <v>46093264.175523221</v>
      </c>
      <c r="J260" s="420">
        <f t="shared" si="165"/>
        <v>46093264.175523221</v>
      </c>
      <c r="K260" s="420">
        <f t="shared" si="165"/>
        <v>46093264.175523221</v>
      </c>
      <c r="L260" s="420">
        <f t="shared" si="165"/>
        <v>46093264.175523221</v>
      </c>
      <c r="M260" s="420">
        <f t="shared" si="165"/>
        <v>46093264.175523221</v>
      </c>
      <c r="N260" s="420">
        <f t="shared" si="165"/>
        <v>46093264.175523221</v>
      </c>
      <c r="O260" s="65" t="s">
        <v>3262</v>
      </c>
    </row>
    <row r="261" spans="1:15">
      <c r="E261" s="419"/>
      <c r="F261" s="419"/>
      <c r="G261" s="419"/>
      <c r="H261" s="419"/>
      <c r="I261" s="419"/>
      <c r="J261" s="419"/>
      <c r="K261" s="419"/>
      <c r="L261" s="419"/>
      <c r="M261" s="419"/>
      <c r="N261" s="419"/>
    </row>
    <row r="262" spans="1:15">
      <c r="D262" t="s">
        <v>426</v>
      </c>
      <c r="E262" s="419">
        <f t="shared" ref="E262:N262" si="166">finY2AnnualGrossProfit-finY2AnnualMSExp-finY2AnnualRDExp-finY2AnnualGAExp</f>
        <v>-38373668.470346153</v>
      </c>
      <c r="F262" s="419">
        <f t="shared" si="166"/>
        <v>-38373668.470346153</v>
      </c>
      <c r="G262" s="419">
        <f t="shared" si="166"/>
        <v>-38373668.470346153</v>
      </c>
      <c r="H262" s="419">
        <f t="shared" si="166"/>
        <v>-38373668.470346153</v>
      </c>
      <c r="I262" s="419">
        <f t="shared" si="166"/>
        <v>-38373668.470346153</v>
      </c>
      <c r="J262" s="419">
        <f t="shared" si="166"/>
        <v>-38373668.470346153</v>
      </c>
      <c r="K262" s="419">
        <f t="shared" si="166"/>
        <v>-38373668.470346153</v>
      </c>
      <c r="L262" s="419">
        <f t="shared" si="166"/>
        <v>-38373668.470346153</v>
      </c>
      <c r="M262" s="419">
        <f t="shared" si="166"/>
        <v>-38373668.470346153</v>
      </c>
      <c r="N262" s="419">
        <f t="shared" si="166"/>
        <v>-38373668.470346153</v>
      </c>
      <c r="O262" t="s">
        <v>3263</v>
      </c>
    </row>
    <row r="263" spans="1:15" s="295" customFormat="1">
      <c r="D263" s="421" t="s">
        <v>967</v>
      </c>
      <c r="E263" s="422">
        <f t="shared" ref="E263:N263" si="167">finY2AnnualOpProfit/FinY2AnnualRev</f>
        <v>-0.17356466964764275</v>
      </c>
      <c r="F263" s="422">
        <f t="shared" si="167"/>
        <v>-0.17356466964764275</v>
      </c>
      <c r="G263" s="422">
        <f t="shared" si="167"/>
        <v>-0.17356466964764275</v>
      </c>
      <c r="H263" s="422">
        <f t="shared" si="167"/>
        <v>-0.17356466964764275</v>
      </c>
      <c r="I263" s="422">
        <f t="shared" si="167"/>
        <v>-0.17356466964764275</v>
      </c>
      <c r="J263" s="422">
        <f t="shared" si="167"/>
        <v>-0.17356466964764275</v>
      </c>
      <c r="K263" s="422">
        <f t="shared" si="167"/>
        <v>-0.17356466964764275</v>
      </c>
      <c r="L263" s="422">
        <f t="shared" si="167"/>
        <v>-0.17356466964764275</v>
      </c>
      <c r="M263" s="422">
        <f t="shared" si="167"/>
        <v>-0.17356466964764275</v>
      </c>
      <c r="N263" s="422">
        <f t="shared" si="167"/>
        <v>-0.17356466964764275</v>
      </c>
      <c r="O263" s="295" t="s">
        <v>3264</v>
      </c>
    </row>
    <row r="264" spans="1:15">
      <c r="E264" s="419"/>
      <c r="F264" s="419"/>
      <c r="G264" s="419"/>
      <c r="H264" s="419"/>
      <c r="I264" s="419"/>
      <c r="J264" s="419"/>
      <c r="K264" s="419"/>
      <c r="L264" s="419"/>
      <c r="M264" s="419"/>
      <c r="N264" s="419"/>
    </row>
    <row r="265" spans="1:15">
      <c r="A265" t="s">
        <v>466</v>
      </c>
      <c r="E265" s="419"/>
      <c r="F265" s="419"/>
      <c r="G265" s="419"/>
      <c r="H265" s="419"/>
      <c r="I265" s="419"/>
      <c r="J265" s="419"/>
      <c r="K265" s="419"/>
      <c r="L265" s="419"/>
      <c r="M265" s="419"/>
      <c r="N265" s="419"/>
    </row>
    <row r="266" spans="1:15">
      <c r="C266" t="s">
        <v>467</v>
      </c>
      <c r="E266" s="419"/>
      <c r="F266" s="419"/>
      <c r="G266" s="419"/>
      <c r="H266" s="419"/>
      <c r="I266" s="419"/>
      <c r="J266" s="419"/>
      <c r="K266" s="419"/>
      <c r="L266" s="419"/>
      <c r="M266" s="419"/>
      <c r="N266" s="419"/>
    </row>
    <row r="267" spans="1:15">
      <c r="D267" t="s">
        <v>1403</v>
      </c>
      <c r="E267" s="419">
        <f t="shared" ref="E267:N267" si="168">calcY2Q1HarmExp</f>
        <v>0</v>
      </c>
      <c r="F267" s="419">
        <f t="shared" si="168"/>
        <v>0</v>
      </c>
      <c r="G267" s="419">
        <f t="shared" si="168"/>
        <v>0</v>
      </c>
      <c r="H267" s="419">
        <f t="shared" si="168"/>
        <v>0</v>
      </c>
      <c r="I267" s="419">
        <f t="shared" si="168"/>
        <v>0</v>
      </c>
      <c r="J267" s="419">
        <f t="shared" si="168"/>
        <v>0</v>
      </c>
      <c r="K267" s="419">
        <f t="shared" si="168"/>
        <v>0</v>
      </c>
      <c r="L267" s="419">
        <f t="shared" si="168"/>
        <v>0</v>
      </c>
      <c r="M267" s="419">
        <f t="shared" si="168"/>
        <v>0</v>
      </c>
      <c r="N267" s="419">
        <f t="shared" si="168"/>
        <v>0</v>
      </c>
      <c r="O267" t="s">
        <v>3265</v>
      </c>
    </row>
    <row r="268" spans="1:15">
      <c r="D268" t="s">
        <v>1437</v>
      </c>
      <c r="E268" s="419">
        <f t="shared" ref="E268:N268" si="169">calcY2Q2HarmExp</f>
        <v>0</v>
      </c>
      <c r="F268" s="419">
        <f t="shared" si="169"/>
        <v>0</v>
      </c>
      <c r="G268" s="419">
        <f t="shared" si="169"/>
        <v>0</v>
      </c>
      <c r="H268" s="419">
        <f t="shared" si="169"/>
        <v>0</v>
      </c>
      <c r="I268" s="419">
        <f t="shared" si="169"/>
        <v>0</v>
      </c>
      <c r="J268" s="419">
        <f t="shared" si="169"/>
        <v>0</v>
      </c>
      <c r="K268" s="419">
        <f t="shared" si="169"/>
        <v>0</v>
      </c>
      <c r="L268" s="419">
        <f t="shared" si="169"/>
        <v>0</v>
      </c>
      <c r="M268" s="419">
        <f t="shared" si="169"/>
        <v>0</v>
      </c>
      <c r="N268" s="419">
        <f t="shared" si="169"/>
        <v>0</v>
      </c>
      <c r="O268" t="s">
        <v>3266</v>
      </c>
    </row>
    <row r="269" spans="1:15">
      <c r="D269" t="s">
        <v>1471</v>
      </c>
      <c r="E269" s="419">
        <f t="shared" ref="E269:N269" si="170">calcY2Q3HarmExp</f>
        <v>0</v>
      </c>
      <c r="F269" s="419">
        <f t="shared" si="170"/>
        <v>0</v>
      </c>
      <c r="G269" s="419">
        <f t="shared" si="170"/>
        <v>0</v>
      </c>
      <c r="H269" s="419">
        <f t="shared" si="170"/>
        <v>0</v>
      </c>
      <c r="I269" s="419">
        <f t="shared" si="170"/>
        <v>0</v>
      </c>
      <c r="J269" s="419">
        <f t="shared" si="170"/>
        <v>0</v>
      </c>
      <c r="K269" s="419">
        <f t="shared" si="170"/>
        <v>0</v>
      </c>
      <c r="L269" s="419">
        <f t="shared" si="170"/>
        <v>0</v>
      </c>
      <c r="M269" s="419">
        <f t="shared" si="170"/>
        <v>0</v>
      </c>
      <c r="N269" s="419">
        <f t="shared" si="170"/>
        <v>0</v>
      </c>
      <c r="O269" t="s">
        <v>3267</v>
      </c>
    </row>
    <row r="270" spans="1:15">
      <c r="D270" t="s">
        <v>1505</v>
      </c>
      <c r="E270" s="419">
        <f t="shared" ref="E270:N270" si="171">calcY2Q4HarmExp</f>
        <v>0</v>
      </c>
      <c r="F270" s="419">
        <f t="shared" si="171"/>
        <v>0</v>
      </c>
      <c r="G270" s="419">
        <f t="shared" si="171"/>
        <v>0</v>
      </c>
      <c r="H270" s="419">
        <f t="shared" si="171"/>
        <v>0</v>
      </c>
      <c r="I270" s="419">
        <f t="shared" si="171"/>
        <v>0</v>
      </c>
      <c r="J270" s="419">
        <f t="shared" si="171"/>
        <v>0</v>
      </c>
      <c r="K270" s="419">
        <f t="shared" si="171"/>
        <v>0</v>
      </c>
      <c r="L270" s="419">
        <f t="shared" si="171"/>
        <v>0</v>
      </c>
      <c r="M270" s="419">
        <f t="shared" si="171"/>
        <v>0</v>
      </c>
      <c r="N270" s="419">
        <f t="shared" si="171"/>
        <v>0</v>
      </c>
      <c r="O270" t="s">
        <v>3268</v>
      </c>
    </row>
    <row r="271" spans="1:15" s="65" customFormat="1">
      <c r="D271" s="65" t="s">
        <v>1003</v>
      </c>
      <c r="E271" s="420">
        <f t="shared" ref="E271:N271" si="172">finY2Q1HarmExp+finY2Q2HarmExp+finY2Q3HarmExp+finY2Q4HarmExp</f>
        <v>0</v>
      </c>
      <c r="F271" s="420">
        <f t="shared" si="172"/>
        <v>0</v>
      </c>
      <c r="G271" s="420">
        <f t="shared" si="172"/>
        <v>0</v>
      </c>
      <c r="H271" s="420">
        <f t="shared" si="172"/>
        <v>0</v>
      </c>
      <c r="I271" s="420">
        <f t="shared" si="172"/>
        <v>0</v>
      </c>
      <c r="J271" s="420">
        <f t="shared" si="172"/>
        <v>0</v>
      </c>
      <c r="K271" s="420">
        <f t="shared" si="172"/>
        <v>0</v>
      </c>
      <c r="L271" s="420">
        <f t="shared" si="172"/>
        <v>0</v>
      </c>
      <c r="M271" s="420">
        <f t="shared" si="172"/>
        <v>0</v>
      </c>
      <c r="N271" s="420">
        <f t="shared" si="172"/>
        <v>0</v>
      </c>
      <c r="O271" s="65" t="s">
        <v>3269</v>
      </c>
    </row>
    <row r="272" spans="1:15" s="65" customFormat="1">
      <c r="C272" s="65" t="s">
        <v>401</v>
      </c>
      <c r="E272" s="420"/>
      <c r="F272" s="420"/>
      <c r="G272" s="420"/>
      <c r="H272" s="420"/>
      <c r="I272" s="420"/>
      <c r="J272" s="420"/>
      <c r="K272" s="420"/>
      <c r="L272" s="420"/>
      <c r="M272" s="420"/>
      <c r="N272" s="420"/>
    </row>
    <row r="273" spans="3:15">
      <c r="D273" t="s">
        <v>1407</v>
      </c>
      <c r="E273" s="419">
        <f t="shared" ref="E273:N273" si="173">calcY2Q1ITExp</f>
        <v>0</v>
      </c>
      <c r="F273" s="419">
        <f t="shared" si="173"/>
        <v>0</v>
      </c>
      <c r="G273" s="419">
        <f t="shared" si="173"/>
        <v>0</v>
      </c>
      <c r="H273" s="419">
        <f t="shared" si="173"/>
        <v>0</v>
      </c>
      <c r="I273" s="419">
        <f t="shared" si="173"/>
        <v>0</v>
      </c>
      <c r="J273" s="419">
        <f t="shared" si="173"/>
        <v>0</v>
      </c>
      <c r="K273" s="419">
        <f t="shared" si="173"/>
        <v>0</v>
      </c>
      <c r="L273" s="419">
        <f t="shared" si="173"/>
        <v>0</v>
      </c>
      <c r="M273" s="419">
        <f t="shared" si="173"/>
        <v>0</v>
      </c>
      <c r="N273" s="419">
        <f t="shared" si="173"/>
        <v>0</v>
      </c>
      <c r="O273" t="s">
        <v>3270</v>
      </c>
    </row>
    <row r="274" spans="3:15">
      <c r="D274" t="s">
        <v>1441</v>
      </c>
      <c r="E274" s="419">
        <f t="shared" ref="E274:N274" si="174">calcY2Q2ITExp</f>
        <v>0</v>
      </c>
      <c r="F274" s="419">
        <f t="shared" si="174"/>
        <v>0</v>
      </c>
      <c r="G274" s="419">
        <f t="shared" si="174"/>
        <v>0</v>
      </c>
      <c r="H274" s="419">
        <f t="shared" si="174"/>
        <v>0</v>
      </c>
      <c r="I274" s="419">
        <f t="shared" si="174"/>
        <v>0</v>
      </c>
      <c r="J274" s="419">
        <f t="shared" si="174"/>
        <v>0</v>
      </c>
      <c r="K274" s="419">
        <f t="shared" si="174"/>
        <v>0</v>
      </c>
      <c r="L274" s="419">
        <f t="shared" si="174"/>
        <v>0</v>
      </c>
      <c r="M274" s="419">
        <f t="shared" si="174"/>
        <v>0</v>
      </c>
      <c r="N274" s="419">
        <f t="shared" si="174"/>
        <v>0</v>
      </c>
      <c r="O274" t="s">
        <v>3271</v>
      </c>
    </row>
    <row r="275" spans="3:15">
      <c r="D275" t="s">
        <v>1475</v>
      </c>
      <c r="E275" s="419">
        <f t="shared" ref="E275:N275" si="175">calcY2Q3ITExp</f>
        <v>0</v>
      </c>
      <c r="F275" s="419">
        <f t="shared" si="175"/>
        <v>0</v>
      </c>
      <c r="G275" s="419">
        <f t="shared" si="175"/>
        <v>0</v>
      </c>
      <c r="H275" s="419">
        <f t="shared" si="175"/>
        <v>0</v>
      </c>
      <c r="I275" s="419">
        <f t="shared" si="175"/>
        <v>0</v>
      </c>
      <c r="J275" s="419">
        <f t="shared" si="175"/>
        <v>0</v>
      </c>
      <c r="K275" s="419">
        <f t="shared" si="175"/>
        <v>0</v>
      </c>
      <c r="L275" s="419">
        <f t="shared" si="175"/>
        <v>0</v>
      </c>
      <c r="M275" s="419">
        <f t="shared" si="175"/>
        <v>0</v>
      </c>
      <c r="N275" s="419">
        <f t="shared" si="175"/>
        <v>0</v>
      </c>
      <c r="O275" t="s">
        <v>3272</v>
      </c>
    </row>
    <row r="276" spans="3:15">
      <c r="D276" t="s">
        <v>1509</v>
      </c>
      <c r="E276" s="419">
        <f t="shared" ref="E276:N276" si="176">calcY2Q4ITExp</f>
        <v>0</v>
      </c>
      <c r="F276" s="419">
        <f t="shared" si="176"/>
        <v>0</v>
      </c>
      <c r="G276" s="419">
        <f t="shared" si="176"/>
        <v>0</v>
      </c>
      <c r="H276" s="419">
        <f t="shared" si="176"/>
        <v>0</v>
      </c>
      <c r="I276" s="419">
        <f t="shared" si="176"/>
        <v>0</v>
      </c>
      <c r="J276" s="419">
        <f t="shared" si="176"/>
        <v>0</v>
      </c>
      <c r="K276" s="419">
        <f t="shared" si="176"/>
        <v>0</v>
      </c>
      <c r="L276" s="419">
        <f t="shared" si="176"/>
        <v>0</v>
      </c>
      <c r="M276" s="419">
        <f t="shared" si="176"/>
        <v>0</v>
      </c>
      <c r="N276" s="419">
        <f t="shared" si="176"/>
        <v>0</v>
      </c>
      <c r="O276" t="s">
        <v>3273</v>
      </c>
    </row>
    <row r="277" spans="3:15" s="65" customFormat="1">
      <c r="D277" s="65" t="s">
        <v>1022</v>
      </c>
      <c r="E277" s="420">
        <f t="shared" ref="E277:N277" si="177">finY2Q1ITExp+finY2Q2ITExp+finY2Q3ITExp+finY2Q4ITExp</f>
        <v>0</v>
      </c>
      <c r="F277" s="420">
        <f t="shared" si="177"/>
        <v>0</v>
      </c>
      <c r="G277" s="420">
        <f t="shared" si="177"/>
        <v>0</v>
      </c>
      <c r="H277" s="420">
        <f t="shared" si="177"/>
        <v>0</v>
      </c>
      <c r="I277" s="420">
        <f t="shared" si="177"/>
        <v>0</v>
      </c>
      <c r="J277" s="420">
        <f t="shared" si="177"/>
        <v>0</v>
      </c>
      <c r="K277" s="420">
        <f t="shared" si="177"/>
        <v>0</v>
      </c>
      <c r="L277" s="420">
        <f t="shared" si="177"/>
        <v>0</v>
      </c>
      <c r="M277" s="420">
        <f t="shared" si="177"/>
        <v>0</v>
      </c>
      <c r="N277" s="420">
        <f t="shared" si="177"/>
        <v>0</v>
      </c>
      <c r="O277" s="65" t="s">
        <v>3274</v>
      </c>
    </row>
    <row r="278" spans="3:15">
      <c r="C278" t="s">
        <v>1332</v>
      </c>
      <c r="E278" s="419"/>
      <c r="F278" s="419"/>
      <c r="G278" s="419"/>
      <c r="H278" s="419"/>
      <c r="I278" s="419"/>
      <c r="J278" s="419"/>
      <c r="K278" s="419"/>
      <c r="L278" s="419"/>
      <c r="M278" s="419"/>
      <c r="N278" s="419"/>
    </row>
    <row r="279" spans="3:15">
      <c r="D279" t="s">
        <v>1556</v>
      </c>
      <c r="E279" s="419">
        <f t="shared" ref="E279:N279" si="178">calcY2Q1FullREExp</f>
        <v>0</v>
      </c>
      <c r="F279" s="419">
        <f t="shared" si="178"/>
        <v>0</v>
      </c>
      <c r="G279" s="419">
        <f t="shared" si="178"/>
        <v>0</v>
      </c>
      <c r="H279" s="419">
        <f t="shared" si="178"/>
        <v>0</v>
      </c>
      <c r="I279" s="419">
        <f t="shared" si="178"/>
        <v>0</v>
      </c>
      <c r="J279" s="419">
        <f t="shared" si="178"/>
        <v>0</v>
      </c>
      <c r="K279" s="419">
        <f t="shared" si="178"/>
        <v>0</v>
      </c>
      <c r="L279" s="419">
        <f t="shared" si="178"/>
        <v>0</v>
      </c>
      <c r="M279" s="419">
        <f t="shared" si="178"/>
        <v>0</v>
      </c>
      <c r="N279" s="419">
        <f t="shared" si="178"/>
        <v>0</v>
      </c>
      <c r="O279" t="s">
        <v>3275</v>
      </c>
    </row>
    <row r="280" spans="3:15">
      <c r="D280" t="s">
        <v>1577</v>
      </c>
      <c r="E280" s="419">
        <f t="shared" ref="E280:N280" si="179">calcY2Q2FullREExp</f>
        <v>0</v>
      </c>
      <c r="F280" s="419">
        <f t="shared" si="179"/>
        <v>0</v>
      </c>
      <c r="G280" s="419">
        <f t="shared" si="179"/>
        <v>0</v>
      </c>
      <c r="H280" s="419">
        <f t="shared" si="179"/>
        <v>0</v>
      </c>
      <c r="I280" s="419">
        <f t="shared" si="179"/>
        <v>0</v>
      </c>
      <c r="J280" s="419">
        <f t="shared" si="179"/>
        <v>0</v>
      </c>
      <c r="K280" s="419">
        <f t="shared" si="179"/>
        <v>0</v>
      </c>
      <c r="L280" s="419">
        <f t="shared" si="179"/>
        <v>0</v>
      </c>
      <c r="M280" s="419">
        <f t="shared" si="179"/>
        <v>0</v>
      </c>
      <c r="N280" s="419">
        <f t="shared" si="179"/>
        <v>0</v>
      </c>
      <c r="O280" t="s">
        <v>3276</v>
      </c>
    </row>
    <row r="281" spans="3:15">
      <c r="D281" t="s">
        <v>1598</v>
      </c>
      <c r="E281" s="419">
        <f t="shared" ref="E281:N281" si="180">calcY2Q3FullREExp</f>
        <v>0</v>
      </c>
      <c r="F281" s="419">
        <f t="shared" si="180"/>
        <v>0</v>
      </c>
      <c r="G281" s="419">
        <f t="shared" si="180"/>
        <v>0</v>
      </c>
      <c r="H281" s="419">
        <f t="shared" si="180"/>
        <v>0</v>
      </c>
      <c r="I281" s="419">
        <f t="shared" si="180"/>
        <v>0</v>
      </c>
      <c r="J281" s="419">
        <f t="shared" si="180"/>
        <v>0</v>
      </c>
      <c r="K281" s="419">
        <f t="shared" si="180"/>
        <v>0</v>
      </c>
      <c r="L281" s="419">
        <f t="shared" si="180"/>
        <v>0</v>
      </c>
      <c r="M281" s="419">
        <f t="shared" si="180"/>
        <v>0</v>
      </c>
      <c r="N281" s="419">
        <f t="shared" si="180"/>
        <v>0</v>
      </c>
      <c r="O281" t="s">
        <v>3277</v>
      </c>
    </row>
    <row r="282" spans="3:15">
      <c r="D282" t="s">
        <v>1619</v>
      </c>
      <c r="E282" s="419">
        <f t="shared" ref="E282:N282" si="181">calcY2Q4FullREExp</f>
        <v>0</v>
      </c>
      <c r="F282" s="419">
        <f t="shared" si="181"/>
        <v>0</v>
      </c>
      <c r="G282" s="419">
        <f t="shared" si="181"/>
        <v>0</v>
      </c>
      <c r="H282" s="419">
        <f t="shared" si="181"/>
        <v>0</v>
      </c>
      <c r="I282" s="419">
        <f t="shared" si="181"/>
        <v>0</v>
      </c>
      <c r="J282" s="419">
        <f t="shared" si="181"/>
        <v>0</v>
      </c>
      <c r="K282" s="419">
        <f t="shared" si="181"/>
        <v>0</v>
      </c>
      <c r="L282" s="419">
        <f t="shared" si="181"/>
        <v>0</v>
      </c>
      <c r="M282" s="419">
        <f t="shared" si="181"/>
        <v>0</v>
      </c>
      <c r="N282" s="419">
        <f t="shared" si="181"/>
        <v>0</v>
      </c>
      <c r="O282" t="s">
        <v>3278</v>
      </c>
    </row>
    <row r="283" spans="3:15" s="65" customFormat="1">
      <c r="D283" s="65" t="s">
        <v>1022</v>
      </c>
      <c r="E283" s="420">
        <f t="shared" ref="E283:N283" si="182">finY2Q1FullREExp+finY2Q2FullREExp+finY2Q3FullREExp+finY2Q4FullREExp</f>
        <v>0</v>
      </c>
      <c r="F283" s="420">
        <f t="shared" si="182"/>
        <v>0</v>
      </c>
      <c r="G283" s="420">
        <f t="shared" si="182"/>
        <v>0</v>
      </c>
      <c r="H283" s="420">
        <f t="shared" si="182"/>
        <v>0</v>
      </c>
      <c r="I283" s="420">
        <f t="shared" si="182"/>
        <v>0</v>
      </c>
      <c r="J283" s="420">
        <f t="shared" si="182"/>
        <v>0</v>
      </c>
      <c r="K283" s="420">
        <f t="shared" si="182"/>
        <v>0</v>
      </c>
      <c r="L283" s="420">
        <f t="shared" si="182"/>
        <v>0</v>
      </c>
      <c r="M283" s="420">
        <f t="shared" si="182"/>
        <v>0</v>
      </c>
      <c r="N283" s="420">
        <f t="shared" si="182"/>
        <v>0</v>
      </c>
      <c r="O283" s="65" t="s">
        <v>3279</v>
      </c>
    </row>
    <row r="284" spans="3:15">
      <c r="C284" t="s">
        <v>1333</v>
      </c>
      <c r="E284" s="419"/>
      <c r="F284" s="419"/>
      <c r="G284" s="419"/>
      <c r="H284" s="419"/>
      <c r="I284" s="419"/>
      <c r="J284" s="419"/>
      <c r="K284" s="419"/>
      <c r="L284" s="419"/>
      <c r="M284" s="419"/>
      <c r="N284" s="419"/>
    </row>
    <row r="285" spans="3:15">
      <c r="D285" t="s">
        <v>1411</v>
      </c>
      <c r="E285" s="419"/>
      <c r="F285" s="419"/>
      <c r="G285" s="419"/>
      <c r="H285" s="419"/>
      <c r="I285" s="419"/>
      <c r="J285" s="419"/>
      <c r="K285" s="419"/>
      <c r="L285" s="419"/>
      <c r="M285" s="419"/>
      <c r="N285" s="419"/>
      <c r="O285" t="s">
        <v>3280</v>
      </c>
    </row>
    <row r="286" spans="3:15">
      <c r="D286" t="s">
        <v>1445</v>
      </c>
      <c r="E286" s="419"/>
      <c r="F286" s="419"/>
      <c r="G286" s="419"/>
      <c r="H286" s="419"/>
      <c r="I286" s="419"/>
      <c r="J286" s="419"/>
      <c r="K286" s="419"/>
      <c r="L286" s="419"/>
      <c r="M286" s="419"/>
      <c r="N286" s="419"/>
      <c r="O286" t="s">
        <v>3281</v>
      </c>
    </row>
    <row r="287" spans="3:15">
      <c r="D287" t="s">
        <v>1479</v>
      </c>
      <c r="E287" s="419"/>
      <c r="F287" s="419"/>
      <c r="G287" s="419"/>
      <c r="H287" s="419"/>
      <c r="I287" s="419"/>
      <c r="J287" s="419"/>
      <c r="K287" s="419"/>
      <c r="L287" s="419"/>
      <c r="M287" s="419"/>
      <c r="N287" s="419"/>
      <c r="O287" t="s">
        <v>3282</v>
      </c>
    </row>
    <row r="288" spans="3:15">
      <c r="D288" t="s">
        <v>1513</v>
      </c>
      <c r="E288" s="419"/>
      <c r="F288" s="419"/>
      <c r="G288" s="419"/>
      <c r="H288" s="419"/>
      <c r="I288" s="419"/>
      <c r="J288" s="419"/>
      <c r="K288" s="419"/>
      <c r="L288" s="419"/>
      <c r="M288" s="419"/>
      <c r="N288" s="419"/>
      <c r="O288" t="s">
        <v>3283</v>
      </c>
    </row>
    <row r="289" spans="3:15" s="65" customFormat="1">
      <c r="D289" s="65" t="s">
        <v>1366</v>
      </c>
      <c r="E289" s="420"/>
      <c r="F289" s="420"/>
      <c r="G289" s="420"/>
      <c r="H289" s="420"/>
      <c r="I289" s="420"/>
      <c r="J289" s="420"/>
      <c r="K289" s="420"/>
      <c r="L289" s="420"/>
      <c r="M289" s="420"/>
      <c r="N289" s="420"/>
      <c r="O289" s="65" t="s">
        <v>3284</v>
      </c>
    </row>
    <row r="290" spans="3:15" s="65" customFormat="1">
      <c r="C290" s="65" t="s">
        <v>1057</v>
      </c>
      <c r="E290" s="420"/>
      <c r="F290" s="420"/>
      <c r="G290" s="420"/>
      <c r="H290" s="420"/>
      <c r="I290" s="420"/>
      <c r="J290" s="420"/>
      <c r="K290" s="420"/>
      <c r="L290" s="420"/>
      <c r="M290" s="420"/>
      <c r="N290" s="420"/>
    </row>
    <row r="291" spans="3:15">
      <c r="D291" t="s">
        <v>1416</v>
      </c>
      <c r="E291" s="419">
        <f t="shared" ref="E291:N291" si="183">calcY2Q1TrustExp</f>
        <v>0</v>
      </c>
      <c r="F291" s="419">
        <f t="shared" si="183"/>
        <v>0</v>
      </c>
      <c r="G291" s="419">
        <f t="shared" si="183"/>
        <v>0</v>
      </c>
      <c r="H291" s="419">
        <f t="shared" si="183"/>
        <v>0</v>
      </c>
      <c r="I291" s="419">
        <f t="shared" si="183"/>
        <v>0</v>
      </c>
      <c r="J291" s="419">
        <f t="shared" si="183"/>
        <v>0</v>
      </c>
      <c r="K291" s="419">
        <f t="shared" si="183"/>
        <v>0</v>
      </c>
      <c r="L291" s="419">
        <f t="shared" si="183"/>
        <v>0</v>
      </c>
      <c r="M291" s="419">
        <f t="shared" si="183"/>
        <v>0</v>
      </c>
      <c r="N291" s="419">
        <f t="shared" si="183"/>
        <v>0</v>
      </c>
      <c r="O291" t="s">
        <v>3285</v>
      </c>
    </row>
    <row r="292" spans="3:15">
      <c r="D292" t="s">
        <v>1450</v>
      </c>
      <c r="E292" s="419">
        <f t="shared" ref="E292:N292" si="184">calcY2Q2TrustExp</f>
        <v>0</v>
      </c>
      <c r="F292" s="419">
        <f t="shared" si="184"/>
        <v>0</v>
      </c>
      <c r="G292" s="419">
        <f t="shared" si="184"/>
        <v>0</v>
      </c>
      <c r="H292" s="419">
        <f t="shared" si="184"/>
        <v>0</v>
      </c>
      <c r="I292" s="419">
        <f t="shared" si="184"/>
        <v>0</v>
      </c>
      <c r="J292" s="419">
        <f t="shared" si="184"/>
        <v>0</v>
      </c>
      <c r="K292" s="419">
        <f t="shared" si="184"/>
        <v>0</v>
      </c>
      <c r="L292" s="419">
        <f t="shared" si="184"/>
        <v>0</v>
      </c>
      <c r="M292" s="419">
        <f t="shared" si="184"/>
        <v>0</v>
      </c>
      <c r="N292" s="419">
        <f t="shared" si="184"/>
        <v>0</v>
      </c>
      <c r="O292" t="s">
        <v>3286</v>
      </c>
    </row>
    <row r="293" spans="3:15">
      <c r="D293" t="s">
        <v>1484</v>
      </c>
      <c r="E293" s="419">
        <f t="shared" ref="E293:N293" si="185">calcY2Q3TrustExp</f>
        <v>0</v>
      </c>
      <c r="F293" s="419">
        <f t="shared" si="185"/>
        <v>0</v>
      </c>
      <c r="G293" s="419">
        <f t="shared" si="185"/>
        <v>0</v>
      </c>
      <c r="H293" s="419">
        <f t="shared" si="185"/>
        <v>0</v>
      </c>
      <c r="I293" s="419">
        <f t="shared" si="185"/>
        <v>0</v>
      </c>
      <c r="J293" s="419">
        <f t="shared" si="185"/>
        <v>0</v>
      </c>
      <c r="K293" s="419">
        <f t="shared" si="185"/>
        <v>0</v>
      </c>
      <c r="L293" s="419">
        <f t="shared" si="185"/>
        <v>0</v>
      </c>
      <c r="M293" s="419">
        <f t="shared" si="185"/>
        <v>0</v>
      </c>
      <c r="N293" s="419">
        <f t="shared" si="185"/>
        <v>0</v>
      </c>
      <c r="O293" t="s">
        <v>3287</v>
      </c>
    </row>
    <row r="294" spans="3:15">
      <c r="D294" t="s">
        <v>1518</v>
      </c>
      <c r="E294" s="419">
        <f t="shared" ref="E294:N294" si="186">calcY2Q4TrustExp</f>
        <v>0</v>
      </c>
      <c r="F294" s="419">
        <f t="shared" si="186"/>
        <v>0</v>
      </c>
      <c r="G294" s="419">
        <f t="shared" si="186"/>
        <v>0</v>
      </c>
      <c r="H294" s="419">
        <f t="shared" si="186"/>
        <v>0</v>
      </c>
      <c r="I294" s="419">
        <f t="shared" si="186"/>
        <v>0</v>
      </c>
      <c r="J294" s="419">
        <f t="shared" si="186"/>
        <v>0</v>
      </c>
      <c r="K294" s="419">
        <f t="shared" si="186"/>
        <v>0</v>
      </c>
      <c r="L294" s="419">
        <f t="shared" si="186"/>
        <v>0</v>
      </c>
      <c r="M294" s="419">
        <f t="shared" si="186"/>
        <v>0</v>
      </c>
      <c r="N294" s="419">
        <f t="shared" si="186"/>
        <v>0</v>
      </c>
      <c r="O294" t="s">
        <v>3288</v>
      </c>
    </row>
    <row r="295" spans="3:15" s="65" customFormat="1">
      <c r="D295" s="65" t="s">
        <v>1097</v>
      </c>
      <c r="E295" s="420">
        <f t="shared" ref="E295:N295" si="187">finY2Q1TrustExp+finY2Q2TrustExp+finY2Q3TrustExp+finY2Q4TrustExp</f>
        <v>0</v>
      </c>
      <c r="F295" s="420">
        <f t="shared" si="187"/>
        <v>0</v>
      </c>
      <c r="G295" s="420">
        <f t="shared" si="187"/>
        <v>0</v>
      </c>
      <c r="H295" s="420">
        <f t="shared" si="187"/>
        <v>0</v>
      </c>
      <c r="I295" s="420">
        <f t="shared" si="187"/>
        <v>0</v>
      </c>
      <c r="J295" s="420">
        <f t="shared" si="187"/>
        <v>0</v>
      </c>
      <c r="K295" s="420">
        <f t="shared" si="187"/>
        <v>0</v>
      </c>
      <c r="L295" s="420">
        <f t="shared" si="187"/>
        <v>0</v>
      </c>
      <c r="M295" s="420">
        <f t="shared" si="187"/>
        <v>0</v>
      </c>
      <c r="N295" s="420">
        <f t="shared" si="187"/>
        <v>0</v>
      </c>
      <c r="O295" s="65" t="s">
        <v>3289</v>
      </c>
    </row>
    <row r="296" spans="3:15">
      <c r="E296" s="419"/>
      <c r="F296" s="419"/>
      <c r="G296" s="419"/>
      <c r="H296" s="419"/>
      <c r="I296" s="419"/>
      <c r="J296" s="419"/>
      <c r="K296" s="419"/>
      <c r="L296" s="419"/>
      <c r="M296" s="419"/>
      <c r="N296" s="419"/>
    </row>
    <row r="297" spans="3:15">
      <c r="C297" t="s">
        <v>1099</v>
      </c>
      <c r="E297" s="419"/>
      <c r="F297" s="419"/>
      <c r="G297" s="419"/>
      <c r="H297" s="419"/>
      <c r="I297" s="419"/>
      <c r="J297" s="419"/>
      <c r="K297" s="419"/>
      <c r="L297" s="419"/>
      <c r="M297" s="419"/>
      <c r="N297" s="419"/>
    </row>
    <row r="298" spans="3:15" s="65" customFormat="1">
      <c r="C298" s="65" t="s">
        <v>1139</v>
      </c>
      <c r="E298" s="420"/>
      <c r="F298" s="420"/>
      <c r="G298" s="420"/>
      <c r="H298" s="420"/>
      <c r="I298" s="420"/>
      <c r="J298" s="420"/>
      <c r="K298" s="420"/>
      <c r="L298" s="420"/>
      <c r="M298" s="420"/>
      <c r="N298" s="420"/>
    </row>
    <row r="299" spans="3:15">
      <c r="D299" t="s">
        <v>1420</v>
      </c>
      <c r="E299" s="419">
        <f t="shared" ref="E299:N299" si="188">calcY2Q1Org62Exp</f>
        <v>0</v>
      </c>
      <c r="F299" s="419">
        <f t="shared" si="188"/>
        <v>0</v>
      </c>
      <c r="G299" s="419">
        <f t="shared" si="188"/>
        <v>0</v>
      </c>
      <c r="H299" s="419">
        <f t="shared" si="188"/>
        <v>0</v>
      </c>
      <c r="I299" s="419">
        <f t="shared" si="188"/>
        <v>0</v>
      </c>
      <c r="J299" s="419">
        <f t="shared" si="188"/>
        <v>0</v>
      </c>
      <c r="K299" s="419">
        <f t="shared" si="188"/>
        <v>0</v>
      </c>
      <c r="L299" s="419">
        <f t="shared" si="188"/>
        <v>0</v>
      </c>
      <c r="M299" s="419">
        <f t="shared" si="188"/>
        <v>0</v>
      </c>
      <c r="N299" s="419">
        <f t="shared" si="188"/>
        <v>0</v>
      </c>
      <c r="O299" t="s">
        <v>3290</v>
      </c>
    </row>
    <row r="300" spans="3:15">
      <c r="D300" t="s">
        <v>1454</v>
      </c>
      <c r="E300" s="419">
        <f t="shared" ref="E300:N300" si="189">calcY2Q2Org62Exp</f>
        <v>0</v>
      </c>
      <c r="F300" s="419">
        <f t="shared" si="189"/>
        <v>0</v>
      </c>
      <c r="G300" s="419">
        <f t="shared" si="189"/>
        <v>0</v>
      </c>
      <c r="H300" s="419">
        <f t="shared" si="189"/>
        <v>0</v>
      </c>
      <c r="I300" s="419">
        <f t="shared" si="189"/>
        <v>0</v>
      </c>
      <c r="J300" s="419">
        <f t="shared" si="189"/>
        <v>0</v>
      </c>
      <c r="K300" s="419">
        <f t="shared" si="189"/>
        <v>0</v>
      </c>
      <c r="L300" s="419">
        <f t="shared" si="189"/>
        <v>0</v>
      </c>
      <c r="M300" s="419">
        <f t="shared" si="189"/>
        <v>0</v>
      </c>
      <c r="N300" s="419">
        <f t="shared" si="189"/>
        <v>0</v>
      </c>
      <c r="O300" t="s">
        <v>3291</v>
      </c>
    </row>
    <row r="301" spans="3:15">
      <c r="D301" t="s">
        <v>1488</v>
      </c>
      <c r="E301" s="419">
        <f t="shared" ref="E301:N301" si="190">calcY2Q3Org62Exp</f>
        <v>0</v>
      </c>
      <c r="F301" s="419">
        <f t="shared" si="190"/>
        <v>0</v>
      </c>
      <c r="G301" s="419">
        <f t="shared" si="190"/>
        <v>0</v>
      </c>
      <c r="H301" s="419">
        <f t="shared" si="190"/>
        <v>0</v>
      </c>
      <c r="I301" s="419">
        <f t="shared" si="190"/>
        <v>0</v>
      </c>
      <c r="J301" s="419">
        <f t="shared" si="190"/>
        <v>0</v>
      </c>
      <c r="K301" s="419">
        <f t="shared" si="190"/>
        <v>0</v>
      </c>
      <c r="L301" s="419">
        <f t="shared" si="190"/>
        <v>0</v>
      </c>
      <c r="M301" s="419">
        <f t="shared" si="190"/>
        <v>0</v>
      </c>
      <c r="N301" s="419">
        <f t="shared" si="190"/>
        <v>0</v>
      </c>
      <c r="O301" t="s">
        <v>3292</v>
      </c>
    </row>
    <row r="302" spans="3:15">
      <c r="D302" t="s">
        <v>1522</v>
      </c>
      <c r="E302" s="419">
        <f t="shared" ref="E302:N302" si="191">calcY2Q4Org62Exp</f>
        <v>0</v>
      </c>
      <c r="F302" s="419">
        <f t="shared" si="191"/>
        <v>0</v>
      </c>
      <c r="G302" s="419">
        <f t="shared" si="191"/>
        <v>0</v>
      </c>
      <c r="H302" s="419">
        <f t="shared" si="191"/>
        <v>0</v>
      </c>
      <c r="I302" s="419">
        <f t="shared" si="191"/>
        <v>0</v>
      </c>
      <c r="J302" s="419">
        <f t="shared" si="191"/>
        <v>0</v>
      </c>
      <c r="K302" s="419">
        <f t="shared" si="191"/>
        <v>0</v>
      </c>
      <c r="L302" s="419">
        <f t="shared" si="191"/>
        <v>0</v>
      </c>
      <c r="M302" s="419">
        <f t="shared" si="191"/>
        <v>0</v>
      </c>
      <c r="N302" s="419">
        <f t="shared" si="191"/>
        <v>0</v>
      </c>
      <c r="O302" t="s">
        <v>3293</v>
      </c>
    </row>
    <row r="303" spans="3:15" s="65" customFormat="1">
      <c r="D303" s="65" t="s">
        <v>1144</v>
      </c>
      <c r="E303" s="420">
        <f t="shared" ref="E303:N303" si="192">finY2Q1Org62Exp+finY2Q2Org62Exp+finY2Q3Org62Exp+finY2Q4Org62Exp</f>
        <v>0</v>
      </c>
      <c r="F303" s="420">
        <f t="shared" si="192"/>
        <v>0</v>
      </c>
      <c r="G303" s="420">
        <f t="shared" si="192"/>
        <v>0</v>
      </c>
      <c r="H303" s="420">
        <f t="shared" si="192"/>
        <v>0</v>
      </c>
      <c r="I303" s="420">
        <f t="shared" si="192"/>
        <v>0</v>
      </c>
      <c r="J303" s="420">
        <f t="shared" si="192"/>
        <v>0</v>
      </c>
      <c r="K303" s="420">
        <f t="shared" si="192"/>
        <v>0</v>
      </c>
      <c r="L303" s="420">
        <f t="shared" si="192"/>
        <v>0</v>
      </c>
      <c r="M303" s="420">
        <f t="shared" si="192"/>
        <v>0</v>
      </c>
      <c r="N303" s="420">
        <f t="shared" si="192"/>
        <v>0</v>
      </c>
      <c r="O303" s="65" t="s">
        <v>3294</v>
      </c>
    </row>
    <row r="304" spans="3:15" s="65" customFormat="1">
      <c r="C304" s="65" t="s">
        <v>507</v>
      </c>
      <c r="E304" s="420"/>
      <c r="F304" s="420"/>
      <c r="G304" s="420"/>
      <c r="H304" s="420"/>
      <c r="I304" s="420"/>
      <c r="J304" s="420"/>
      <c r="K304" s="420"/>
      <c r="L304" s="420"/>
      <c r="M304" s="420"/>
      <c r="N304" s="420"/>
    </row>
    <row r="305" spans="3:15">
      <c r="D305" t="s">
        <v>1424</v>
      </c>
      <c r="E305" s="419">
        <f t="shared" ref="E305:N305" si="193">calcY2Q1StackExp</f>
        <v>0</v>
      </c>
      <c r="F305" s="419">
        <f t="shared" si="193"/>
        <v>0</v>
      </c>
      <c r="G305" s="419">
        <f t="shared" si="193"/>
        <v>0</v>
      </c>
      <c r="H305" s="419">
        <f t="shared" si="193"/>
        <v>0</v>
      </c>
      <c r="I305" s="419">
        <f t="shared" si="193"/>
        <v>0</v>
      </c>
      <c r="J305" s="419">
        <f t="shared" si="193"/>
        <v>0</v>
      </c>
      <c r="K305" s="419">
        <f t="shared" si="193"/>
        <v>0</v>
      </c>
      <c r="L305" s="419">
        <f t="shared" si="193"/>
        <v>0</v>
      </c>
      <c r="M305" s="419">
        <f t="shared" si="193"/>
        <v>0</v>
      </c>
      <c r="N305" s="419">
        <f t="shared" si="193"/>
        <v>0</v>
      </c>
      <c r="O305" t="s">
        <v>3295</v>
      </c>
    </row>
    <row r="306" spans="3:15">
      <c r="D306" t="s">
        <v>1458</v>
      </c>
      <c r="E306" s="419">
        <f t="shared" ref="E306:N306" si="194">calcY2Q2StackExp</f>
        <v>0</v>
      </c>
      <c r="F306" s="419">
        <f t="shared" si="194"/>
        <v>0</v>
      </c>
      <c r="G306" s="419">
        <f t="shared" si="194"/>
        <v>0</v>
      </c>
      <c r="H306" s="419">
        <f t="shared" si="194"/>
        <v>0</v>
      </c>
      <c r="I306" s="419">
        <f t="shared" si="194"/>
        <v>0</v>
      </c>
      <c r="J306" s="419">
        <f t="shared" si="194"/>
        <v>0</v>
      </c>
      <c r="K306" s="419">
        <f t="shared" si="194"/>
        <v>0</v>
      </c>
      <c r="L306" s="419">
        <f t="shared" si="194"/>
        <v>0</v>
      </c>
      <c r="M306" s="419">
        <f t="shared" si="194"/>
        <v>0</v>
      </c>
      <c r="N306" s="419">
        <f t="shared" si="194"/>
        <v>0</v>
      </c>
      <c r="O306" t="s">
        <v>3296</v>
      </c>
    </row>
    <row r="307" spans="3:15">
      <c r="D307" t="s">
        <v>1492</v>
      </c>
      <c r="E307" s="419">
        <f t="shared" ref="E307:N307" si="195">calcY2Q3StackExp</f>
        <v>0</v>
      </c>
      <c r="F307" s="419">
        <f t="shared" si="195"/>
        <v>0</v>
      </c>
      <c r="G307" s="419">
        <f t="shared" si="195"/>
        <v>0</v>
      </c>
      <c r="H307" s="419">
        <f t="shared" si="195"/>
        <v>0</v>
      </c>
      <c r="I307" s="419">
        <f t="shared" si="195"/>
        <v>0</v>
      </c>
      <c r="J307" s="419">
        <f t="shared" si="195"/>
        <v>0</v>
      </c>
      <c r="K307" s="419">
        <f t="shared" si="195"/>
        <v>0</v>
      </c>
      <c r="L307" s="419">
        <f t="shared" si="195"/>
        <v>0</v>
      </c>
      <c r="M307" s="419">
        <f t="shared" si="195"/>
        <v>0</v>
      </c>
      <c r="N307" s="419">
        <f t="shared" si="195"/>
        <v>0</v>
      </c>
      <c r="O307" t="s">
        <v>3297</v>
      </c>
    </row>
    <row r="308" spans="3:15">
      <c r="D308" t="s">
        <v>1526</v>
      </c>
      <c r="E308" s="419">
        <f t="shared" ref="E308:N308" si="196">calcY2Q4StackExp</f>
        <v>0</v>
      </c>
      <c r="F308" s="419">
        <f t="shared" si="196"/>
        <v>0</v>
      </c>
      <c r="G308" s="419">
        <f t="shared" si="196"/>
        <v>0</v>
      </c>
      <c r="H308" s="419">
        <f t="shared" si="196"/>
        <v>0</v>
      </c>
      <c r="I308" s="419">
        <f t="shared" si="196"/>
        <v>0</v>
      </c>
      <c r="J308" s="419">
        <f t="shared" si="196"/>
        <v>0</v>
      </c>
      <c r="K308" s="419">
        <f t="shared" si="196"/>
        <v>0</v>
      </c>
      <c r="L308" s="419">
        <f t="shared" si="196"/>
        <v>0</v>
      </c>
      <c r="M308" s="419">
        <f t="shared" si="196"/>
        <v>0</v>
      </c>
      <c r="N308" s="419">
        <f t="shared" si="196"/>
        <v>0</v>
      </c>
      <c r="O308" t="s">
        <v>3298</v>
      </c>
    </row>
    <row r="309" spans="3:15" s="65" customFormat="1">
      <c r="D309" s="65" t="s">
        <v>1181</v>
      </c>
      <c r="E309" s="420">
        <f t="shared" ref="E309:N309" si="197">finY2Q1StackExp+finY2Q2StackExp+finY2Q3StackExp+finY2Q4StackExp</f>
        <v>0</v>
      </c>
      <c r="F309" s="420">
        <f t="shared" si="197"/>
        <v>0</v>
      </c>
      <c r="G309" s="420">
        <f t="shared" si="197"/>
        <v>0</v>
      </c>
      <c r="H309" s="420">
        <f t="shared" si="197"/>
        <v>0</v>
      </c>
      <c r="I309" s="420">
        <f t="shared" si="197"/>
        <v>0</v>
      </c>
      <c r="J309" s="420">
        <f t="shared" si="197"/>
        <v>0</v>
      </c>
      <c r="K309" s="420">
        <f t="shared" si="197"/>
        <v>0</v>
      </c>
      <c r="L309" s="420">
        <f t="shared" si="197"/>
        <v>0</v>
      </c>
      <c r="M309" s="420">
        <f t="shared" si="197"/>
        <v>0</v>
      </c>
      <c r="N309" s="420">
        <f t="shared" si="197"/>
        <v>0</v>
      </c>
      <c r="O309" s="65" t="s">
        <v>3299</v>
      </c>
    </row>
    <row r="310" spans="3:15" s="65" customFormat="1">
      <c r="C310" s="65" t="s">
        <v>2336</v>
      </c>
      <c r="E310" s="420"/>
      <c r="F310" s="420"/>
      <c r="G310" s="420"/>
      <c r="H310" s="420"/>
      <c r="I310" s="420"/>
      <c r="J310" s="420"/>
      <c r="K310" s="420"/>
      <c r="L310" s="420"/>
      <c r="M310" s="420"/>
      <c r="N310" s="420"/>
    </row>
    <row r="311" spans="3:15">
      <c r="D311" t="s">
        <v>2320</v>
      </c>
      <c r="E311" s="419">
        <f t="shared" ref="E311:N311" si="198">calcY2Q1CSGExp</f>
        <v>0</v>
      </c>
      <c r="F311" s="419">
        <f t="shared" si="198"/>
        <v>0</v>
      </c>
      <c r="G311" s="419">
        <f t="shared" si="198"/>
        <v>0</v>
      </c>
      <c r="H311" s="419">
        <f t="shared" si="198"/>
        <v>0</v>
      </c>
      <c r="I311" s="419">
        <f t="shared" si="198"/>
        <v>0</v>
      </c>
      <c r="J311" s="419">
        <f t="shared" si="198"/>
        <v>0</v>
      </c>
      <c r="K311" s="419">
        <f t="shared" si="198"/>
        <v>0</v>
      </c>
      <c r="L311" s="419">
        <f t="shared" si="198"/>
        <v>0</v>
      </c>
      <c r="M311" s="419">
        <f t="shared" si="198"/>
        <v>0</v>
      </c>
      <c r="N311" s="419">
        <f t="shared" si="198"/>
        <v>0</v>
      </c>
      <c r="O311" t="s">
        <v>3300</v>
      </c>
    </row>
    <row r="312" spans="3:15">
      <c r="D312" t="s">
        <v>2324</v>
      </c>
      <c r="E312" s="419">
        <f t="shared" ref="E312:N312" si="199">calcY2Q2CSGExp</f>
        <v>0</v>
      </c>
      <c r="F312" s="419">
        <f t="shared" si="199"/>
        <v>0</v>
      </c>
      <c r="G312" s="419">
        <f t="shared" si="199"/>
        <v>0</v>
      </c>
      <c r="H312" s="419">
        <f t="shared" si="199"/>
        <v>0</v>
      </c>
      <c r="I312" s="419">
        <f t="shared" si="199"/>
        <v>0</v>
      </c>
      <c r="J312" s="419">
        <f t="shared" si="199"/>
        <v>0</v>
      </c>
      <c r="K312" s="419">
        <f t="shared" si="199"/>
        <v>0</v>
      </c>
      <c r="L312" s="419">
        <f t="shared" si="199"/>
        <v>0</v>
      </c>
      <c r="M312" s="419">
        <f t="shared" si="199"/>
        <v>0</v>
      </c>
      <c r="N312" s="419">
        <f t="shared" si="199"/>
        <v>0</v>
      </c>
      <c r="O312" t="s">
        <v>3301</v>
      </c>
    </row>
    <row r="313" spans="3:15">
      <c r="D313" t="s">
        <v>2328</v>
      </c>
      <c r="E313" s="419">
        <f t="shared" ref="E313:N313" si="200">calcY2Q3CSGExp</f>
        <v>0</v>
      </c>
      <c r="F313" s="419">
        <f t="shared" si="200"/>
        <v>0</v>
      </c>
      <c r="G313" s="419">
        <f t="shared" si="200"/>
        <v>0</v>
      </c>
      <c r="H313" s="419">
        <f t="shared" si="200"/>
        <v>0</v>
      </c>
      <c r="I313" s="419">
        <f t="shared" si="200"/>
        <v>0</v>
      </c>
      <c r="J313" s="419">
        <f t="shared" si="200"/>
        <v>0</v>
      </c>
      <c r="K313" s="419">
        <f t="shared" si="200"/>
        <v>0</v>
      </c>
      <c r="L313" s="419">
        <f t="shared" si="200"/>
        <v>0</v>
      </c>
      <c r="M313" s="419">
        <f t="shared" si="200"/>
        <v>0</v>
      </c>
      <c r="N313" s="419">
        <f t="shared" si="200"/>
        <v>0</v>
      </c>
      <c r="O313" t="s">
        <v>3302</v>
      </c>
    </row>
    <row r="314" spans="3:15">
      <c r="D314" t="s">
        <v>2332</v>
      </c>
      <c r="E314" s="419">
        <f t="shared" ref="E314:N314" si="201">calcY2Q4CSGExp</f>
        <v>0</v>
      </c>
      <c r="F314" s="419">
        <f t="shared" si="201"/>
        <v>0</v>
      </c>
      <c r="G314" s="419">
        <f t="shared" si="201"/>
        <v>0</v>
      </c>
      <c r="H314" s="419">
        <f t="shared" si="201"/>
        <v>0</v>
      </c>
      <c r="I314" s="419">
        <f t="shared" si="201"/>
        <v>0</v>
      </c>
      <c r="J314" s="419">
        <f t="shared" si="201"/>
        <v>0</v>
      </c>
      <c r="K314" s="419">
        <f t="shared" si="201"/>
        <v>0</v>
      </c>
      <c r="L314" s="419">
        <f t="shared" si="201"/>
        <v>0</v>
      </c>
      <c r="M314" s="419">
        <f t="shared" si="201"/>
        <v>0</v>
      </c>
      <c r="N314" s="419">
        <f t="shared" si="201"/>
        <v>0</v>
      </c>
      <c r="O314" t="s">
        <v>3303</v>
      </c>
    </row>
    <row r="315" spans="3:15" s="65" customFormat="1">
      <c r="D315" s="65" t="s">
        <v>2341</v>
      </c>
      <c r="E315" s="420">
        <f t="shared" ref="E315:N315" si="202">finY2Q1CSGExp+finY2Q2CSGExp+finY2Q3CSGExp+finY2Q4CSGExp</f>
        <v>0</v>
      </c>
      <c r="F315" s="420">
        <f t="shared" si="202"/>
        <v>0</v>
      </c>
      <c r="G315" s="420">
        <f t="shared" si="202"/>
        <v>0</v>
      </c>
      <c r="H315" s="420">
        <f t="shared" si="202"/>
        <v>0</v>
      </c>
      <c r="I315" s="420">
        <f t="shared" si="202"/>
        <v>0</v>
      </c>
      <c r="J315" s="420">
        <f t="shared" si="202"/>
        <v>0</v>
      </c>
      <c r="K315" s="420">
        <f t="shared" si="202"/>
        <v>0</v>
      </c>
      <c r="L315" s="420">
        <f t="shared" si="202"/>
        <v>0</v>
      </c>
      <c r="M315" s="420">
        <f t="shared" si="202"/>
        <v>0</v>
      </c>
      <c r="N315" s="420">
        <f t="shared" si="202"/>
        <v>0</v>
      </c>
      <c r="O315" s="65" t="s">
        <v>3304</v>
      </c>
    </row>
    <row r="316" spans="3:15" s="65" customFormat="1">
      <c r="C316" s="65" t="s">
        <v>3079</v>
      </c>
      <c r="E316" s="420"/>
      <c r="F316" s="420"/>
      <c r="G316" s="420"/>
      <c r="H316" s="420"/>
      <c r="I316" s="420"/>
      <c r="J316" s="420"/>
      <c r="K316" s="420"/>
      <c r="L316" s="420"/>
      <c r="M316" s="420"/>
      <c r="N316" s="420"/>
    </row>
    <row r="317" spans="3:15">
      <c r="D317" t="s">
        <v>3122</v>
      </c>
      <c r="E317" s="419">
        <f t="shared" ref="E317:N317" si="203">calcY2Q1BrandIntExp</f>
        <v>0</v>
      </c>
      <c r="F317" s="419">
        <f t="shared" si="203"/>
        <v>0</v>
      </c>
      <c r="G317" s="419">
        <f t="shared" si="203"/>
        <v>0</v>
      </c>
      <c r="H317" s="419">
        <f t="shared" si="203"/>
        <v>0</v>
      </c>
      <c r="I317" s="419">
        <f t="shared" si="203"/>
        <v>0</v>
      </c>
      <c r="J317" s="419">
        <f t="shared" si="203"/>
        <v>0</v>
      </c>
      <c r="K317" s="419">
        <f t="shared" si="203"/>
        <v>0</v>
      </c>
      <c r="L317" s="419">
        <f t="shared" si="203"/>
        <v>0</v>
      </c>
      <c r="M317" s="419">
        <f t="shared" si="203"/>
        <v>0</v>
      </c>
      <c r="N317" s="419">
        <f t="shared" si="203"/>
        <v>0</v>
      </c>
      <c r="O317" t="s">
        <v>3305</v>
      </c>
    </row>
    <row r="318" spans="3:15">
      <c r="D318" t="s">
        <v>3124</v>
      </c>
      <c r="E318" s="419">
        <f t="shared" ref="E318:N318" si="204">calcY2Q2BrandIntExp</f>
        <v>0</v>
      </c>
      <c r="F318" s="419">
        <f t="shared" si="204"/>
        <v>0</v>
      </c>
      <c r="G318" s="419">
        <f t="shared" si="204"/>
        <v>0</v>
      </c>
      <c r="H318" s="419">
        <f t="shared" si="204"/>
        <v>0</v>
      </c>
      <c r="I318" s="419">
        <f t="shared" si="204"/>
        <v>0</v>
      </c>
      <c r="J318" s="419">
        <f t="shared" si="204"/>
        <v>0</v>
      </c>
      <c r="K318" s="419">
        <f t="shared" si="204"/>
        <v>0</v>
      </c>
      <c r="L318" s="419">
        <f t="shared" si="204"/>
        <v>0</v>
      </c>
      <c r="M318" s="419">
        <f t="shared" si="204"/>
        <v>0</v>
      </c>
      <c r="N318" s="419">
        <f t="shared" si="204"/>
        <v>0</v>
      </c>
      <c r="O318" t="s">
        <v>3306</v>
      </c>
    </row>
    <row r="319" spans="3:15">
      <c r="D319" t="s">
        <v>3126</v>
      </c>
      <c r="E319" s="419">
        <f t="shared" ref="E319:N319" si="205">calcY2Q3BrandIntExp</f>
        <v>0</v>
      </c>
      <c r="F319" s="419">
        <f t="shared" si="205"/>
        <v>0</v>
      </c>
      <c r="G319" s="419">
        <f t="shared" si="205"/>
        <v>0</v>
      </c>
      <c r="H319" s="419">
        <f t="shared" si="205"/>
        <v>0</v>
      </c>
      <c r="I319" s="419">
        <f t="shared" si="205"/>
        <v>0</v>
      </c>
      <c r="J319" s="419">
        <f t="shared" si="205"/>
        <v>0</v>
      </c>
      <c r="K319" s="419">
        <f t="shared" si="205"/>
        <v>0</v>
      </c>
      <c r="L319" s="419">
        <f t="shared" si="205"/>
        <v>0</v>
      </c>
      <c r="M319" s="419">
        <f t="shared" si="205"/>
        <v>0</v>
      </c>
      <c r="N319" s="419">
        <f t="shared" si="205"/>
        <v>0</v>
      </c>
      <c r="O319" t="s">
        <v>3307</v>
      </c>
    </row>
    <row r="320" spans="3:15">
      <c r="D320" t="s">
        <v>3128</v>
      </c>
      <c r="E320" s="419">
        <f t="shared" ref="E320:N320" si="206">calcY2Q4BrandIntExp</f>
        <v>0</v>
      </c>
      <c r="F320" s="419">
        <f t="shared" si="206"/>
        <v>0</v>
      </c>
      <c r="G320" s="419">
        <f t="shared" si="206"/>
        <v>0</v>
      </c>
      <c r="H320" s="419">
        <f t="shared" si="206"/>
        <v>0</v>
      </c>
      <c r="I320" s="419">
        <f t="shared" si="206"/>
        <v>0</v>
      </c>
      <c r="J320" s="419">
        <f t="shared" si="206"/>
        <v>0</v>
      </c>
      <c r="K320" s="419">
        <f t="shared" si="206"/>
        <v>0</v>
      </c>
      <c r="L320" s="419">
        <f t="shared" si="206"/>
        <v>0</v>
      </c>
      <c r="M320" s="419">
        <f t="shared" si="206"/>
        <v>0</v>
      </c>
      <c r="N320" s="419">
        <f t="shared" si="206"/>
        <v>0</v>
      </c>
      <c r="O320" t="s">
        <v>3308</v>
      </c>
    </row>
    <row r="321" spans="3:15" s="65" customFormat="1">
      <c r="D321" s="65" t="s">
        <v>2341</v>
      </c>
      <c r="E321" s="420">
        <f t="shared" ref="E321:N321" si="207">finY2Q1BrandIntExp+finY2Q2BrandIntExp+finY2Q3BrandIntExp+finY2Q4BrandIntExp</f>
        <v>0</v>
      </c>
      <c r="F321" s="420">
        <f t="shared" si="207"/>
        <v>0</v>
      </c>
      <c r="G321" s="420">
        <f t="shared" si="207"/>
        <v>0</v>
      </c>
      <c r="H321" s="420">
        <f t="shared" si="207"/>
        <v>0</v>
      </c>
      <c r="I321" s="420">
        <f t="shared" si="207"/>
        <v>0</v>
      </c>
      <c r="J321" s="420">
        <f t="shared" si="207"/>
        <v>0</v>
      </c>
      <c r="K321" s="420">
        <f t="shared" si="207"/>
        <v>0</v>
      </c>
      <c r="L321" s="420">
        <f t="shared" si="207"/>
        <v>0</v>
      </c>
      <c r="M321" s="420">
        <f t="shared" si="207"/>
        <v>0</v>
      </c>
      <c r="N321" s="420">
        <f t="shared" si="207"/>
        <v>0</v>
      </c>
      <c r="O321" s="65" t="s">
        <v>3309</v>
      </c>
    </row>
    <row r="322" spans="3:15" s="65" customFormat="1">
      <c r="C322" s="65" t="s">
        <v>2397</v>
      </c>
      <c r="E322" s="420"/>
      <c r="F322" s="420"/>
      <c r="G322" s="420"/>
      <c r="H322" s="420"/>
      <c r="I322" s="420"/>
      <c r="J322" s="420"/>
      <c r="K322" s="420"/>
      <c r="L322" s="420"/>
      <c r="M322" s="420"/>
      <c r="N322" s="420"/>
    </row>
    <row r="323" spans="3:15">
      <c r="D323" t="s">
        <v>2374</v>
      </c>
      <c r="E323" s="419">
        <f t="shared" ref="E323:N323" si="208">calcY2Q1LeadPassExp</f>
        <v>0</v>
      </c>
      <c r="F323" s="419">
        <f t="shared" si="208"/>
        <v>0</v>
      </c>
      <c r="G323" s="419">
        <f t="shared" si="208"/>
        <v>0</v>
      </c>
      <c r="H323" s="419">
        <f t="shared" si="208"/>
        <v>0</v>
      </c>
      <c r="I323" s="419">
        <f t="shared" si="208"/>
        <v>0</v>
      </c>
      <c r="J323" s="419">
        <f t="shared" si="208"/>
        <v>0</v>
      </c>
      <c r="K323" s="419">
        <f t="shared" si="208"/>
        <v>0</v>
      </c>
      <c r="L323" s="419">
        <f t="shared" si="208"/>
        <v>0</v>
      </c>
      <c r="M323" s="419">
        <f t="shared" si="208"/>
        <v>0</v>
      </c>
      <c r="N323" s="419">
        <f t="shared" si="208"/>
        <v>0</v>
      </c>
      <c r="O323" t="s">
        <v>3310</v>
      </c>
    </row>
    <row r="324" spans="3:15">
      <c r="D324" t="s">
        <v>2378</v>
      </c>
      <c r="E324" s="419">
        <f t="shared" ref="E324:N324" si="209">calcY2Q2LeadPassExp</f>
        <v>0</v>
      </c>
      <c r="F324" s="419">
        <f t="shared" si="209"/>
        <v>0</v>
      </c>
      <c r="G324" s="419">
        <f t="shared" si="209"/>
        <v>0</v>
      </c>
      <c r="H324" s="419">
        <f t="shared" si="209"/>
        <v>0</v>
      </c>
      <c r="I324" s="419">
        <f t="shared" si="209"/>
        <v>0</v>
      </c>
      <c r="J324" s="419">
        <f t="shared" si="209"/>
        <v>0</v>
      </c>
      <c r="K324" s="419">
        <f t="shared" si="209"/>
        <v>0</v>
      </c>
      <c r="L324" s="419">
        <f t="shared" si="209"/>
        <v>0</v>
      </c>
      <c r="M324" s="419">
        <f t="shared" si="209"/>
        <v>0</v>
      </c>
      <c r="N324" s="419">
        <f t="shared" si="209"/>
        <v>0</v>
      </c>
      <c r="O324" t="s">
        <v>3311</v>
      </c>
    </row>
    <row r="325" spans="3:15">
      <c r="D325" t="s">
        <v>2382</v>
      </c>
      <c r="E325" s="419">
        <f t="shared" ref="E325:N325" si="210">calcY2Q3LeadPassExp</f>
        <v>0</v>
      </c>
      <c r="F325" s="419">
        <f t="shared" si="210"/>
        <v>0</v>
      </c>
      <c r="G325" s="419">
        <f t="shared" si="210"/>
        <v>0</v>
      </c>
      <c r="H325" s="419">
        <f t="shared" si="210"/>
        <v>0</v>
      </c>
      <c r="I325" s="419">
        <f t="shared" si="210"/>
        <v>0</v>
      </c>
      <c r="J325" s="419">
        <f t="shared" si="210"/>
        <v>0</v>
      </c>
      <c r="K325" s="419">
        <f t="shared" si="210"/>
        <v>0</v>
      </c>
      <c r="L325" s="419">
        <f t="shared" si="210"/>
        <v>0</v>
      </c>
      <c r="M325" s="419">
        <f t="shared" si="210"/>
        <v>0</v>
      </c>
      <c r="N325" s="419">
        <f t="shared" si="210"/>
        <v>0</v>
      </c>
      <c r="O325" t="s">
        <v>3312</v>
      </c>
    </row>
    <row r="326" spans="3:15">
      <c r="D326" t="s">
        <v>2386</v>
      </c>
      <c r="E326" s="419">
        <f t="shared" ref="E326:N326" si="211">calcY2Q4LeadPassExp</f>
        <v>0</v>
      </c>
      <c r="F326" s="419">
        <f t="shared" si="211"/>
        <v>0</v>
      </c>
      <c r="G326" s="419">
        <f t="shared" si="211"/>
        <v>0</v>
      </c>
      <c r="H326" s="419">
        <f t="shared" si="211"/>
        <v>0</v>
      </c>
      <c r="I326" s="419">
        <f t="shared" si="211"/>
        <v>0</v>
      </c>
      <c r="J326" s="419">
        <f t="shared" si="211"/>
        <v>0</v>
      </c>
      <c r="K326" s="419">
        <f t="shared" si="211"/>
        <v>0</v>
      </c>
      <c r="L326" s="419">
        <f t="shared" si="211"/>
        <v>0</v>
      </c>
      <c r="M326" s="419">
        <f t="shared" si="211"/>
        <v>0</v>
      </c>
      <c r="N326" s="419">
        <f t="shared" si="211"/>
        <v>0</v>
      </c>
      <c r="O326" t="s">
        <v>3313</v>
      </c>
    </row>
    <row r="327" spans="3:15" s="65" customFormat="1">
      <c r="D327" s="65" t="s">
        <v>2402</v>
      </c>
      <c r="E327" s="420">
        <f t="shared" ref="E327:N327" si="212">finY2Q1LeadPassExp+finY2Q2LeadPassExp+finY2Q3LeadPassExp+finY2Q4LeadPassExp</f>
        <v>0</v>
      </c>
      <c r="F327" s="420">
        <f t="shared" si="212"/>
        <v>0</v>
      </c>
      <c r="G327" s="420">
        <f t="shared" si="212"/>
        <v>0</v>
      </c>
      <c r="H327" s="420">
        <f t="shared" si="212"/>
        <v>0</v>
      </c>
      <c r="I327" s="420">
        <f t="shared" si="212"/>
        <v>0</v>
      </c>
      <c r="J327" s="420">
        <f t="shared" si="212"/>
        <v>0</v>
      </c>
      <c r="K327" s="420">
        <f t="shared" si="212"/>
        <v>0</v>
      </c>
      <c r="L327" s="420">
        <f t="shared" si="212"/>
        <v>0</v>
      </c>
      <c r="M327" s="420">
        <f t="shared" si="212"/>
        <v>0</v>
      </c>
      <c r="N327" s="420">
        <f t="shared" si="212"/>
        <v>0</v>
      </c>
      <c r="O327" s="65" t="s">
        <v>3314</v>
      </c>
    </row>
    <row r="328" spans="3:15" s="65" customFormat="1">
      <c r="C328" s="65" t="s">
        <v>494</v>
      </c>
      <c r="E328" s="420"/>
      <c r="F328" s="420"/>
      <c r="G328" s="420"/>
      <c r="H328" s="420"/>
      <c r="I328" s="420"/>
      <c r="J328" s="420"/>
      <c r="K328" s="420"/>
      <c r="L328" s="420"/>
      <c r="M328" s="420"/>
      <c r="N328" s="420"/>
    </row>
    <row r="329" spans="3:15">
      <c r="D329" t="s">
        <v>1428</v>
      </c>
      <c r="E329" s="419"/>
      <c r="F329" s="419"/>
      <c r="G329" s="419"/>
      <c r="H329" s="419"/>
      <c r="I329" s="419"/>
      <c r="J329" s="419"/>
      <c r="K329" s="419"/>
      <c r="L329" s="419"/>
      <c r="M329" s="419"/>
      <c r="N329" s="419"/>
      <c r="O329" t="s">
        <v>3315</v>
      </c>
    </row>
    <row r="330" spans="3:15">
      <c r="D330" t="s">
        <v>1462</v>
      </c>
      <c r="E330" s="419"/>
      <c r="F330" s="419"/>
      <c r="G330" s="419"/>
      <c r="H330" s="419"/>
      <c r="I330" s="419"/>
      <c r="J330" s="419"/>
      <c r="K330" s="419"/>
      <c r="L330" s="419"/>
      <c r="M330" s="419"/>
      <c r="N330" s="419"/>
      <c r="O330" t="s">
        <v>3316</v>
      </c>
    </row>
    <row r="331" spans="3:15">
      <c r="D331" t="s">
        <v>1496</v>
      </c>
      <c r="E331" s="419"/>
      <c r="F331" s="419"/>
      <c r="G331" s="419"/>
      <c r="H331" s="419"/>
      <c r="I331" s="419"/>
      <c r="J331" s="419"/>
      <c r="K331" s="419"/>
      <c r="L331" s="419"/>
      <c r="M331" s="419"/>
      <c r="N331" s="419"/>
      <c r="O331" t="s">
        <v>3317</v>
      </c>
    </row>
    <row r="332" spans="3:15">
      <c r="D332" t="s">
        <v>1530</v>
      </c>
      <c r="E332" s="419"/>
      <c r="F332" s="419"/>
      <c r="G332" s="419"/>
      <c r="H332" s="419"/>
      <c r="I332" s="419"/>
      <c r="J332" s="419"/>
      <c r="K332" s="419"/>
      <c r="L332" s="419"/>
      <c r="M332" s="419"/>
      <c r="N332" s="419"/>
      <c r="O332" t="s">
        <v>3318</v>
      </c>
    </row>
    <row r="333" spans="3:15" s="65" customFormat="1">
      <c r="D333" s="65" t="s">
        <v>1372</v>
      </c>
      <c r="E333" s="420"/>
      <c r="F333" s="420"/>
      <c r="G333" s="420"/>
      <c r="H333" s="420"/>
      <c r="I333" s="420"/>
      <c r="J333" s="420"/>
      <c r="K333" s="420"/>
      <c r="L333" s="420"/>
      <c r="M333" s="420"/>
      <c r="N333" s="420"/>
      <c r="O333" s="65" t="s">
        <v>3319</v>
      </c>
    </row>
    <row r="334" spans="3:15" s="65" customFormat="1">
      <c r="C334" s="65" t="s">
        <v>494</v>
      </c>
      <c r="E334" s="420"/>
      <c r="F334" s="420"/>
      <c r="G334" s="420"/>
      <c r="H334" s="420"/>
      <c r="I334" s="420"/>
      <c r="J334" s="420"/>
      <c r="K334" s="420"/>
      <c r="L334" s="420"/>
      <c r="M334" s="420"/>
      <c r="N334" s="420"/>
    </row>
    <row r="335" spans="3:15">
      <c r="D335" t="s">
        <v>1689</v>
      </c>
      <c r="E335" s="419">
        <f t="shared" ref="E335:N335" si="213">calcY2Q1ExternalSalesExp</f>
        <v>0</v>
      </c>
      <c r="F335" s="419">
        <f t="shared" si="213"/>
        <v>0</v>
      </c>
      <c r="G335" s="419">
        <f t="shared" si="213"/>
        <v>0</v>
      </c>
      <c r="H335" s="419">
        <f t="shared" si="213"/>
        <v>0</v>
      </c>
      <c r="I335" s="419">
        <f t="shared" si="213"/>
        <v>0</v>
      </c>
      <c r="J335" s="419">
        <f t="shared" si="213"/>
        <v>0</v>
      </c>
      <c r="K335" s="419">
        <f t="shared" si="213"/>
        <v>0</v>
      </c>
      <c r="L335" s="419">
        <f t="shared" si="213"/>
        <v>0</v>
      </c>
      <c r="M335" s="419">
        <f t="shared" si="213"/>
        <v>0</v>
      </c>
      <c r="N335" s="419">
        <f t="shared" si="213"/>
        <v>0</v>
      </c>
      <c r="O335" t="s">
        <v>3320</v>
      </c>
    </row>
    <row r="336" spans="3:15">
      <c r="D336" t="s">
        <v>1693</v>
      </c>
      <c r="E336" s="419">
        <f t="shared" ref="E336:N336" si="214">calcY2Q2ExternalSalesExp</f>
        <v>0</v>
      </c>
      <c r="F336" s="419">
        <f t="shared" si="214"/>
        <v>0</v>
      </c>
      <c r="G336" s="419">
        <f t="shared" si="214"/>
        <v>0</v>
      </c>
      <c r="H336" s="419">
        <f t="shared" si="214"/>
        <v>0</v>
      </c>
      <c r="I336" s="419">
        <f t="shared" si="214"/>
        <v>0</v>
      </c>
      <c r="J336" s="419">
        <f t="shared" si="214"/>
        <v>0</v>
      </c>
      <c r="K336" s="419">
        <f t="shared" si="214"/>
        <v>0</v>
      </c>
      <c r="L336" s="419">
        <f t="shared" si="214"/>
        <v>0</v>
      </c>
      <c r="M336" s="419">
        <f t="shared" si="214"/>
        <v>0</v>
      </c>
      <c r="N336" s="419">
        <f t="shared" si="214"/>
        <v>0</v>
      </c>
      <c r="O336" t="s">
        <v>3321</v>
      </c>
    </row>
    <row r="337" spans="1:15">
      <c r="D337" t="s">
        <v>1697</v>
      </c>
      <c r="E337" s="419">
        <f t="shared" ref="E337:N337" si="215">calcY2Q3ExternalSalesExp</f>
        <v>0</v>
      </c>
      <c r="F337" s="419">
        <f t="shared" si="215"/>
        <v>0</v>
      </c>
      <c r="G337" s="419">
        <f t="shared" si="215"/>
        <v>0</v>
      </c>
      <c r="H337" s="419">
        <f t="shared" si="215"/>
        <v>0</v>
      </c>
      <c r="I337" s="419">
        <f t="shared" si="215"/>
        <v>0</v>
      </c>
      <c r="J337" s="419">
        <f t="shared" si="215"/>
        <v>0</v>
      </c>
      <c r="K337" s="419">
        <f t="shared" si="215"/>
        <v>0</v>
      </c>
      <c r="L337" s="419">
        <f t="shared" si="215"/>
        <v>0</v>
      </c>
      <c r="M337" s="419">
        <f t="shared" si="215"/>
        <v>0</v>
      </c>
      <c r="N337" s="419">
        <f t="shared" si="215"/>
        <v>0</v>
      </c>
      <c r="O337" t="s">
        <v>3322</v>
      </c>
    </row>
    <row r="338" spans="1:15">
      <c r="D338" t="s">
        <v>1701</v>
      </c>
      <c r="E338" s="419">
        <f t="shared" ref="E338:N338" si="216">calcY2Q4ExternalSalesExp</f>
        <v>0</v>
      </c>
      <c r="F338" s="419">
        <f t="shared" si="216"/>
        <v>0</v>
      </c>
      <c r="G338" s="419">
        <f t="shared" si="216"/>
        <v>0</v>
      </c>
      <c r="H338" s="419">
        <f t="shared" si="216"/>
        <v>0</v>
      </c>
      <c r="I338" s="419">
        <f t="shared" si="216"/>
        <v>0</v>
      </c>
      <c r="J338" s="419">
        <f t="shared" si="216"/>
        <v>0</v>
      </c>
      <c r="K338" s="419">
        <f t="shared" si="216"/>
        <v>0</v>
      </c>
      <c r="L338" s="419">
        <f t="shared" si="216"/>
        <v>0</v>
      </c>
      <c r="M338" s="419">
        <f t="shared" si="216"/>
        <v>0</v>
      </c>
      <c r="N338" s="419">
        <f t="shared" si="216"/>
        <v>0</v>
      </c>
      <c r="O338" t="s">
        <v>3323</v>
      </c>
    </row>
    <row r="339" spans="1:15" s="65" customFormat="1">
      <c r="D339" s="65" t="s">
        <v>1710</v>
      </c>
      <c r="E339" s="420">
        <f t="shared" ref="E339:N339" si="217">finY2Q1ExternalSalesExp+finY2Q2ExternalSalesExp+finY2Q3ExternalSalesExp+finY2Q4ExternalSalesExp</f>
        <v>0</v>
      </c>
      <c r="F339" s="420">
        <f t="shared" si="217"/>
        <v>0</v>
      </c>
      <c r="G339" s="420">
        <f t="shared" si="217"/>
        <v>0</v>
      </c>
      <c r="H339" s="420">
        <f t="shared" si="217"/>
        <v>0</v>
      </c>
      <c r="I339" s="420">
        <f t="shared" si="217"/>
        <v>0</v>
      </c>
      <c r="J339" s="420">
        <f t="shared" si="217"/>
        <v>0</v>
      </c>
      <c r="K339" s="420">
        <f t="shared" si="217"/>
        <v>0</v>
      </c>
      <c r="L339" s="420">
        <f t="shared" si="217"/>
        <v>0</v>
      </c>
      <c r="M339" s="420">
        <f t="shared" si="217"/>
        <v>0</v>
      </c>
      <c r="N339" s="420">
        <f t="shared" si="217"/>
        <v>0</v>
      </c>
      <c r="O339" s="65" t="s">
        <v>3324</v>
      </c>
    </row>
    <row r="340" spans="1:15" s="65" customFormat="1">
      <c r="C340" s="65" t="s">
        <v>1386</v>
      </c>
      <c r="E340" s="420"/>
      <c r="F340" s="420"/>
      <c r="G340" s="420"/>
      <c r="H340" s="420"/>
      <c r="I340" s="420"/>
      <c r="J340" s="420"/>
      <c r="K340" s="420"/>
      <c r="L340" s="420"/>
      <c r="M340" s="420"/>
      <c r="N340" s="420"/>
    </row>
    <row r="341" spans="1:15">
      <c r="D341" t="s">
        <v>1563</v>
      </c>
      <c r="E341" s="419">
        <f t="shared" ref="E341:N341" si="218">calcY2Q1RevWriteDownExp</f>
        <v>0</v>
      </c>
      <c r="F341" s="419">
        <f t="shared" si="218"/>
        <v>0</v>
      </c>
      <c r="G341" s="419">
        <f t="shared" si="218"/>
        <v>0</v>
      </c>
      <c r="H341" s="419">
        <f t="shared" si="218"/>
        <v>0</v>
      </c>
      <c r="I341" s="419">
        <f t="shared" si="218"/>
        <v>0</v>
      </c>
      <c r="J341" s="419">
        <f t="shared" si="218"/>
        <v>0</v>
      </c>
      <c r="K341" s="419">
        <f t="shared" si="218"/>
        <v>0</v>
      </c>
      <c r="L341" s="419">
        <f t="shared" si="218"/>
        <v>0</v>
      </c>
      <c r="M341" s="419">
        <f t="shared" si="218"/>
        <v>0</v>
      </c>
      <c r="N341" s="419">
        <f t="shared" si="218"/>
        <v>0</v>
      </c>
      <c r="O341" t="s">
        <v>3325</v>
      </c>
    </row>
    <row r="342" spans="1:15">
      <c r="D342" t="s">
        <v>1584</v>
      </c>
      <c r="E342" s="419">
        <f t="shared" ref="E342:N342" si="219">calcY2Q2RevWriteDownExp</f>
        <v>0</v>
      </c>
      <c r="F342" s="419">
        <f t="shared" si="219"/>
        <v>0</v>
      </c>
      <c r="G342" s="419">
        <f t="shared" si="219"/>
        <v>0</v>
      </c>
      <c r="H342" s="419">
        <f t="shared" si="219"/>
        <v>0</v>
      </c>
      <c r="I342" s="419">
        <f t="shared" si="219"/>
        <v>0</v>
      </c>
      <c r="J342" s="419">
        <f t="shared" si="219"/>
        <v>0</v>
      </c>
      <c r="K342" s="419">
        <f t="shared" si="219"/>
        <v>0</v>
      </c>
      <c r="L342" s="419">
        <f t="shared" si="219"/>
        <v>0</v>
      </c>
      <c r="M342" s="419">
        <f t="shared" si="219"/>
        <v>0</v>
      </c>
      <c r="N342" s="419">
        <f t="shared" si="219"/>
        <v>0</v>
      </c>
      <c r="O342" t="s">
        <v>3326</v>
      </c>
    </row>
    <row r="343" spans="1:15">
      <c r="D343" t="s">
        <v>1605</v>
      </c>
      <c r="E343" s="419">
        <f t="shared" ref="E343:N343" si="220">calcY2Q3RevWriteDownExp</f>
        <v>0</v>
      </c>
      <c r="F343" s="419">
        <f t="shared" si="220"/>
        <v>0</v>
      </c>
      <c r="G343" s="419">
        <f t="shared" si="220"/>
        <v>0</v>
      </c>
      <c r="H343" s="419">
        <f t="shared" si="220"/>
        <v>0</v>
      </c>
      <c r="I343" s="419">
        <f t="shared" si="220"/>
        <v>0</v>
      </c>
      <c r="J343" s="419">
        <f t="shared" si="220"/>
        <v>0</v>
      </c>
      <c r="K343" s="419">
        <f t="shared" si="220"/>
        <v>0</v>
      </c>
      <c r="L343" s="419">
        <f t="shared" si="220"/>
        <v>0</v>
      </c>
      <c r="M343" s="419">
        <f t="shared" si="220"/>
        <v>0</v>
      </c>
      <c r="N343" s="419">
        <f t="shared" si="220"/>
        <v>0</v>
      </c>
      <c r="O343" t="s">
        <v>3327</v>
      </c>
    </row>
    <row r="344" spans="1:15">
      <c r="D344" t="s">
        <v>1626</v>
      </c>
      <c r="E344" s="419">
        <f t="shared" ref="E344:N344" si="221">calcY2Q4RevWriteDownExp</f>
        <v>0</v>
      </c>
      <c r="F344" s="419">
        <f t="shared" si="221"/>
        <v>0</v>
      </c>
      <c r="G344" s="419">
        <f t="shared" si="221"/>
        <v>0</v>
      </c>
      <c r="H344" s="419">
        <f t="shared" si="221"/>
        <v>0</v>
      </c>
      <c r="I344" s="419">
        <f t="shared" si="221"/>
        <v>0</v>
      </c>
      <c r="J344" s="419">
        <f t="shared" si="221"/>
        <v>0</v>
      </c>
      <c r="K344" s="419">
        <f t="shared" si="221"/>
        <v>0</v>
      </c>
      <c r="L344" s="419">
        <f t="shared" si="221"/>
        <v>0</v>
      </c>
      <c r="M344" s="419">
        <f t="shared" si="221"/>
        <v>0</v>
      </c>
      <c r="N344" s="419">
        <f t="shared" si="221"/>
        <v>0</v>
      </c>
      <c r="O344" t="s">
        <v>3328</v>
      </c>
    </row>
    <row r="345" spans="1:15" s="65" customFormat="1">
      <c r="D345" s="65" t="s">
        <v>1395</v>
      </c>
      <c r="E345" s="420">
        <f t="shared" ref="E345:N345" si="222">finY2Q1RevWriteDownExp+finY2Q2RevWriteDownExp+finY2Q3RevWriteDownExp+finY2Q4RevWriteDownExp</f>
        <v>0</v>
      </c>
      <c r="F345" s="420">
        <f t="shared" si="222"/>
        <v>0</v>
      </c>
      <c r="G345" s="420">
        <f t="shared" si="222"/>
        <v>0</v>
      </c>
      <c r="H345" s="420">
        <f t="shared" si="222"/>
        <v>0</v>
      </c>
      <c r="I345" s="420">
        <f t="shared" si="222"/>
        <v>0</v>
      </c>
      <c r="J345" s="420">
        <f t="shared" si="222"/>
        <v>0</v>
      </c>
      <c r="K345" s="420">
        <f t="shared" si="222"/>
        <v>0</v>
      </c>
      <c r="L345" s="420">
        <f t="shared" si="222"/>
        <v>0</v>
      </c>
      <c r="M345" s="420">
        <f t="shared" si="222"/>
        <v>0</v>
      </c>
      <c r="N345" s="420">
        <f t="shared" si="222"/>
        <v>0</v>
      </c>
      <c r="O345" s="65" t="s">
        <v>3329</v>
      </c>
    </row>
    <row r="346" spans="1:15">
      <c r="A346" s="65" t="s">
        <v>1148</v>
      </c>
      <c r="E346" s="419"/>
      <c r="F346" s="419"/>
      <c r="G346" s="419"/>
      <c r="H346" s="419"/>
      <c r="I346" s="419"/>
      <c r="J346" s="419"/>
      <c r="K346" s="419"/>
      <c r="L346" s="419"/>
      <c r="M346" s="419"/>
      <c r="N346" s="419"/>
    </row>
    <row r="347" spans="1:15">
      <c r="D347" t="s">
        <v>426</v>
      </c>
      <c r="E347" s="419">
        <f t="shared" ref="E347:N347" si="223">finY2AnnualOpProfit-finY2AnnualHarmExp-finY2AnnualITExp-finY2AnnualTrustExp-finY2AnnualOrg62Exp-finY2AnnualStackExp-finY2AnnualFullREExp-finY2AnnualGAMigrationExp-finY2AnnualPackagingPricingExp-finY2AnnualRevWriteDownExp-finY2AnnualExternalSalesExp-finY2AnnualCSGExp-finY2AnnualBrandIntExp</f>
        <v>-38373668.470346153</v>
      </c>
      <c r="F347" s="419">
        <f t="shared" si="223"/>
        <v>-38373668.470346153</v>
      </c>
      <c r="G347" s="419">
        <f t="shared" si="223"/>
        <v>-38373668.470346153</v>
      </c>
      <c r="H347" s="419">
        <f t="shared" si="223"/>
        <v>-38373668.470346153</v>
      </c>
      <c r="I347" s="419">
        <f t="shared" si="223"/>
        <v>-38373668.470346153</v>
      </c>
      <c r="J347" s="419">
        <f t="shared" si="223"/>
        <v>-38373668.470346153</v>
      </c>
      <c r="K347" s="419">
        <f t="shared" si="223"/>
        <v>-38373668.470346153</v>
      </c>
      <c r="L347" s="419">
        <f t="shared" si="223"/>
        <v>-38373668.470346153</v>
      </c>
      <c r="M347" s="419">
        <f t="shared" si="223"/>
        <v>-38373668.470346153</v>
      </c>
      <c r="N347" s="419">
        <f t="shared" si="223"/>
        <v>-38373668.470346153</v>
      </c>
      <c r="O347" t="s">
        <v>3330</v>
      </c>
    </row>
    <row r="348" spans="1:15">
      <c r="D348" t="s">
        <v>967</v>
      </c>
      <c r="E348" s="442">
        <f t="shared" ref="E348:N348" si="224">finY2AnnualIntegratedOpProfit/FinY2AnnualRev</f>
        <v>-0.17356466964764275</v>
      </c>
      <c r="F348" s="442">
        <f t="shared" si="224"/>
        <v>-0.17356466964764275</v>
      </c>
      <c r="G348" s="442">
        <f t="shared" si="224"/>
        <v>-0.17356466964764275</v>
      </c>
      <c r="H348" s="442">
        <f t="shared" si="224"/>
        <v>-0.17356466964764275</v>
      </c>
      <c r="I348" s="442">
        <f t="shared" si="224"/>
        <v>-0.17356466964764275</v>
      </c>
      <c r="J348" s="442">
        <f t="shared" si="224"/>
        <v>-0.17356466964764275</v>
      </c>
      <c r="K348" s="442">
        <f t="shared" si="224"/>
        <v>-0.17356466964764275</v>
      </c>
      <c r="L348" s="442">
        <f t="shared" si="224"/>
        <v>-0.17356466964764275</v>
      </c>
      <c r="M348" s="442">
        <f t="shared" si="224"/>
        <v>-0.17356466964764275</v>
      </c>
      <c r="N348" s="442">
        <f t="shared" si="224"/>
        <v>-0.17356466964764275</v>
      </c>
      <c r="O348" t="s">
        <v>3331</v>
      </c>
    </row>
    <row r="349" spans="1:15" s="65" customFormat="1">
      <c r="B349" s="65" t="s">
        <v>2078</v>
      </c>
      <c r="E349" s="420"/>
      <c r="F349" s="420"/>
      <c r="G349" s="420"/>
      <c r="H349" s="420"/>
      <c r="I349" s="420"/>
      <c r="J349" s="420"/>
      <c r="K349" s="420"/>
      <c r="L349" s="420"/>
      <c r="M349" s="420"/>
      <c r="N349" s="420"/>
    </row>
    <row r="350" spans="1:15" s="69" customFormat="1">
      <c r="C350" s="69" t="s">
        <v>1278</v>
      </c>
      <c r="D350" s="69" t="s">
        <v>899</v>
      </c>
      <c r="E350" s="426">
        <f t="shared" ref="E350:N350" si="225">calcACVY1Q1</f>
        <v>9375000</v>
      </c>
      <c r="F350" s="426">
        <f t="shared" si="225"/>
        <v>9375000</v>
      </c>
      <c r="G350" s="426">
        <f t="shared" si="225"/>
        <v>9375000</v>
      </c>
      <c r="H350" s="426">
        <f t="shared" si="225"/>
        <v>9375000</v>
      </c>
      <c r="I350" s="426">
        <f t="shared" si="225"/>
        <v>9375000</v>
      </c>
      <c r="J350" s="426">
        <f t="shared" si="225"/>
        <v>9375000</v>
      </c>
      <c r="K350" s="426">
        <f t="shared" si="225"/>
        <v>9375000</v>
      </c>
      <c r="L350" s="426">
        <f t="shared" si="225"/>
        <v>9375000</v>
      </c>
      <c r="M350" s="426">
        <f t="shared" si="225"/>
        <v>9375000</v>
      </c>
      <c r="N350" s="426">
        <f t="shared" si="225"/>
        <v>9375000</v>
      </c>
      <c r="O350" s="426" t="s">
        <v>3332</v>
      </c>
    </row>
    <row r="351" spans="1:15" s="69" customFormat="1">
      <c r="C351" s="69" t="s">
        <v>1278</v>
      </c>
      <c r="D351" s="69" t="s">
        <v>900</v>
      </c>
      <c r="E351" s="426">
        <f t="shared" ref="E351:N351" si="226">calcACVY1Q2</f>
        <v>11458333.333333332</v>
      </c>
      <c r="F351" s="426">
        <f t="shared" si="226"/>
        <v>11458333.333333332</v>
      </c>
      <c r="G351" s="426">
        <f t="shared" si="226"/>
        <v>11458333.333333332</v>
      </c>
      <c r="H351" s="426">
        <f t="shared" si="226"/>
        <v>11458333.333333332</v>
      </c>
      <c r="I351" s="426">
        <f t="shared" si="226"/>
        <v>11458333.333333332</v>
      </c>
      <c r="J351" s="426">
        <f t="shared" si="226"/>
        <v>11458333.333333332</v>
      </c>
      <c r="K351" s="426">
        <f t="shared" si="226"/>
        <v>11458333.333333332</v>
      </c>
      <c r="L351" s="426">
        <f t="shared" si="226"/>
        <v>11458333.333333332</v>
      </c>
      <c r="M351" s="426">
        <f t="shared" si="226"/>
        <v>11458333.333333332</v>
      </c>
      <c r="N351" s="426">
        <f t="shared" si="226"/>
        <v>11458333.333333332</v>
      </c>
      <c r="O351" s="426" t="s">
        <v>3333</v>
      </c>
    </row>
    <row r="352" spans="1:15" s="69" customFormat="1">
      <c r="C352" s="69" t="s">
        <v>1278</v>
      </c>
      <c r="D352" s="69" t="s">
        <v>901</v>
      </c>
      <c r="E352" s="426">
        <f t="shared" ref="E352:N352" si="227">calcACVY1Q3</f>
        <v>17708333.333333336</v>
      </c>
      <c r="F352" s="426">
        <f t="shared" si="227"/>
        <v>17708333.333333336</v>
      </c>
      <c r="G352" s="426">
        <f t="shared" si="227"/>
        <v>17708333.333333336</v>
      </c>
      <c r="H352" s="426">
        <f t="shared" si="227"/>
        <v>17708333.333333336</v>
      </c>
      <c r="I352" s="426">
        <f t="shared" si="227"/>
        <v>17708333.333333336</v>
      </c>
      <c r="J352" s="426">
        <f t="shared" si="227"/>
        <v>17708333.333333336</v>
      </c>
      <c r="K352" s="426">
        <f t="shared" si="227"/>
        <v>17708333.333333336</v>
      </c>
      <c r="L352" s="426">
        <f t="shared" si="227"/>
        <v>17708333.333333336</v>
      </c>
      <c r="M352" s="426">
        <f t="shared" si="227"/>
        <v>17708333.333333336</v>
      </c>
      <c r="N352" s="426">
        <f t="shared" si="227"/>
        <v>17708333.333333336</v>
      </c>
      <c r="O352" s="426" t="s">
        <v>3334</v>
      </c>
    </row>
    <row r="353" spans="2:15" s="69" customFormat="1">
      <c r="C353" s="69" t="s">
        <v>1278</v>
      </c>
      <c r="D353" s="69" t="s">
        <v>902</v>
      </c>
      <c r="E353" s="426">
        <f t="shared" ref="E353:N353" si="228">calcACVY1Q4</f>
        <v>26041666.666666664</v>
      </c>
      <c r="F353" s="426">
        <f t="shared" si="228"/>
        <v>26041666.666666664</v>
      </c>
      <c r="G353" s="426">
        <f t="shared" si="228"/>
        <v>26041666.666666664</v>
      </c>
      <c r="H353" s="426">
        <f t="shared" si="228"/>
        <v>26041666.666666664</v>
      </c>
      <c r="I353" s="426">
        <f t="shared" si="228"/>
        <v>26041666.666666664</v>
      </c>
      <c r="J353" s="426">
        <f t="shared" si="228"/>
        <v>26041666.666666664</v>
      </c>
      <c r="K353" s="426">
        <f t="shared" si="228"/>
        <v>26041666.666666664</v>
      </c>
      <c r="L353" s="426">
        <f t="shared" si="228"/>
        <v>26041666.666666664</v>
      </c>
      <c r="M353" s="426">
        <f t="shared" si="228"/>
        <v>26041666.666666664</v>
      </c>
      <c r="N353" s="426">
        <f t="shared" si="228"/>
        <v>26041666.666666664</v>
      </c>
      <c r="O353" s="426" t="s">
        <v>3335</v>
      </c>
    </row>
    <row r="354" spans="2:15" s="69" customFormat="1">
      <c r="D354" s="69" t="s">
        <v>2101</v>
      </c>
      <c r="E354" s="426">
        <f t="shared" ref="E354:N354" si="229">calcACVTotalY1</f>
        <v>64583333.333333336</v>
      </c>
      <c r="F354" s="426">
        <f t="shared" si="229"/>
        <v>64583333.333333336</v>
      </c>
      <c r="G354" s="426">
        <f t="shared" si="229"/>
        <v>64583333.333333336</v>
      </c>
      <c r="H354" s="426">
        <f t="shared" si="229"/>
        <v>64583333.333333336</v>
      </c>
      <c r="I354" s="426">
        <f t="shared" si="229"/>
        <v>64583333.333333336</v>
      </c>
      <c r="J354" s="426">
        <f t="shared" si="229"/>
        <v>64583333.333333336</v>
      </c>
      <c r="K354" s="426">
        <f t="shared" si="229"/>
        <v>64583333.333333336</v>
      </c>
      <c r="L354" s="426">
        <f t="shared" si="229"/>
        <v>64583333.333333336</v>
      </c>
      <c r="M354" s="426">
        <f t="shared" si="229"/>
        <v>64583333.333333336</v>
      </c>
      <c r="N354" s="426">
        <f t="shared" si="229"/>
        <v>64583333.333333336</v>
      </c>
      <c r="O354" s="426" t="s">
        <v>3336</v>
      </c>
    </row>
    <row r="355" spans="2:15" s="69" customFormat="1">
      <c r="E355" s="426"/>
      <c r="F355" s="426"/>
      <c r="G355" s="426"/>
      <c r="H355" s="426"/>
      <c r="I355" s="426"/>
      <c r="J355" s="426"/>
      <c r="K355" s="426"/>
      <c r="L355" s="426"/>
      <c r="M355" s="426"/>
      <c r="N355" s="426"/>
      <c r="O355" s="426"/>
    </row>
    <row r="356" spans="2:15" s="69" customFormat="1">
      <c r="C356" s="69" t="s">
        <v>1279</v>
      </c>
      <c r="D356" s="69" t="s">
        <v>899</v>
      </c>
      <c r="E356" s="426">
        <f t="shared" ref="E356:N356" si="230">calcACVY2Q1</f>
        <v>11718750</v>
      </c>
      <c r="F356" s="426">
        <f t="shared" si="230"/>
        <v>11718750</v>
      </c>
      <c r="G356" s="426">
        <f t="shared" si="230"/>
        <v>11718750</v>
      </c>
      <c r="H356" s="426">
        <f t="shared" si="230"/>
        <v>11718750</v>
      </c>
      <c r="I356" s="426">
        <f t="shared" si="230"/>
        <v>11718750</v>
      </c>
      <c r="J356" s="426">
        <f t="shared" si="230"/>
        <v>11718750</v>
      </c>
      <c r="K356" s="426">
        <f t="shared" si="230"/>
        <v>11718750</v>
      </c>
      <c r="L356" s="426">
        <f t="shared" si="230"/>
        <v>11718750</v>
      </c>
      <c r="M356" s="426">
        <f t="shared" si="230"/>
        <v>11718750</v>
      </c>
      <c r="N356" s="426">
        <f t="shared" si="230"/>
        <v>11718750</v>
      </c>
      <c r="O356" s="426" t="s">
        <v>3337</v>
      </c>
    </row>
    <row r="357" spans="2:15" s="69" customFormat="1">
      <c r="C357" s="69" t="s">
        <v>1279</v>
      </c>
      <c r="D357" s="69" t="s">
        <v>900</v>
      </c>
      <c r="E357" s="426">
        <f t="shared" ref="E357:N357" si="231">calcACVY2Q2</f>
        <v>14322916.666666664</v>
      </c>
      <c r="F357" s="426">
        <f t="shared" si="231"/>
        <v>14322916.666666664</v>
      </c>
      <c r="G357" s="426">
        <f t="shared" si="231"/>
        <v>14322916.666666664</v>
      </c>
      <c r="H357" s="426">
        <f t="shared" si="231"/>
        <v>14322916.666666664</v>
      </c>
      <c r="I357" s="426">
        <f t="shared" si="231"/>
        <v>14322916.666666664</v>
      </c>
      <c r="J357" s="426">
        <f t="shared" si="231"/>
        <v>14322916.666666664</v>
      </c>
      <c r="K357" s="426">
        <f t="shared" si="231"/>
        <v>14322916.666666664</v>
      </c>
      <c r="L357" s="426">
        <f t="shared" si="231"/>
        <v>14322916.666666664</v>
      </c>
      <c r="M357" s="426">
        <f t="shared" si="231"/>
        <v>14322916.666666664</v>
      </c>
      <c r="N357" s="426">
        <f t="shared" si="231"/>
        <v>14322916.666666664</v>
      </c>
      <c r="O357" s="426" t="s">
        <v>3338</v>
      </c>
    </row>
    <row r="358" spans="2:15" s="69" customFormat="1">
      <c r="C358" s="69" t="s">
        <v>1279</v>
      </c>
      <c r="D358" s="69" t="s">
        <v>901</v>
      </c>
      <c r="E358" s="426">
        <f t="shared" ref="E358:N358" si="232">calcACVY2Q3</f>
        <v>22135416.666666672</v>
      </c>
      <c r="F358" s="426">
        <f t="shared" si="232"/>
        <v>22135416.666666672</v>
      </c>
      <c r="G358" s="426">
        <f t="shared" si="232"/>
        <v>22135416.666666672</v>
      </c>
      <c r="H358" s="426">
        <f t="shared" si="232"/>
        <v>22135416.666666672</v>
      </c>
      <c r="I358" s="426">
        <f t="shared" si="232"/>
        <v>22135416.666666672</v>
      </c>
      <c r="J358" s="426">
        <f t="shared" si="232"/>
        <v>22135416.666666672</v>
      </c>
      <c r="K358" s="426">
        <f t="shared" si="232"/>
        <v>22135416.666666672</v>
      </c>
      <c r="L358" s="426">
        <f t="shared" si="232"/>
        <v>22135416.666666672</v>
      </c>
      <c r="M358" s="426">
        <f t="shared" si="232"/>
        <v>22135416.666666672</v>
      </c>
      <c r="N358" s="426">
        <f t="shared" si="232"/>
        <v>22135416.666666672</v>
      </c>
      <c r="O358" s="426" t="s">
        <v>3339</v>
      </c>
    </row>
    <row r="359" spans="2:15" s="69" customFormat="1">
      <c r="C359" s="69" t="s">
        <v>1279</v>
      </c>
      <c r="D359" s="69" t="s">
        <v>902</v>
      </c>
      <c r="E359" s="426">
        <f t="shared" ref="E359:N359" si="233">calcACVY2Q4</f>
        <v>32552083.333333328</v>
      </c>
      <c r="F359" s="426">
        <f t="shared" si="233"/>
        <v>32552083.333333328</v>
      </c>
      <c r="G359" s="426">
        <f t="shared" si="233"/>
        <v>32552083.333333328</v>
      </c>
      <c r="H359" s="426">
        <f t="shared" si="233"/>
        <v>32552083.333333328</v>
      </c>
      <c r="I359" s="426">
        <f t="shared" si="233"/>
        <v>32552083.333333328</v>
      </c>
      <c r="J359" s="426">
        <f t="shared" si="233"/>
        <v>32552083.333333328</v>
      </c>
      <c r="K359" s="426">
        <f t="shared" si="233"/>
        <v>32552083.333333328</v>
      </c>
      <c r="L359" s="426">
        <f t="shared" si="233"/>
        <v>32552083.333333328</v>
      </c>
      <c r="M359" s="426">
        <f t="shared" si="233"/>
        <v>32552083.333333328</v>
      </c>
      <c r="N359" s="426">
        <f t="shared" si="233"/>
        <v>32552083.333333328</v>
      </c>
      <c r="O359" s="426" t="s">
        <v>3340</v>
      </c>
    </row>
    <row r="360" spans="2:15" s="69" customFormat="1">
      <c r="D360" s="69" t="s">
        <v>2101</v>
      </c>
      <c r="E360" s="426">
        <f t="shared" ref="E360:N360" si="234">calcACVTotalY2</f>
        <v>80729166.666666657</v>
      </c>
      <c r="F360" s="426">
        <f t="shared" si="234"/>
        <v>80729166.666666657</v>
      </c>
      <c r="G360" s="426">
        <f t="shared" si="234"/>
        <v>80729166.666666657</v>
      </c>
      <c r="H360" s="426">
        <f t="shared" si="234"/>
        <v>80729166.666666657</v>
      </c>
      <c r="I360" s="426">
        <f t="shared" si="234"/>
        <v>80729166.666666657</v>
      </c>
      <c r="J360" s="426">
        <f t="shared" si="234"/>
        <v>80729166.666666657</v>
      </c>
      <c r="K360" s="426">
        <f t="shared" si="234"/>
        <v>80729166.666666657</v>
      </c>
      <c r="L360" s="426">
        <f t="shared" si="234"/>
        <v>80729166.666666657</v>
      </c>
      <c r="M360" s="426">
        <f t="shared" si="234"/>
        <v>80729166.666666657</v>
      </c>
      <c r="N360" s="426">
        <f t="shared" si="234"/>
        <v>80729166.666666657</v>
      </c>
      <c r="O360" s="426" t="s">
        <v>3341</v>
      </c>
    </row>
    <row r="361" spans="2:15">
      <c r="E361" s="419"/>
      <c r="F361" s="419"/>
      <c r="G361" s="419"/>
      <c r="H361" s="419"/>
      <c r="I361" s="419"/>
      <c r="J361" s="419"/>
      <c r="K361" s="419"/>
      <c r="L361" s="419"/>
      <c r="M361" s="419"/>
      <c r="N361" s="419"/>
    </row>
    <row r="362" spans="2:15" s="69" customFormat="1">
      <c r="B362" s="69" t="s">
        <v>690</v>
      </c>
      <c r="E362" s="417"/>
      <c r="F362" s="417"/>
      <c r="G362" s="417"/>
      <c r="H362" s="417"/>
      <c r="I362" s="417"/>
      <c r="J362" s="417"/>
      <c r="K362" s="417"/>
      <c r="L362" s="417"/>
      <c r="M362" s="417"/>
      <c r="N362" s="417"/>
    </row>
    <row r="363" spans="2:15" s="69" customFormat="1">
      <c r="C363" s="217" t="s">
        <v>140</v>
      </c>
      <c r="E363" s="417"/>
      <c r="F363" s="417"/>
      <c r="G363" s="417"/>
      <c r="H363" s="417"/>
      <c r="I363" s="417"/>
      <c r="J363" s="417"/>
      <c r="K363" s="417"/>
      <c r="L363" s="417"/>
      <c r="M363" s="417"/>
      <c r="N363" s="417"/>
    </row>
    <row r="364" spans="2:15" s="410" customFormat="1">
      <c r="D364" s="410" t="s">
        <v>2950</v>
      </c>
      <c r="E364" s="418">
        <f t="shared" ref="E364:N364" si="235">calcY5Q1Rev</f>
        <v>115131206.66485702</v>
      </c>
      <c r="F364" s="418">
        <f t="shared" si="235"/>
        <v>115131206.66485702</v>
      </c>
      <c r="G364" s="418">
        <f t="shared" si="235"/>
        <v>115131206.66485702</v>
      </c>
      <c r="H364" s="418">
        <f t="shared" si="235"/>
        <v>115131206.66485702</v>
      </c>
      <c r="I364" s="418">
        <f t="shared" si="235"/>
        <v>115131206.66485702</v>
      </c>
      <c r="J364" s="418">
        <f t="shared" si="235"/>
        <v>115131206.66485702</v>
      </c>
      <c r="K364" s="418">
        <f t="shared" si="235"/>
        <v>115131206.66485702</v>
      </c>
      <c r="L364" s="418">
        <f t="shared" si="235"/>
        <v>115131206.66485702</v>
      </c>
      <c r="M364" s="418">
        <f t="shared" si="235"/>
        <v>115131206.66485702</v>
      </c>
      <c r="N364" s="418">
        <f t="shared" si="235"/>
        <v>115131206.66485702</v>
      </c>
      <c r="O364" s="410" t="s">
        <v>3342</v>
      </c>
    </row>
    <row r="365" spans="2:15" s="410" customFormat="1">
      <c r="D365" s="410" t="s">
        <v>2952</v>
      </c>
      <c r="E365" s="418">
        <f t="shared" ref="E365:N365" si="236">calcY5Q2Rev</f>
        <v>119618442.43590564</v>
      </c>
      <c r="F365" s="418">
        <f t="shared" si="236"/>
        <v>119618442.43590564</v>
      </c>
      <c r="G365" s="418">
        <f t="shared" si="236"/>
        <v>119618442.43590564</v>
      </c>
      <c r="H365" s="418">
        <f t="shared" si="236"/>
        <v>119618442.43590564</v>
      </c>
      <c r="I365" s="418">
        <f t="shared" si="236"/>
        <v>119618442.43590564</v>
      </c>
      <c r="J365" s="418">
        <f t="shared" si="236"/>
        <v>119618442.43590564</v>
      </c>
      <c r="K365" s="418">
        <f t="shared" si="236"/>
        <v>119618442.43590564</v>
      </c>
      <c r="L365" s="418">
        <f t="shared" si="236"/>
        <v>119618442.43590564</v>
      </c>
      <c r="M365" s="418">
        <f t="shared" si="236"/>
        <v>119618442.43590564</v>
      </c>
      <c r="N365" s="418">
        <f t="shared" si="236"/>
        <v>119618442.43590564</v>
      </c>
      <c r="O365" s="410" t="s">
        <v>3343</v>
      </c>
    </row>
    <row r="366" spans="2:15" s="410" customFormat="1">
      <c r="D366" s="410" t="s">
        <v>2954</v>
      </c>
      <c r="E366" s="418">
        <f t="shared" ref="E366:N366" si="237">calcY5Q3Rev</f>
        <v>126552551.81532486</v>
      </c>
      <c r="F366" s="418">
        <f t="shared" si="237"/>
        <v>126552551.81532486</v>
      </c>
      <c r="G366" s="418">
        <f t="shared" si="237"/>
        <v>126552551.81532486</v>
      </c>
      <c r="H366" s="418">
        <f t="shared" si="237"/>
        <v>126552551.81532486</v>
      </c>
      <c r="I366" s="418">
        <f t="shared" si="237"/>
        <v>126552551.81532486</v>
      </c>
      <c r="J366" s="418">
        <f t="shared" si="237"/>
        <v>126552551.81532486</v>
      </c>
      <c r="K366" s="418">
        <f t="shared" si="237"/>
        <v>126552551.81532486</v>
      </c>
      <c r="L366" s="418">
        <f t="shared" si="237"/>
        <v>126552551.81532486</v>
      </c>
      <c r="M366" s="418">
        <f t="shared" si="237"/>
        <v>126552551.81532486</v>
      </c>
      <c r="N366" s="418">
        <f t="shared" si="237"/>
        <v>126552551.81532486</v>
      </c>
      <c r="O366" s="410" t="s">
        <v>3344</v>
      </c>
    </row>
    <row r="367" spans="2:15" s="410" customFormat="1">
      <c r="D367" s="410" t="s">
        <v>2956</v>
      </c>
      <c r="E367" s="418">
        <f t="shared" ref="E367:N367" si="238">calcY5Q4Rev</f>
        <v>136748787.67570418</v>
      </c>
      <c r="F367" s="418">
        <f t="shared" si="238"/>
        <v>136748787.67570418</v>
      </c>
      <c r="G367" s="418">
        <f t="shared" si="238"/>
        <v>136748787.67570418</v>
      </c>
      <c r="H367" s="418">
        <f t="shared" si="238"/>
        <v>136748787.67570418</v>
      </c>
      <c r="I367" s="418">
        <f t="shared" si="238"/>
        <v>136748787.67570418</v>
      </c>
      <c r="J367" s="418">
        <f t="shared" si="238"/>
        <v>136748787.67570418</v>
      </c>
      <c r="K367" s="418">
        <f t="shared" si="238"/>
        <v>136748787.67570418</v>
      </c>
      <c r="L367" s="418">
        <f t="shared" si="238"/>
        <v>136748787.67570418</v>
      </c>
      <c r="M367" s="418">
        <f t="shared" si="238"/>
        <v>136748787.67570418</v>
      </c>
      <c r="N367" s="418">
        <f t="shared" si="238"/>
        <v>136748787.67570418</v>
      </c>
      <c r="O367" s="410" t="s">
        <v>3345</v>
      </c>
    </row>
    <row r="368" spans="2:15">
      <c r="D368" s="217" t="s">
        <v>492</v>
      </c>
      <c r="E368" s="419">
        <f t="shared" ref="E368:N368" si="239">finY5Q1Rev+finY5Q2Rev+finY5Q3Rev+finY5Q4Rev</f>
        <v>498050988.59179169</v>
      </c>
      <c r="F368" s="419">
        <f t="shared" si="239"/>
        <v>498050988.59179169</v>
      </c>
      <c r="G368" s="419">
        <f t="shared" si="239"/>
        <v>498050988.59179169</v>
      </c>
      <c r="H368" s="419">
        <f t="shared" si="239"/>
        <v>498050988.59179169</v>
      </c>
      <c r="I368" s="419">
        <f t="shared" si="239"/>
        <v>498050988.59179169</v>
      </c>
      <c r="J368" s="419">
        <f t="shared" si="239"/>
        <v>498050988.59179169</v>
      </c>
      <c r="K368" s="419">
        <f t="shared" si="239"/>
        <v>498050988.59179169</v>
      </c>
      <c r="L368" s="419">
        <f t="shared" si="239"/>
        <v>498050988.59179169</v>
      </c>
      <c r="M368" s="419">
        <f t="shared" si="239"/>
        <v>498050988.59179169</v>
      </c>
      <c r="N368" s="419">
        <f t="shared" si="239"/>
        <v>498050988.59179169</v>
      </c>
      <c r="O368" s="410" t="s">
        <v>3346</v>
      </c>
    </row>
    <row r="369" spans="1:15">
      <c r="D369" s="217"/>
      <c r="E369" s="419"/>
      <c r="F369" s="777"/>
      <c r="G369" s="419"/>
      <c r="H369" s="419"/>
      <c r="I369" s="419"/>
      <c r="J369" s="419"/>
      <c r="K369" s="419"/>
      <c r="L369" s="419"/>
      <c r="M369" s="419"/>
      <c r="N369" s="419"/>
      <c r="O369" s="410"/>
    </row>
    <row r="370" spans="1:15">
      <c r="C370" s="65" t="s">
        <v>434</v>
      </c>
      <c r="E370" s="419"/>
      <c r="F370" s="419"/>
      <c r="G370" s="419"/>
      <c r="H370" s="419"/>
      <c r="I370" s="419"/>
      <c r="J370" s="419"/>
      <c r="K370" s="419"/>
      <c r="L370" s="419"/>
      <c r="M370" s="419"/>
      <c r="N370" s="419"/>
    </row>
    <row r="371" spans="1:15">
      <c r="D371" s="410" t="s">
        <v>2959</v>
      </c>
      <c r="E371" s="419">
        <f t="shared" ref="E371:N371" si="240">finY5Q1Rev*calcY5Q1COSPerc</f>
        <v>23026241.332971405</v>
      </c>
      <c r="F371" s="419">
        <f t="shared" si="240"/>
        <v>23026241.332971405</v>
      </c>
      <c r="G371" s="419">
        <f t="shared" si="240"/>
        <v>23026241.332971405</v>
      </c>
      <c r="H371" s="419">
        <f t="shared" si="240"/>
        <v>23026241.332971405</v>
      </c>
      <c r="I371" s="419">
        <f t="shared" si="240"/>
        <v>23026241.332971405</v>
      </c>
      <c r="J371" s="419">
        <f t="shared" si="240"/>
        <v>23026241.332971405</v>
      </c>
      <c r="K371" s="419">
        <f t="shared" si="240"/>
        <v>23026241.332971405</v>
      </c>
      <c r="L371" s="419">
        <f t="shared" si="240"/>
        <v>23026241.332971405</v>
      </c>
      <c r="M371" s="419">
        <f t="shared" si="240"/>
        <v>23026241.332971405</v>
      </c>
      <c r="N371" s="419">
        <f t="shared" si="240"/>
        <v>23026241.332971405</v>
      </c>
      <c r="O371" s="410" t="s">
        <v>3347</v>
      </c>
    </row>
    <row r="372" spans="1:15">
      <c r="D372" s="410" t="s">
        <v>2961</v>
      </c>
      <c r="E372" s="419">
        <f t="shared" ref="E372:N372" si="241">finY5Q2Rev*calcY5Q2COSPerc</f>
        <v>23923688.487181127</v>
      </c>
      <c r="F372" s="419">
        <f t="shared" si="241"/>
        <v>23923688.487181127</v>
      </c>
      <c r="G372" s="419">
        <f t="shared" si="241"/>
        <v>23923688.487181127</v>
      </c>
      <c r="H372" s="419">
        <f t="shared" si="241"/>
        <v>23923688.487181127</v>
      </c>
      <c r="I372" s="419">
        <f t="shared" si="241"/>
        <v>23923688.487181127</v>
      </c>
      <c r="J372" s="419">
        <f t="shared" si="241"/>
        <v>23923688.487181127</v>
      </c>
      <c r="K372" s="419">
        <f t="shared" si="241"/>
        <v>23923688.487181127</v>
      </c>
      <c r="L372" s="419">
        <f t="shared" si="241"/>
        <v>23923688.487181127</v>
      </c>
      <c r="M372" s="419">
        <f t="shared" si="241"/>
        <v>23923688.487181127</v>
      </c>
      <c r="N372" s="419">
        <f t="shared" si="241"/>
        <v>23923688.487181127</v>
      </c>
      <c r="O372" s="410" t="s">
        <v>3348</v>
      </c>
    </row>
    <row r="373" spans="1:15">
      <c r="D373" s="410" t="s">
        <v>2963</v>
      </c>
      <c r="E373" s="419">
        <f t="shared" ref="E373:N373" si="242">finY5Q3Rev*calcY5Q3COSPerc</f>
        <v>25310510.363064975</v>
      </c>
      <c r="F373" s="419">
        <f t="shared" si="242"/>
        <v>25310510.363064975</v>
      </c>
      <c r="G373" s="419">
        <f t="shared" si="242"/>
        <v>25310510.363064975</v>
      </c>
      <c r="H373" s="419">
        <f t="shared" si="242"/>
        <v>25310510.363064975</v>
      </c>
      <c r="I373" s="419">
        <f t="shared" si="242"/>
        <v>25310510.363064975</v>
      </c>
      <c r="J373" s="419">
        <f t="shared" si="242"/>
        <v>25310510.363064975</v>
      </c>
      <c r="K373" s="419">
        <f t="shared" si="242"/>
        <v>25310510.363064975</v>
      </c>
      <c r="L373" s="419">
        <f t="shared" si="242"/>
        <v>25310510.363064975</v>
      </c>
      <c r="M373" s="419">
        <f t="shared" si="242"/>
        <v>25310510.363064975</v>
      </c>
      <c r="N373" s="419">
        <f t="shared" si="242"/>
        <v>25310510.363064975</v>
      </c>
      <c r="O373" s="410" t="s">
        <v>3349</v>
      </c>
    </row>
    <row r="374" spans="1:15">
      <c r="D374" s="410" t="s">
        <v>2965</v>
      </c>
      <c r="E374" s="419">
        <f t="shared" ref="E374:N374" si="243">finY5Q4Rev*calcY5Q4COSPerc</f>
        <v>27349757.535140838</v>
      </c>
      <c r="F374" s="419">
        <f t="shared" si="243"/>
        <v>27349757.535140838</v>
      </c>
      <c r="G374" s="419">
        <f t="shared" si="243"/>
        <v>27349757.535140838</v>
      </c>
      <c r="H374" s="419">
        <f t="shared" si="243"/>
        <v>27349757.535140838</v>
      </c>
      <c r="I374" s="419">
        <f t="shared" si="243"/>
        <v>27349757.535140838</v>
      </c>
      <c r="J374" s="419">
        <f t="shared" si="243"/>
        <v>27349757.535140838</v>
      </c>
      <c r="K374" s="419">
        <f t="shared" si="243"/>
        <v>27349757.535140838</v>
      </c>
      <c r="L374" s="419">
        <f t="shared" si="243"/>
        <v>27349757.535140838</v>
      </c>
      <c r="M374" s="419">
        <f t="shared" si="243"/>
        <v>27349757.535140838</v>
      </c>
      <c r="N374" s="419">
        <f t="shared" si="243"/>
        <v>27349757.535140838</v>
      </c>
      <c r="O374" s="410" t="s">
        <v>3350</v>
      </c>
    </row>
    <row r="375" spans="1:15" s="65" customFormat="1">
      <c r="D375" s="217" t="s">
        <v>930</v>
      </c>
      <c r="E375" s="420">
        <f t="shared" ref="E375:N375" si="244">finY5Q1COS+finY5Q2COS+finY5Q3COS+finY5Q4COS</f>
        <v>99610197.718358353</v>
      </c>
      <c r="F375" s="420">
        <f t="shared" si="244"/>
        <v>99610197.718358353</v>
      </c>
      <c r="G375" s="420">
        <f t="shared" si="244"/>
        <v>99610197.718358353</v>
      </c>
      <c r="H375" s="420">
        <f t="shared" si="244"/>
        <v>99610197.718358353</v>
      </c>
      <c r="I375" s="420">
        <f t="shared" si="244"/>
        <v>99610197.718358353</v>
      </c>
      <c r="J375" s="420">
        <f t="shared" si="244"/>
        <v>99610197.718358353</v>
      </c>
      <c r="K375" s="420">
        <f t="shared" si="244"/>
        <v>99610197.718358353</v>
      </c>
      <c r="L375" s="420">
        <f t="shared" si="244"/>
        <v>99610197.718358353</v>
      </c>
      <c r="M375" s="420">
        <f t="shared" si="244"/>
        <v>99610197.718358353</v>
      </c>
      <c r="N375" s="420">
        <f t="shared" si="244"/>
        <v>99610197.718358353</v>
      </c>
      <c r="O375" s="217" t="s">
        <v>3351</v>
      </c>
    </row>
    <row r="376" spans="1:15">
      <c r="E376" s="419"/>
      <c r="F376" s="419"/>
      <c r="G376" s="419"/>
      <c r="H376" s="419"/>
      <c r="I376" s="419"/>
      <c r="J376" s="419"/>
      <c r="K376" s="419"/>
      <c r="L376" s="419"/>
      <c r="M376" s="419"/>
      <c r="N376" s="419"/>
    </row>
    <row r="377" spans="1:15">
      <c r="C377" t="s">
        <v>237</v>
      </c>
      <c r="E377" s="420">
        <f t="shared" ref="E377:N377" si="245">FinY5AnnualRev-finY5AnnualCOS</f>
        <v>398440790.87343335</v>
      </c>
      <c r="F377" s="420">
        <f t="shared" si="245"/>
        <v>398440790.87343335</v>
      </c>
      <c r="G377" s="420">
        <f t="shared" si="245"/>
        <v>398440790.87343335</v>
      </c>
      <c r="H377" s="420">
        <f t="shared" si="245"/>
        <v>398440790.87343335</v>
      </c>
      <c r="I377" s="420">
        <f t="shared" si="245"/>
        <v>398440790.87343335</v>
      </c>
      <c r="J377" s="420">
        <f t="shared" si="245"/>
        <v>398440790.87343335</v>
      </c>
      <c r="K377" s="420">
        <f t="shared" si="245"/>
        <v>398440790.87343335</v>
      </c>
      <c r="L377" s="420">
        <f t="shared" si="245"/>
        <v>398440790.87343335</v>
      </c>
      <c r="M377" s="420">
        <f t="shared" si="245"/>
        <v>398440790.87343335</v>
      </c>
      <c r="N377" s="420">
        <f t="shared" si="245"/>
        <v>398440790.87343335</v>
      </c>
      <c r="O377" s="410" t="s">
        <v>3352</v>
      </c>
    </row>
    <row r="378" spans="1:15" s="295" customFormat="1">
      <c r="D378" s="421" t="s">
        <v>967</v>
      </c>
      <c r="E378" s="422">
        <f t="shared" ref="E378:N378" si="246">finAnnualGrossProfit/FinAnnualRev</f>
        <v>0.8</v>
      </c>
      <c r="F378" s="422">
        <f t="shared" si="246"/>
        <v>0.8</v>
      </c>
      <c r="G378" s="422">
        <f t="shared" si="246"/>
        <v>0.8</v>
      </c>
      <c r="H378" s="422">
        <f t="shared" si="246"/>
        <v>0.8</v>
      </c>
      <c r="I378" s="422">
        <f t="shared" si="246"/>
        <v>0.8</v>
      </c>
      <c r="J378" s="422">
        <f t="shared" si="246"/>
        <v>0.8</v>
      </c>
      <c r="K378" s="422">
        <f t="shared" si="246"/>
        <v>0.8</v>
      </c>
      <c r="L378" s="422">
        <f t="shared" si="246"/>
        <v>0.8</v>
      </c>
      <c r="M378" s="422">
        <f t="shared" si="246"/>
        <v>0.8</v>
      </c>
      <c r="N378" s="422">
        <f t="shared" si="246"/>
        <v>0.8</v>
      </c>
      <c r="O378" s="423" t="s">
        <v>3353</v>
      </c>
    </row>
    <row r="379" spans="1:15" s="295" customFormat="1">
      <c r="D379" s="421"/>
      <c r="E379" s="422"/>
      <c r="F379" s="422"/>
      <c r="G379" s="422"/>
      <c r="H379" s="422"/>
      <c r="I379" s="422"/>
      <c r="J379" s="422"/>
      <c r="K379" s="422"/>
      <c r="L379" s="422"/>
      <c r="M379" s="422"/>
      <c r="N379" s="422"/>
      <c r="O379" s="423"/>
    </row>
    <row r="380" spans="1:15">
      <c r="A380" s="65" t="s">
        <v>422</v>
      </c>
      <c r="E380" s="419"/>
      <c r="F380" s="419"/>
      <c r="G380" s="419"/>
      <c r="H380" s="419"/>
      <c r="I380" s="419"/>
      <c r="J380" s="419"/>
      <c r="K380" s="419"/>
      <c r="L380" s="419"/>
      <c r="M380" s="419"/>
      <c r="N380" s="419"/>
    </row>
    <row r="381" spans="1:15">
      <c r="C381" t="s">
        <v>936</v>
      </c>
      <c r="E381" s="419"/>
      <c r="F381" s="419"/>
      <c r="G381" s="419"/>
      <c r="H381" s="419"/>
      <c r="I381" s="419"/>
      <c r="J381" s="419"/>
      <c r="K381" s="419"/>
      <c r="L381" s="419"/>
      <c r="M381" s="419"/>
      <c r="N381" s="419"/>
    </row>
    <row r="382" spans="1:15">
      <c r="D382" t="s">
        <v>2970</v>
      </c>
      <c r="E382" s="419">
        <f t="shared" ref="E382:N382" si="247">calcY5Q1MSExp</f>
        <v>36642431.910866097</v>
      </c>
      <c r="F382" s="419">
        <f t="shared" si="247"/>
        <v>36642431.910866097</v>
      </c>
      <c r="G382" s="419">
        <f t="shared" si="247"/>
        <v>36642431.910866097</v>
      </c>
      <c r="H382" s="419">
        <f t="shared" si="247"/>
        <v>36642431.910866097</v>
      </c>
      <c r="I382" s="419">
        <f t="shared" si="247"/>
        <v>36642431.910866097</v>
      </c>
      <c r="J382" s="419">
        <f t="shared" si="247"/>
        <v>36642431.910866097</v>
      </c>
      <c r="K382" s="419">
        <f t="shared" si="247"/>
        <v>36642431.910866097</v>
      </c>
      <c r="L382" s="419">
        <f t="shared" si="247"/>
        <v>36642431.910866097</v>
      </c>
      <c r="M382" s="419">
        <f t="shared" si="247"/>
        <v>36642431.910866097</v>
      </c>
      <c r="N382" s="419">
        <f t="shared" si="247"/>
        <v>36642431.910866097</v>
      </c>
      <c r="O382" t="s">
        <v>3354</v>
      </c>
    </row>
    <row r="383" spans="1:15">
      <c r="D383" t="s">
        <v>2972</v>
      </c>
      <c r="E383" s="419">
        <f t="shared" ref="E383:N383" si="248">calcY5Q2MSExp</f>
        <v>39256102.311141759</v>
      </c>
      <c r="F383" s="419">
        <f t="shared" si="248"/>
        <v>39256102.311141759</v>
      </c>
      <c r="G383" s="419">
        <f t="shared" si="248"/>
        <v>39256102.311141759</v>
      </c>
      <c r="H383" s="419">
        <f t="shared" si="248"/>
        <v>39256102.311141759</v>
      </c>
      <c r="I383" s="419">
        <f t="shared" si="248"/>
        <v>39256102.311141759</v>
      </c>
      <c r="J383" s="419">
        <f t="shared" si="248"/>
        <v>39256102.311141759</v>
      </c>
      <c r="K383" s="419">
        <f t="shared" si="248"/>
        <v>39256102.311141759</v>
      </c>
      <c r="L383" s="419">
        <f t="shared" si="248"/>
        <v>39256102.311141759</v>
      </c>
      <c r="M383" s="419">
        <f t="shared" si="248"/>
        <v>39256102.311141759</v>
      </c>
      <c r="N383" s="419">
        <f t="shared" si="248"/>
        <v>39256102.311141759</v>
      </c>
      <c r="O383" t="s">
        <v>3355</v>
      </c>
    </row>
    <row r="384" spans="1:15">
      <c r="D384" t="s">
        <v>2974</v>
      </c>
      <c r="E384" s="419">
        <f t="shared" ref="E384:N384" si="249">calcY5Q3MSExp</f>
        <v>43518069.445161074</v>
      </c>
      <c r="F384" s="419">
        <f t="shared" si="249"/>
        <v>43518069.445161074</v>
      </c>
      <c r="G384" s="419">
        <f t="shared" si="249"/>
        <v>43518069.445161074</v>
      </c>
      <c r="H384" s="419">
        <f t="shared" si="249"/>
        <v>43518069.445161074</v>
      </c>
      <c r="I384" s="419">
        <f t="shared" si="249"/>
        <v>43518069.445161074</v>
      </c>
      <c r="J384" s="419">
        <f t="shared" si="249"/>
        <v>43518069.445161074</v>
      </c>
      <c r="K384" s="419">
        <f t="shared" si="249"/>
        <v>43518069.445161074</v>
      </c>
      <c r="L384" s="419">
        <f t="shared" si="249"/>
        <v>43518069.445161074</v>
      </c>
      <c r="M384" s="419">
        <f t="shared" si="249"/>
        <v>43518069.445161074</v>
      </c>
      <c r="N384" s="419">
        <f t="shared" si="249"/>
        <v>43518069.445161074</v>
      </c>
      <c r="O384" t="s">
        <v>3356</v>
      </c>
    </row>
    <row r="385" spans="3:15">
      <c r="D385" t="s">
        <v>2976</v>
      </c>
      <c r="E385" s="419">
        <f t="shared" ref="E385:N385" si="250">calcY5Q4MSExp</f>
        <v>49900044.807777807</v>
      </c>
      <c r="F385" s="419">
        <f t="shared" si="250"/>
        <v>49900044.807777807</v>
      </c>
      <c r="G385" s="419">
        <f t="shared" si="250"/>
        <v>49900044.807777807</v>
      </c>
      <c r="H385" s="419">
        <f t="shared" si="250"/>
        <v>49900044.807777807</v>
      </c>
      <c r="I385" s="419">
        <f t="shared" si="250"/>
        <v>49900044.807777807</v>
      </c>
      <c r="J385" s="419">
        <f t="shared" si="250"/>
        <v>49900044.807777807</v>
      </c>
      <c r="K385" s="419">
        <f t="shared" si="250"/>
        <v>49900044.807777807</v>
      </c>
      <c r="L385" s="419">
        <f t="shared" si="250"/>
        <v>49900044.807777807</v>
      </c>
      <c r="M385" s="419">
        <f t="shared" si="250"/>
        <v>49900044.807777807</v>
      </c>
      <c r="N385" s="419">
        <f t="shared" si="250"/>
        <v>49900044.807777807</v>
      </c>
      <c r="O385" t="s">
        <v>3357</v>
      </c>
    </row>
    <row r="386" spans="3:15" s="65" customFormat="1">
      <c r="D386" s="65" t="s">
        <v>949</v>
      </c>
      <c r="E386" s="420">
        <f t="shared" ref="E386:N386" si="251">finY5Q1MSExp+finY5Q2MSExp+finY5Q3MSExp+finY5Q4MSExp</f>
        <v>169316648.47494674</v>
      </c>
      <c r="F386" s="420">
        <f t="shared" si="251"/>
        <v>169316648.47494674</v>
      </c>
      <c r="G386" s="420">
        <f t="shared" si="251"/>
        <v>169316648.47494674</v>
      </c>
      <c r="H386" s="420">
        <f t="shared" si="251"/>
        <v>169316648.47494674</v>
      </c>
      <c r="I386" s="420">
        <f t="shared" si="251"/>
        <v>169316648.47494674</v>
      </c>
      <c r="J386" s="420">
        <f t="shared" si="251"/>
        <v>169316648.47494674</v>
      </c>
      <c r="K386" s="420">
        <f t="shared" si="251"/>
        <v>169316648.47494674</v>
      </c>
      <c r="L386" s="420">
        <f t="shared" si="251"/>
        <v>169316648.47494674</v>
      </c>
      <c r="M386" s="420">
        <f t="shared" si="251"/>
        <v>169316648.47494674</v>
      </c>
      <c r="N386" s="420">
        <f t="shared" si="251"/>
        <v>169316648.47494674</v>
      </c>
      <c r="O386" s="65" t="s">
        <v>3358</v>
      </c>
    </row>
    <row r="387" spans="3:15">
      <c r="C387" t="s">
        <v>424</v>
      </c>
      <c r="E387" s="419"/>
      <c r="F387" s="419"/>
      <c r="G387" s="419"/>
      <c r="H387" s="419"/>
      <c r="I387" s="419"/>
      <c r="J387" s="419"/>
      <c r="K387" s="419"/>
      <c r="L387" s="419"/>
      <c r="M387" s="419"/>
      <c r="N387" s="419"/>
    </row>
    <row r="388" spans="3:15">
      <c r="D388" t="s">
        <v>2979</v>
      </c>
      <c r="E388" s="419">
        <f t="shared" ref="E388:N388" si="252">calcY5Q1RDExp</f>
        <v>27420067.025434632</v>
      </c>
      <c r="F388" s="419">
        <f t="shared" si="252"/>
        <v>27420067.025434632</v>
      </c>
      <c r="G388" s="419">
        <f t="shared" si="252"/>
        <v>27420067.025434632</v>
      </c>
      <c r="H388" s="419">
        <f t="shared" si="252"/>
        <v>27420067.025434632</v>
      </c>
      <c r="I388" s="419">
        <f t="shared" si="252"/>
        <v>27420067.025434632</v>
      </c>
      <c r="J388" s="419">
        <f t="shared" si="252"/>
        <v>27420067.025434632</v>
      </c>
      <c r="K388" s="419">
        <f t="shared" si="252"/>
        <v>27420067.025434632</v>
      </c>
      <c r="L388" s="419">
        <f t="shared" si="252"/>
        <v>27420067.025434632</v>
      </c>
      <c r="M388" s="419">
        <f t="shared" si="252"/>
        <v>27420067.025434632</v>
      </c>
      <c r="N388" s="419">
        <f t="shared" si="252"/>
        <v>27420067.025434632</v>
      </c>
      <c r="O388" t="s">
        <v>3359</v>
      </c>
    </row>
    <row r="389" spans="3:15">
      <c r="D389" t="s">
        <v>2981</v>
      </c>
      <c r="E389" s="419">
        <f t="shared" ref="E389:N389" si="253">calcY5Q2RDExp</f>
        <v>29375914.763168998</v>
      </c>
      <c r="F389" s="419">
        <f t="shared" si="253"/>
        <v>29375914.763168998</v>
      </c>
      <c r="G389" s="419">
        <f t="shared" si="253"/>
        <v>29375914.763168998</v>
      </c>
      <c r="H389" s="419">
        <f t="shared" si="253"/>
        <v>29375914.763168998</v>
      </c>
      <c r="I389" s="419">
        <f t="shared" si="253"/>
        <v>29375914.763168998</v>
      </c>
      <c r="J389" s="419">
        <f t="shared" si="253"/>
        <v>29375914.763168998</v>
      </c>
      <c r="K389" s="419">
        <f t="shared" si="253"/>
        <v>29375914.763168998</v>
      </c>
      <c r="L389" s="419">
        <f t="shared" si="253"/>
        <v>29375914.763168998</v>
      </c>
      <c r="M389" s="419">
        <f t="shared" si="253"/>
        <v>29375914.763168998</v>
      </c>
      <c r="N389" s="419">
        <f t="shared" si="253"/>
        <v>29375914.763168998</v>
      </c>
      <c r="O389" t="s">
        <v>3360</v>
      </c>
    </row>
    <row r="390" spans="3:15">
      <c r="D390" t="s">
        <v>2983</v>
      </c>
      <c r="E390" s="419">
        <f t="shared" ref="E390:N390" si="254">calcY5Q3RDExp</f>
        <v>32565207.023008179</v>
      </c>
      <c r="F390" s="419">
        <f t="shared" si="254"/>
        <v>32565207.023008179</v>
      </c>
      <c r="G390" s="419">
        <f t="shared" si="254"/>
        <v>32565207.023008179</v>
      </c>
      <c r="H390" s="419">
        <f t="shared" si="254"/>
        <v>32565207.023008179</v>
      </c>
      <c r="I390" s="419">
        <f t="shared" si="254"/>
        <v>32565207.023008179</v>
      </c>
      <c r="J390" s="419">
        <f t="shared" si="254"/>
        <v>32565207.023008179</v>
      </c>
      <c r="K390" s="419">
        <f t="shared" si="254"/>
        <v>32565207.023008179</v>
      </c>
      <c r="L390" s="419">
        <f t="shared" si="254"/>
        <v>32565207.023008179</v>
      </c>
      <c r="M390" s="419">
        <f t="shared" si="254"/>
        <v>32565207.023008179</v>
      </c>
      <c r="N390" s="419">
        <f t="shared" si="254"/>
        <v>32565207.023008179</v>
      </c>
      <c r="O390" t="s">
        <v>3361</v>
      </c>
    </row>
    <row r="391" spans="3:15">
      <c r="D391" t="s">
        <v>2985</v>
      </c>
      <c r="E391" s="419">
        <f t="shared" ref="E391:N391" si="255">calcY5Q4RDExp</f>
        <v>37340932.406719118</v>
      </c>
      <c r="F391" s="419">
        <f t="shared" si="255"/>
        <v>37340932.406719118</v>
      </c>
      <c r="G391" s="419">
        <f t="shared" si="255"/>
        <v>37340932.406719118</v>
      </c>
      <c r="H391" s="419">
        <f t="shared" si="255"/>
        <v>37340932.406719118</v>
      </c>
      <c r="I391" s="419">
        <f t="shared" si="255"/>
        <v>37340932.406719118</v>
      </c>
      <c r="J391" s="419">
        <f t="shared" si="255"/>
        <v>37340932.406719118</v>
      </c>
      <c r="K391" s="419">
        <f t="shared" si="255"/>
        <v>37340932.406719118</v>
      </c>
      <c r="L391" s="419">
        <f t="shared" si="255"/>
        <v>37340932.406719118</v>
      </c>
      <c r="M391" s="419">
        <f t="shared" si="255"/>
        <v>37340932.406719118</v>
      </c>
      <c r="N391" s="419">
        <f t="shared" si="255"/>
        <v>37340932.406719118</v>
      </c>
      <c r="O391" t="s">
        <v>3362</v>
      </c>
    </row>
    <row r="392" spans="3:15" s="65" customFormat="1">
      <c r="D392" s="65" t="s">
        <v>1109</v>
      </c>
      <c r="E392" s="420">
        <f t="shared" ref="E392:N392" si="256">finY5Q1RDExp+finY5Q2RDExp+finY5Q3RDExp+finY5Q4RDExp</f>
        <v>126702121.21833093</v>
      </c>
      <c r="F392" s="420">
        <f t="shared" si="256"/>
        <v>126702121.21833093</v>
      </c>
      <c r="G392" s="420">
        <f t="shared" si="256"/>
        <v>126702121.21833093</v>
      </c>
      <c r="H392" s="420">
        <f t="shared" si="256"/>
        <v>126702121.21833093</v>
      </c>
      <c r="I392" s="420">
        <f t="shared" si="256"/>
        <v>126702121.21833093</v>
      </c>
      <c r="J392" s="420">
        <f t="shared" si="256"/>
        <v>126702121.21833093</v>
      </c>
      <c r="K392" s="420">
        <f t="shared" si="256"/>
        <v>126702121.21833093</v>
      </c>
      <c r="L392" s="420">
        <f t="shared" si="256"/>
        <v>126702121.21833093</v>
      </c>
      <c r="M392" s="420">
        <f t="shared" si="256"/>
        <v>126702121.21833093</v>
      </c>
      <c r="N392" s="420">
        <f t="shared" si="256"/>
        <v>126702121.21833093</v>
      </c>
      <c r="O392" s="65" t="s">
        <v>3363</v>
      </c>
    </row>
    <row r="393" spans="3:15">
      <c r="C393" t="s">
        <v>403</v>
      </c>
      <c r="E393" s="419"/>
      <c r="F393" s="419"/>
      <c r="G393" s="419"/>
      <c r="H393" s="419"/>
      <c r="I393" s="419"/>
      <c r="J393" s="419"/>
      <c r="K393" s="419"/>
      <c r="L393" s="419"/>
      <c r="M393" s="419"/>
      <c r="N393" s="419"/>
    </row>
    <row r="394" spans="3:15">
      <c r="D394" t="s">
        <v>2988</v>
      </c>
      <c r="E394" s="419">
        <f t="shared" ref="E394:N394" si="257">calcY5Q1GAExp</f>
        <v>17456619.24742385</v>
      </c>
      <c r="F394" s="419">
        <f t="shared" si="257"/>
        <v>17456619.24742385</v>
      </c>
      <c r="G394" s="419">
        <f t="shared" si="257"/>
        <v>17456619.24742385</v>
      </c>
      <c r="H394" s="419">
        <f t="shared" si="257"/>
        <v>17456619.24742385</v>
      </c>
      <c r="I394" s="419">
        <f t="shared" si="257"/>
        <v>17456619.24742385</v>
      </c>
      <c r="J394" s="419">
        <f t="shared" si="257"/>
        <v>17456619.24742385</v>
      </c>
      <c r="K394" s="419">
        <f t="shared" si="257"/>
        <v>17456619.24742385</v>
      </c>
      <c r="L394" s="419">
        <f t="shared" si="257"/>
        <v>17456619.24742385</v>
      </c>
      <c r="M394" s="419">
        <f t="shared" si="257"/>
        <v>17456619.24742385</v>
      </c>
      <c r="N394" s="419">
        <f t="shared" si="257"/>
        <v>17456619.24742385</v>
      </c>
      <c r="O394" t="s">
        <v>3364</v>
      </c>
    </row>
    <row r="395" spans="3:15">
      <c r="D395" t="s">
        <v>2990</v>
      </c>
      <c r="E395" s="419">
        <f t="shared" ref="E395:N395" si="258">calcY5Q2GAExp</f>
        <v>18701783.572948433</v>
      </c>
      <c r="F395" s="419">
        <f t="shared" si="258"/>
        <v>18701783.572948433</v>
      </c>
      <c r="G395" s="419">
        <f t="shared" si="258"/>
        <v>18701783.572948433</v>
      </c>
      <c r="H395" s="419">
        <f t="shared" si="258"/>
        <v>18701783.572948433</v>
      </c>
      <c r="I395" s="419">
        <f t="shared" si="258"/>
        <v>18701783.572948433</v>
      </c>
      <c r="J395" s="419">
        <f t="shared" si="258"/>
        <v>18701783.572948433</v>
      </c>
      <c r="K395" s="419">
        <f t="shared" si="258"/>
        <v>18701783.572948433</v>
      </c>
      <c r="L395" s="419">
        <f t="shared" si="258"/>
        <v>18701783.572948433</v>
      </c>
      <c r="M395" s="419">
        <f t="shared" si="258"/>
        <v>18701783.572948433</v>
      </c>
      <c r="N395" s="419">
        <f t="shared" si="258"/>
        <v>18701783.572948433</v>
      </c>
      <c r="O395" t="s">
        <v>3365</v>
      </c>
    </row>
    <row r="396" spans="3:15">
      <c r="D396" t="s">
        <v>2992</v>
      </c>
      <c r="E396" s="419">
        <f t="shared" ref="E396:N396" si="259">calcY5Q3GAExp</f>
        <v>20732203.870503701</v>
      </c>
      <c r="F396" s="419">
        <f t="shared" si="259"/>
        <v>20732203.870503701</v>
      </c>
      <c r="G396" s="419">
        <f t="shared" si="259"/>
        <v>20732203.870503701</v>
      </c>
      <c r="H396" s="419">
        <f t="shared" si="259"/>
        <v>20732203.870503701</v>
      </c>
      <c r="I396" s="419">
        <f t="shared" si="259"/>
        <v>20732203.870503701</v>
      </c>
      <c r="J396" s="419">
        <f t="shared" si="259"/>
        <v>20732203.870503701</v>
      </c>
      <c r="K396" s="419">
        <f t="shared" si="259"/>
        <v>20732203.870503701</v>
      </c>
      <c r="L396" s="419">
        <f t="shared" si="259"/>
        <v>20732203.870503701</v>
      </c>
      <c r="M396" s="419">
        <f t="shared" si="259"/>
        <v>20732203.870503701</v>
      </c>
      <c r="N396" s="419">
        <f t="shared" si="259"/>
        <v>20732203.870503701</v>
      </c>
      <c r="O396" t="s">
        <v>3366</v>
      </c>
    </row>
    <row r="397" spans="3:15">
      <c r="D397" t="s">
        <v>2994</v>
      </c>
      <c r="E397" s="419">
        <f t="shared" ref="E397:N397" si="260">calcY5Q4GAExp</f>
        <v>23772605.616289649</v>
      </c>
      <c r="F397" s="419">
        <f t="shared" si="260"/>
        <v>23772605.616289649</v>
      </c>
      <c r="G397" s="419">
        <f t="shared" si="260"/>
        <v>23772605.616289649</v>
      </c>
      <c r="H397" s="419">
        <f t="shared" si="260"/>
        <v>23772605.616289649</v>
      </c>
      <c r="I397" s="419">
        <f t="shared" si="260"/>
        <v>23772605.616289649</v>
      </c>
      <c r="J397" s="419">
        <f t="shared" si="260"/>
        <v>23772605.616289649</v>
      </c>
      <c r="K397" s="419">
        <f t="shared" si="260"/>
        <v>23772605.616289649</v>
      </c>
      <c r="L397" s="419">
        <f t="shared" si="260"/>
        <v>23772605.616289649</v>
      </c>
      <c r="M397" s="419">
        <f t="shared" si="260"/>
        <v>23772605.616289649</v>
      </c>
      <c r="N397" s="419">
        <f t="shared" si="260"/>
        <v>23772605.616289649</v>
      </c>
      <c r="O397" t="s">
        <v>3367</v>
      </c>
    </row>
    <row r="398" spans="3:15" s="65" customFormat="1">
      <c r="D398" s="65" t="s">
        <v>1104</v>
      </c>
      <c r="E398" s="420">
        <f t="shared" ref="E398:N398" si="261">finY5Q1GAExp+finY5Q2GAExp+finY5Q3GAExp+finY5Q4GAExp</f>
        <v>80663212.307165638</v>
      </c>
      <c r="F398" s="420">
        <f t="shared" si="261"/>
        <v>80663212.307165638</v>
      </c>
      <c r="G398" s="420">
        <f t="shared" si="261"/>
        <v>80663212.307165638</v>
      </c>
      <c r="H398" s="420">
        <f t="shared" si="261"/>
        <v>80663212.307165638</v>
      </c>
      <c r="I398" s="420">
        <f t="shared" si="261"/>
        <v>80663212.307165638</v>
      </c>
      <c r="J398" s="420">
        <f t="shared" si="261"/>
        <v>80663212.307165638</v>
      </c>
      <c r="K398" s="420">
        <f t="shared" si="261"/>
        <v>80663212.307165638</v>
      </c>
      <c r="L398" s="420">
        <f t="shared" si="261"/>
        <v>80663212.307165638</v>
      </c>
      <c r="M398" s="420">
        <f t="shared" si="261"/>
        <v>80663212.307165638</v>
      </c>
      <c r="N398" s="420">
        <f t="shared" si="261"/>
        <v>80663212.307165638</v>
      </c>
      <c r="O398" s="65" t="s">
        <v>3368</v>
      </c>
    </row>
    <row r="399" spans="3:15">
      <c r="E399" s="419"/>
      <c r="F399" s="419"/>
      <c r="G399" s="419"/>
      <c r="H399" s="419"/>
      <c r="I399" s="419"/>
      <c r="J399" s="419"/>
      <c r="K399" s="419"/>
      <c r="L399" s="419"/>
      <c r="M399" s="419"/>
      <c r="N399" s="419"/>
    </row>
    <row r="400" spans="3:15">
      <c r="D400" t="s">
        <v>426</v>
      </c>
      <c r="E400" s="419">
        <f t="shared" ref="E400:N400" si="262">finY5AnnualGrossProfit-finY5AnnualMSExp-finY5AnnualRDExp-finY5AnnualGAExp</f>
        <v>21758808.872990042</v>
      </c>
      <c r="F400" s="419">
        <f t="shared" si="262"/>
        <v>21758808.872990042</v>
      </c>
      <c r="G400" s="419">
        <f t="shared" si="262"/>
        <v>21758808.872990042</v>
      </c>
      <c r="H400" s="419">
        <f t="shared" si="262"/>
        <v>21758808.872990042</v>
      </c>
      <c r="I400" s="419">
        <f t="shared" si="262"/>
        <v>21758808.872990042</v>
      </c>
      <c r="J400" s="419">
        <f t="shared" si="262"/>
        <v>21758808.872990042</v>
      </c>
      <c r="K400" s="419">
        <f t="shared" si="262"/>
        <v>21758808.872990042</v>
      </c>
      <c r="L400" s="419">
        <f t="shared" si="262"/>
        <v>21758808.872990042</v>
      </c>
      <c r="M400" s="419">
        <f t="shared" si="262"/>
        <v>21758808.872990042</v>
      </c>
      <c r="N400" s="419">
        <f t="shared" si="262"/>
        <v>21758808.872990042</v>
      </c>
      <c r="O400" t="s">
        <v>3369</v>
      </c>
    </row>
    <row r="401" spans="1:15" s="295" customFormat="1">
      <c r="D401" s="421" t="s">
        <v>967</v>
      </c>
      <c r="E401" s="422">
        <f t="shared" ref="E401:N401" si="263">finY5AnnualOpProfit/FinY5AnnualRev</f>
        <v>4.3687914232459865E-2</v>
      </c>
      <c r="F401" s="422">
        <f t="shared" si="263"/>
        <v>4.3687914232459865E-2</v>
      </c>
      <c r="G401" s="422">
        <f t="shared" si="263"/>
        <v>4.3687914232459865E-2</v>
      </c>
      <c r="H401" s="422">
        <f t="shared" si="263"/>
        <v>4.3687914232459865E-2</v>
      </c>
      <c r="I401" s="422">
        <f t="shared" si="263"/>
        <v>4.3687914232459865E-2</v>
      </c>
      <c r="J401" s="422">
        <f t="shared" si="263"/>
        <v>4.3687914232459865E-2</v>
      </c>
      <c r="K401" s="422">
        <f t="shared" si="263"/>
        <v>4.3687914232459865E-2</v>
      </c>
      <c r="L401" s="422">
        <f t="shared" si="263"/>
        <v>4.3687914232459865E-2</v>
      </c>
      <c r="M401" s="422">
        <f t="shared" si="263"/>
        <v>4.3687914232459865E-2</v>
      </c>
      <c r="N401" s="422">
        <f t="shared" si="263"/>
        <v>4.3687914232459865E-2</v>
      </c>
      <c r="O401" s="295" t="s">
        <v>3370</v>
      </c>
    </row>
    <row r="402" spans="1:15">
      <c r="E402" s="419"/>
      <c r="F402" s="419"/>
      <c r="G402" s="419"/>
      <c r="H402" s="419"/>
      <c r="I402" s="419"/>
      <c r="J402" s="419"/>
      <c r="K402" s="419"/>
      <c r="L402" s="419"/>
      <c r="M402" s="419"/>
      <c r="N402" s="419"/>
    </row>
    <row r="403" spans="1:15" s="18" customFormat="1">
      <c r="A403" s="18" t="s">
        <v>113</v>
      </c>
      <c r="E403" s="22"/>
      <c r="F403" s="22"/>
      <c r="G403" s="22"/>
      <c r="H403" s="22"/>
      <c r="I403" s="22"/>
      <c r="J403" s="22"/>
      <c r="K403" s="22"/>
      <c r="L403" s="22"/>
      <c r="M403" s="22"/>
      <c r="N403" s="22"/>
    </row>
  </sheetData>
  <conditionalFormatting sqref="Q45:Q46 Q50:Q52 Q53:R57 Q59:R61 Q65:R69">
    <cfRule type="cellIs" dxfId="29" priority="22" operator="equal">
      <formula>TRUE</formula>
    </cfRule>
  </conditionalFormatting>
  <conditionalFormatting sqref="R45:R46 R50:R52">
    <cfRule type="cellIs" dxfId="28" priority="21" operator="equal">
      <formula>TRUE</formula>
    </cfRule>
  </conditionalFormatting>
  <conditionalFormatting sqref="Q47:Q49">
    <cfRule type="cellIs" dxfId="27" priority="20" operator="equal">
      <formula>TRUE</formula>
    </cfRule>
  </conditionalFormatting>
  <conditionalFormatting sqref="R47:R49">
    <cfRule type="cellIs" dxfId="26" priority="19" operator="equal">
      <formula>TRUE</formula>
    </cfRule>
  </conditionalFormatting>
  <conditionalFormatting sqref="Q64:R64 Q80:R402">
    <cfRule type="cellIs" dxfId="25" priority="17" operator="equal">
      <formula>TRUE</formula>
    </cfRule>
  </conditionalFormatting>
  <conditionalFormatting sqref="Q58:R58">
    <cfRule type="cellIs" dxfId="24" priority="15" operator="equal">
      <formula>TRUE</formula>
    </cfRule>
  </conditionalFormatting>
  <conditionalFormatting sqref="Q62:R63">
    <cfRule type="cellIs" dxfId="23" priority="14" operator="equal">
      <formula>TRUE</formula>
    </cfRule>
  </conditionalFormatting>
  <conditionalFormatting sqref="Q79:R79">
    <cfRule type="cellIs" dxfId="22" priority="13" operator="equal">
      <formula>TRUE</formula>
    </cfRule>
  </conditionalFormatting>
  <conditionalFormatting sqref="Q70:R73">
    <cfRule type="cellIs" dxfId="21" priority="12" operator="equal">
      <formula>TRUE</formula>
    </cfRule>
  </conditionalFormatting>
  <conditionalFormatting sqref="Q74:R78">
    <cfRule type="cellIs" dxfId="20" priority="11" operator="equal">
      <formula>TRUE</formula>
    </cfRule>
  </conditionalFormatting>
  <conditionalFormatting sqref="Q33:Q36">
    <cfRule type="cellIs" dxfId="19" priority="10" operator="equal">
      <formula>TRUE</formula>
    </cfRule>
  </conditionalFormatting>
  <conditionalFormatting sqref="R33:R36">
    <cfRule type="cellIs" dxfId="18" priority="9" operator="equal">
      <formula>TRUE</formula>
    </cfRule>
  </conditionalFormatting>
  <conditionalFormatting sqref="Q37:Q38">
    <cfRule type="cellIs" dxfId="17" priority="8" operator="equal">
      <formula>TRUE</formula>
    </cfRule>
  </conditionalFormatting>
  <conditionalFormatting sqref="R37:R38">
    <cfRule type="cellIs" dxfId="16" priority="7" operator="equal">
      <formula>TRUE</formula>
    </cfRule>
  </conditionalFormatting>
  <conditionalFormatting sqref="Q39:Q40">
    <cfRule type="cellIs" dxfId="15" priority="6" operator="equal">
      <formula>TRUE</formula>
    </cfRule>
  </conditionalFormatting>
  <conditionalFormatting sqref="R39:R40">
    <cfRule type="cellIs" dxfId="14" priority="5" operator="equal">
      <formula>TRUE</formula>
    </cfRule>
  </conditionalFormatting>
  <conditionalFormatting sqref="Q41:Q42">
    <cfRule type="cellIs" dxfId="13" priority="4" operator="equal">
      <formula>TRUE</formula>
    </cfRule>
  </conditionalFormatting>
  <conditionalFormatting sqref="R41:R42">
    <cfRule type="cellIs" dxfId="12" priority="3" operator="equal">
      <formula>TRUE</formula>
    </cfRule>
  </conditionalFormatting>
  <conditionalFormatting sqref="Q43:Q44">
    <cfRule type="cellIs" dxfId="11" priority="2" operator="equal">
      <formula>TRUE</formula>
    </cfRule>
  </conditionalFormatting>
  <conditionalFormatting sqref="R43:R44">
    <cfRule type="cellIs" dxfId="10" priority="1" operator="equal">
      <formula>TRUE</formula>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Z30"/>
  <sheetViews>
    <sheetView workbookViewId="0">
      <selection activeCell="A9" sqref="A9"/>
    </sheetView>
  </sheetViews>
  <sheetFormatPr defaultColWidth="8.81640625" defaultRowHeight="13.8"/>
  <cols>
    <col min="1" max="1" width="12.7265625" style="10" customWidth="1"/>
    <col min="2" max="2" width="20.7265625" style="11" customWidth="1"/>
    <col min="3" max="4" width="8.81640625" style="10"/>
    <col min="5" max="14" width="10.08984375" style="10" bestFit="1" customWidth="1"/>
    <col min="15" max="15" width="14.7265625" style="11" customWidth="1"/>
    <col min="16" max="16" width="12" style="10" bestFit="1" customWidth="1"/>
    <col min="17" max="16384" width="8.81640625" style="10"/>
  </cols>
  <sheetData>
    <row r="1" spans="1:26" s="15" customFormat="1">
      <c r="A1" s="15" t="s">
        <v>277</v>
      </c>
      <c r="B1" s="14"/>
      <c r="E1" s="15" t="s">
        <v>8</v>
      </c>
      <c r="F1" s="15" t="s">
        <v>9</v>
      </c>
      <c r="G1" s="15" t="s">
        <v>10</v>
      </c>
      <c r="H1" s="15" t="s">
        <v>11</v>
      </c>
      <c r="I1" s="15" t="s">
        <v>12</v>
      </c>
      <c r="J1" s="15" t="s">
        <v>595</v>
      </c>
      <c r="K1" s="15" t="s">
        <v>596</v>
      </c>
      <c r="L1" s="15" t="s">
        <v>597</v>
      </c>
      <c r="M1" s="15" t="s">
        <v>598</v>
      </c>
      <c r="N1" s="15" t="s">
        <v>599</v>
      </c>
      <c r="O1" s="14"/>
      <c r="Q1" s="15" t="s">
        <v>8</v>
      </c>
      <c r="R1" s="15" t="s">
        <v>9</v>
      </c>
      <c r="S1" s="15" t="s">
        <v>10</v>
      </c>
      <c r="T1" s="15" t="s">
        <v>11</v>
      </c>
      <c r="U1" s="15" t="s">
        <v>12</v>
      </c>
      <c r="V1" s="15" t="s">
        <v>595</v>
      </c>
      <c r="W1" s="15" t="s">
        <v>596</v>
      </c>
      <c r="X1" s="15" t="s">
        <v>597</v>
      </c>
      <c r="Y1" s="15" t="s">
        <v>598</v>
      </c>
      <c r="Z1" s="15" t="s">
        <v>599</v>
      </c>
    </row>
    <row r="2" spans="1:26" s="16" customFormat="1">
      <c r="A2" s="16" t="s">
        <v>278</v>
      </c>
      <c r="B2" s="74" t="s">
        <v>189</v>
      </c>
      <c r="C2" s="16" t="s">
        <v>279</v>
      </c>
      <c r="D2" s="16" t="s">
        <v>280</v>
      </c>
      <c r="O2" s="74" t="s">
        <v>281</v>
      </c>
      <c r="P2" s="16" t="s">
        <v>282</v>
      </c>
    </row>
    <row r="3" spans="1:26" s="16" customFormat="1">
      <c r="A3" s="74" t="s">
        <v>283</v>
      </c>
      <c r="B3" s="74"/>
      <c r="O3" s="74"/>
    </row>
    <row r="4" spans="1:26">
      <c r="A4" s="11" t="s">
        <v>500</v>
      </c>
      <c r="E4" s="10">
        <f t="shared" ref="E4:I5" si="0">IF($C4="R",$D4*(1+Q4),$D4+Q4)</f>
        <v>0</v>
      </c>
      <c r="F4" s="10">
        <f t="shared" si="0"/>
        <v>0</v>
      </c>
      <c r="G4" s="10">
        <f t="shared" si="0"/>
        <v>0</v>
      </c>
      <c r="H4" s="10">
        <f t="shared" si="0"/>
        <v>0</v>
      </c>
      <c r="I4" s="10">
        <f t="shared" si="0"/>
        <v>0</v>
      </c>
      <c r="J4" s="10">
        <f t="shared" ref="J4:N19" si="1">IF($C4="R",$D4*(1+V4),$D4+V4)</f>
        <v>0</v>
      </c>
      <c r="K4" s="10">
        <f t="shared" si="1"/>
        <v>0</v>
      </c>
      <c r="L4" s="10">
        <f t="shared" si="1"/>
        <v>0</v>
      </c>
      <c r="M4" s="10">
        <f t="shared" si="1"/>
        <v>0</v>
      </c>
      <c r="N4" s="10">
        <f t="shared" si="1"/>
        <v>0</v>
      </c>
      <c r="P4" s="10">
        <f>COUNTIF(adj!$C3:$C201,$A4)</f>
        <v>0</v>
      </c>
      <c r="Q4" s="10">
        <f>SUMIF(adj!$C$3:$C$201,$A4,adj!E$3:E$201)</f>
        <v>0</v>
      </c>
      <c r="R4" s="10">
        <f>SUMIF(adj!$C$3:$C$201,$A4,adj!F$3:F$201)</f>
        <v>0</v>
      </c>
      <c r="S4" s="10">
        <f>SUMIF(adj!$C$3:$C$201,$A4,adj!G$3:G$201)</f>
        <v>0</v>
      </c>
      <c r="T4" s="10">
        <f>SUMIF(adj!$C$3:$C$201,$A4,adj!H$3:H$201)</f>
        <v>0</v>
      </c>
      <c r="U4" s="10">
        <f>SUMIF(adj!$C$3:$C$201,$A4,adj!I$3:I$201)</f>
        <v>0</v>
      </c>
      <c r="V4" s="10">
        <f>SUMIF(adj!$C$3:$C$201,$A4,adj!J$3:J$201)</f>
        <v>0</v>
      </c>
      <c r="W4" s="10">
        <f>SUMIF(adj!$C$3:$C$201,$A4,adj!K$3:K$201)</f>
        <v>0</v>
      </c>
      <c r="X4" s="10">
        <f>SUMIF(adj!$C$3:$C$201,$A4,adj!L$3:L$201)</f>
        <v>0</v>
      </c>
      <c r="Y4" s="10">
        <f>SUMIF(adj!$C$3:$C$201,$A4,adj!M$3:M$201)</f>
        <v>0</v>
      </c>
      <c r="Z4" s="10">
        <f>SUMIF(adj!$C$3:$C$201,$A4,adj!N$3:N$201)</f>
        <v>0</v>
      </c>
    </row>
    <row r="5" spans="1:26">
      <c r="A5" s="103">
        <v>1001</v>
      </c>
      <c r="B5" s="72" t="s">
        <v>2201</v>
      </c>
      <c r="C5" s="13" t="s">
        <v>284</v>
      </c>
      <c r="D5" s="93">
        <v>0</v>
      </c>
      <c r="E5" s="10">
        <f t="shared" si="0"/>
        <v>0</v>
      </c>
      <c r="F5" s="10">
        <f t="shared" si="0"/>
        <v>0</v>
      </c>
      <c r="G5" s="10">
        <f t="shared" si="0"/>
        <v>0</v>
      </c>
      <c r="H5" s="10">
        <f t="shared" si="0"/>
        <v>0</v>
      </c>
      <c r="I5" s="10">
        <f t="shared" si="0"/>
        <v>0</v>
      </c>
      <c r="J5" s="10">
        <f t="shared" si="1"/>
        <v>0</v>
      </c>
      <c r="K5" s="10">
        <f t="shared" si="1"/>
        <v>0</v>
      </c>
      <c r="L5" s="10">
        <f t="shared" si="1"/>
        <v>0</v>
      </c>
      <c r="M5" s="10">
        <f t="shared" si="1"/>
        <v>0</v>
      </c>
      <c r="N5" s="10">
        <f t="shared" si="1"/>
        <v>0</v>
      </c>
      <c r="O5" s="11" t="s">
        <v>2199</v>
      </c>
      <c r="P5" s="10">
        <f>COUNTIF(adj!$C4:$C202,$A5)</f>
        <v>2</v>
      </c>
      <c r="Q5" s="10">
        <f>SUMIF(adj!$C$3:$C$201,$A5,adj!E$3:E$201)</f>
        <v>0</v>
      </c>
      <c r="R5" s="10">
        <f>SUMIF(adj!$C$3:$C$201,$A5,adj!F$3:F$201)</f>
        <v>0</v>
      </c>
      <c r="S5" s="10">
        <f>SUMIF(adj!$C$3:$C$201,$A5,adj!G$3:G$201)</f>
        <v>0</v>
      </c>
      <c r="T5" s="10">
        <f>SUMIF(adj!$C$3:$C$201,$A5,adj!H$3:H$201)</f>
        <v>0</v>
      </c>
      <c r="U5" s="10">
        <f>SUMIF(adj!$C$3:$C$201,$A5,adj!I$3:I$201)</f>
        <v>0</v>
      </c>
      <c r="V5" s="10">
        <f>SUMIF(adj!$C$3:$C$201,$A5,adj!J$3:J$201)</f>
        <v>0</v>
      </c>
      <c r="W5" s="10">
        <f>SUMIF(adj!$C$3:$C$201,$A5,adj!K$3:K$201)</f>
        <v>0</v>
      </c>
      <c r="X5" s="10">
        <f>SUMIF(adj!$C$3:$C$201,$A5,adj!L$3:L$201)</f>
        <v>0</v>
      </c>
      <c r="Y5" s="10">
        <f>SUMIF(adj!$C$3:$C$201,$A5,adj!M$3:M$201)</f>
        <v>0</v>
      </c>
      <c r="Z5" s="10">
        <f>SUMIF(adj!$C$3:$C$201,$A5,adj!N$3:N$201)</f>
        <v>0</v>
      </c>
    </row>
    <row r="6" spans="1:26">
      <c r="A6" s="103">
        <v>10012</v>
      </c>
      <c r="B6" s="72" t="s">
        <v>2202</v>
      </c>
      <c r="C6" s="13" t="s">
        <v>284</v>
      </c>
      <c r="D6" s="93">
        <v>0</v>
      </c>
      <c r="E6" s="10">
        <f>IF($C6="R",$D6*(1+Q6),$D6+Q6)</f>
        <v>0</v>
      </c>
      <c r="F6" s="10">
        <f t="shared" ref="F6" si="2">IF($C6="R",$D6*(1+R6),$D6+R6)</f>
        <v>0</v>
      </c>
      <c r="G6" s="10">
        <f t="shared" ref="G6" si="3">IF($C6="R",$D6*(1+S6),$D6+S6)</f>
        <v>0</v>
      </c>
      <c r="H6" s="10">
        <f t="shared" ref="H6" si="4">IF($C6="R",$D6*(1+T6),$D6+T6)</f>
        <v>0</v>
      </c>
      <c r="I6" s="10">
        <f t="shared" ref="I6" si="5">IF($C6="R",$D6*(1+U6),$D6+U6)</f>
        <v>0</v>
      </c>
      <c r="J6" s="10">
        <f t="shared" si="1"/>
        <v>0</v>
      </c>
      <c r="K6" s="10">
        <f t="shared" si="1"/>
        <v>0</v>
      </c>
      <c r="L6" s="10">
        <f t="shared" si="1"/>
        <v>0</v>
      </c>
      <c r="M6" s="10">
        <f t="shared" si="1"/>
        <v>0</v>
      </c>
      <c r="N6" s="10">
        <f t="shared" si="1"/>
        <v>0</v>
      </c>
      <c r="O6" s="11" t="s">
        <v>2200</v>
      </c>
      <c r="P6" s="10">
        <f>COUNTIF(adj!$C5:$C203,$A6)</f>
        <v>0</v>
      </c>
      <c r="Q6" s="10">
        <f>SUMIF(adj!$C$3:$C$201,$A6,adj!E$3:E$201)</f>
        <v>0</v>
      </c>
      <c r="R6" s="10">
        <f>SUMIF(adj!$C$3:$C$201,$A6,adj!F$3:F$201)</f>
        <v>0</v>
      </c>
      <c r="S6" s="10">
        <f>SUMIF(adj!$C$3:$C$201,$A6,adj!G$3:G$201)</f>
        <v>0</v>
      </c>
      <c r="T6" s="10">
        <f>SUMIF(adj!$C$3:$C$201,$A6,adj!H$3:H$201)</f>
        <v>0</v>
      </c>
      <c r="U6" s="10">
        <f>SUMIF(adj!$C$3:$C$201,$A6,adj!I$3:I$201)</f>
        <v>0</v>
      </c>
      <c r="V6" s="10">
        <f>SUMIF(adj!$C$3:$C$201,$A6,adj!J$3:J$201)</f>
        <v>0</v>
      </c>
      <c r="W6" s="10">
        <f>SUMIF(adj!$C$3:$C$201,$A6,adj!K$3:K$201)</f>
        <v>0</v>
      </c>
      <c r="X6" s="10">
        <f>SUMIF(adj!$C$3:$C$201,$A6,adj!L$3:L$201)</f>
        <v>0</v>
      </c>
      <c r="Y6" s="10">
        <f>SUMIF(adj!$C$3:$C$201,$A6,adj!M$3:M$201)</f>
        <v>0</v>
      </c>
      <c r="Z6" s="10">
        <f>SUMIF(adj!$C$3:$C$201,$A6,adj!N$3:N$201)</f>
        <v>0</v>
      </c>
    </row>
    <row r="7" spans="1:26">
      <c r="A7" s="103">
        <v>1002</v>
      </c>
      <c r="B7" s="72" t="s">
        <v>202</v>
      </c>
      <c r="C7" s="13" t="s">
        <v>284</v>
      </c>
      <c r="D7" s="93"/>
      <c r="E7" s="10">
        <f t="shared" ref="E7:E10" si="6">IF($C7="R",$D7*(1+Q7),$D7+Q7)</f>
        <v>0</v>
      </c>
      <c r="F7" s="10">
        <f t="shared" ref="F7:I10" si="7">IF($C7="R",$D7*(1+R7),$D7+R7)</f>
        <v>0</v>
      </c>
      <c r="G7" s="10">
        <f t="shared" si="7"/>
        <v>0</v>
      </c>
      <c r="H7" s="10">
        <f t="shared" si="7"/>
        <v>0</v>
      </c>
      <c r="I7" s="10">
        <f t="shared" si="7"/>
        <v>0</v>
      </c>
      <c r="J7" s="10">
        <f t="shared" si="1"/>
        <v>0</v>
      </c>
      <c r="K7" s="10">
        <f t="shared" si="1"/>
        <v>0</v>
      </c>
      <c r="L7" s="10">
        <f t="shared" si="1"/>
        <v>0</v>
      </c>
      <c r="M7" s="10">
        <f t="shared" si="1"/>
        <v>0</v>
      </c>
      <c r="N7" s="10">
        <f t="shared" si="1"/>
        <v>0</v>
      </c>
      <c r="O7" s="11" t="s">
        <v>501</v>
      </c>
      <c r="P7" s="10">
        <f>COUNTIF(adj!$C6:$C204,$A7)</f>
        <v>0</v>
      </c>
      <c r="Q7" s="10">
        <f>SUMIF(adj!$C$3:$C$201,$A7,adj!E$3:E$201)</f>
        <v>0</v>
      </c>
      <c r="R7" s="10">
        <f>SUMIF(adj!$C$3:$C$201,$A7,adj!F$3:F$201)</f>
        <v>0</v>
      </c>
      <c r="S7" s="10">
        <f>SUMIF(adj!$C$3:$C$201,$A7,adj!G$3:G$201)</f>
        <v>0</v>
      </c>
      <c r="T7" s="10">
        <f>SUMIF(adj!$C$3:$C$201,$A7,adj!H$3:H$201)</f>
        <v>0</v>
      </c>
      <c r="U7" s="10">
        <f>SUMIF(adj!$C$3:$C$201,$A7,adj!I$3:I$201)</f>
        <v>0</v>
      </c>
      <c r="V7" s="10">
        <f>SUMIF(adj!$C$3:$C$201,$A7,adj!J$3:J$201)</f>
        <v>0</v>
      </c>
      <c r="W7" s="10">
        <f>SUMIF(adj!$C$3:$C$201,$A7,adj!K$3:K$201)</f>
        <v>0</v>
      </c>
      <c r="X7" s="10">
        <f>SUMIF(adj!$C$3:$C$201,$A7,adj!L$3:L$201)</f>
        <v>0</v>
      </c>
      <c r="Y7" s="10">
        <f>SUMIF(adj!$C$3:$C$201,$A7,adj!M$3:M$201)</f>
        <v>0</v>
      </c>
      <c r="Z7" s="10">
        <f>SUMIF(adj!$C$3:$C$201,$A7,adj!N$3:N$201)</f>
        <v>0</v>
      </c>
    </row>
    <row r="8" spans="1:26">
      <c r="A8" s="11" t="s">
        <v>499</v>
      </c>
      <c r="E8" s="10">
        <f t="shared" si="6"/>
        <v>0</v>
      </c>
      <c r="F8" s="10">
        <f t="shared" si="7"/>
        <v>0</v>
      </c>
      <c r="G8" s="10">
        <f t="shared" si="7"/>
        <v>0</v>
      </c>
      <c r="H8" s="10">
        <f t="shared" si="7"/>
        <v>0</v>
      </c>
      <c r="I8" s="10">
        <f t="shared" si="7"/>
        <v>0</v>
      </c>
      <c r="J8" s="10">
        <f t="shared" si="1"/>
        <v>0</v>
      </c>
      <c r="K8" s="10">
        <f t="shared" si="1"/>
        <v>0</v>
      </c>
      <c r="L8" s="10">
        <f t="shared" si="1"/>
        <v>0</v>
      </c>
      <c r="M8" s="10">
        <f t="shared" si="1"/>
        <v>0</v>
      </c>
      <c r="N8" s="10">
        <f t="shared" si="1"/>
        <v>0</v>
      </c>
      <c r="P8" s="10">
        <f>COUNTIF(adj!$C7:$C205,$A8)</f>
        <v>0</v>
      </c>
      <c r="Q8" s="10">
        <f>SUMIF(adj!$C$3:$C$201,$A8,adj!E$3:E$201)</f>
        <v>0</v>
      </c>
      <c r="R8" s="10">
        <f>SUMIF(adj!$C$3:$C$201,$A8,adj!F$3:F$201)</f>
        <v>0</v>
      </c>
      <c r="S8" s="10">
        <f>SUMIF(adj!$C$3:$C$201,$A8,adj!G$3:G$201)</f>
        <v>0</v>
      </c>
      <c r="T8" s="10">
        <f>SUMIF(adj!$C$3:$C$201,$A8,adj!H$3:H$201)</f>
        <v>0</v>
      </c>
      <c r="U8" s="10">
        <f>SUMIF(adj!$C$3:$C$201,$A8,adj!I$3:I$201)</f>
        <v>0</v>
      </c>
      <c r="V8" s="10">
        <f>SUMIF(adj!$C$3:$C$201,$A8,adj!J$3:J$201)</f>
        <v>0</v>
      </c>
      <c r="W8" s="10">
        <f>SUMIF(adj!$C$3:$C$201,$A8,adj!K$3:K$201)</f>
        <v>0</v>
      </c>
      <c r="X8" s="10">
        <f>SUMIF(adj!$C$3:$C$201,$A8,adj!L$3:L$201)</f>
        <v>0</v>
      </c>
      <c r="Y8" s="10">
        <f>SUMIF(adj!$C$3:$C$201,$A8,adj!M$3:M$201)</f>
        <v>0</v>
      </c>
      <c r="Z8" s="10">
        <f>SUMIF(adj!$C$3:$C$201,$A8,adj!N$3:N$201)</f>
        <v>0</v>
      </c>
    </row>
    <row r="9" spans="1:26">
      <c r="A9" s="103" t="s">
        <v>502</v>
      </c>
      <c r="B9" s="72" t="s">
        <v>470</v>
      </c>
      <c r="C9" s="13" t="s">
        <v>284</v>
      </c>
      <c r="D9" s="93">
        <v>0</v>
      </c>
      <c r="E9" s="10">
        <f t="shared" si="6"/>
        <v>0</v>
      </c>
      <c r="F9" s="10">
        <f t="shared" si="7"/>
        <v>0</v>
      </c>
      <c r="G9" s="10">
        <f t="shared" si="7"/>
        <v>0</v>
      </c>
      <c r="H9" s="10">
        <f t="shared" si="7"/>
        <v>0</v>
      </c>
      <c r="I9" s="10">
        <f t="shared" si="7"/>
        <v>0</v>
      </c>
      <c r="J9" s="10">
        <f t="shared" si="1"/>
        <v>0</v>
      </c>
      <c r="K9" s="10">
        <f t="shared" si="1"/>
        <v>0</v>
      </c>
      <c r="L9" s="10">
        <f t="shared" si="1"/>
        <v>0</v>
      </c>
      <c r="M9" s="10">
        <f t="shared" si="1"/>
        <v>0</v>
      </c>
      <c r="N9" s="10">
        <f t="shared" si="1"/>
        <v>0</v>
      </c>
      <c r="O9" s="11" t="s">
        <v>683</v>
      </c>
      <c r="P9" s="10">
        <f>COUNTIF(adj!$C8:$C206,$A9)</f>
        <v>3</v>
      </c>
      <c r="Q9" s="10">
        <f>SUMIF(adj!$C$3:$C$201,$A9,adj!E$3:E$201)</f>
        <v>0</v>
      </c>
      <c r="R9" s="10">
        <f>SUMIF(adj!$C$3:$C$201,$A9,adj!F$3:F$201)</f>
        <v>0</v>
      </c>
      <c r="S9" s="10">
        <f>SUMIF(adj!$C$3:$C$201,$A9,adj!G$3:G$201)</f>
        <v>0</v>
      </c>
      <c r="T9" s="10">
        <f>SUMIF(adj!$C$3:$C$201,$A9,adj!H$3:H$201)</f>
        <v>0</v>
      </c>
      <c r="U9" s="10">
        <f>SUMIF(adj!$C$3:$C$201,$A9,adj!I$3:I$201)</f>
        <v>0</v>
      </c>
      <c r="V9" s="10">
        <f>SUMIF(adj!$C$3:$C$201,$A9,adj!J$3:J$201)</f>
        <v>0</v>
      </c>
      <c r="W9" s="10">
        <f>SUMIF(adj!$C$3:$C$201,$A9,adj!K$3:K$201)</f>
        <v>0</v>
      </c>
      <c r="X9" s="10">
        <f>SUMIF(adj!$C$3:$C$201,$A9,adj!L$3:L$201)</f>
        <v>0</v>
      </c>
      <c r="Y9" s="10">
        <f>SUMIF(adj!$C$3:$C$201,$A9,adj!M$3:M$201)</f>
        <v>0</v>
      </c>
      <c r="Z9" s="10">
        <f>SUMIF(adj!$C$3:$C$201,$A9,adj!N$3:N$201)</f>
        <v>0</v>
      </c>
    </row>
    <row r="10" spans="1:26">
      <c r="A10" s="103" t="s">
        <v>2204</v>
      </c>
      <c r="B10" s="72" t="s">
        <v>2032</v>
      </c>
      <c r="C10" s="13" t="s">
        <v>284</v>
      </c>
      <c r="D10" s="93">
        <v>0</v>
      </c>
      <c r="E10" s="10">
        <f t="shared" si="6"/>
        <v>0</v>
      </c>
      <c r="F10" s="10">
        <f t="shared" si="7"/>
        <v>0</v>
      </c>
      <c r="G10" s="10">
        <f t="shared" si="7"/>
        <v>0</v>
      </c>
      <c r="H10" s="10">
        <f t="shared" si="7"/>
        <v>0</v>
      </c>
      <c r="I10" s="10">
        <f t="shared" si="7"/>
        <v>0</v>
      </c>
      <c r="J10" s="10">
        <f t="shared" si="1"/>
        <v>0</v>
      </c>
      <c r="K10" s="10">
        <f t="shared" si="1"/>
        <v>0</v>
      </c>
      <c r="L10" s="10">
        <f t="shared" si="1"/>
        <v>0</v>
      </c>
      <c r="M10" s="10">
        <f t="shared" si="1"/>
        <v>0</v>
      </c>
      <c r="N10" s="10">
        <f t="shared" si="1"/>
        <v>0</v>
      </c>
      <c r="O10" s="11" t="s">
        <v>2203</v>
      </c>
      <c r="P10" s="10">
        <f>COUNTIF(adj!$C9:$C207,$A10)</f>
        <v>2</v>
      </c>
      <c r="Q10" s="10">
        <f>SUMIF(adj!$C$3:$C$201,$A10,adj!E$3:E$201)</f>
        <v>0</v>
      </c>
      <c r="R10" s="10">
        <f>SUMIF(adj!$C$3:$C$201,$A10,adj!F$3:F$201)</f>
        <v>0</v>
      </c>
      <c r="S10" s="10">
        <f>SUMIF(adj!$C$3:$C$201,$A10,adj!G$3:G$201)</f>
        <v>0</v>
      </c>
      <c r="T10" s="10">
        <f>SUMIF(adj!$C$3:$C$201,$A10,adj!H$3:H$201)</f>
        <v>0</v>
      </c>
      <c r="U10" s="10">
        <f>SUMIF(adj!$C$3:$C$201,$A10,adj!I$3:I$201)</f>
        <v>0</v>
      </c>
      <c r="V10" s="10">
        <f>SUMIF(adj!$C$3:$C$201,$A10,adj!J$3:J$201)</f>
        <v>0</v>
      </c>
      <c r="W10" s="10">
        <f>SUMIF(adj!$C$3:$C$201,$A10,adj!K$3:K$201)</f>
        <v>0</v>
      </c>
      <c r="X10" s="10">
        <f>SUMIF(adj!$C$3:$C$201,$A10,adj!L$3:L$201)</f>
        <v>0</v>
      </c>
      <c r="Y10" s="10">
        <f>SUMIF(adj!$C$3:$C$201,$A10,adj!M$3:M$201)</f>
        <v>0</v>
      </c>
      <c r="Z10" s="10">
        <f>SUMIF(adj!$C$3:$C$201,$A10,adj!N$3:N$201)</f>
        <v>0</v>
      </c>
    </row>
    <row r="11" spans="1:26">
      <c r="A11" s="103" t="s">
        <v>503</v>
      </c>
      <c r="B11" s="72" t="s">
        <v>398</v>
      </c>
      <c r="C11" s="13" t="s">
        <v>284</v>
      </c>
      <c r="D11" s="93">
        <v>0</v>
      </c>
      <c r="E11" s="10">
        <f t="shared" ref="E11:E12" si="8">IF($C11="R",$D11*(1+Q11),$D11+Q11)</f>
        <v>0</v>
      </c>
      <c r="F11" s="10">
        <f t="shared" ref="F11:F12" si="9">IF($C11="R",$D11*(1+R11),$D11+R11)</f>
        <v>0</v>
      </c>
      <c r="G11" s="10">
        <f t="shared" ref="G11:G12" si="10">IF($C11="R",$D11*(1+S11),$D11+S11)</f>
        <v>0</v>
      </c>
      <c r="H11" s="10">
        <f t="shared" ref="H11:H12" si="11">IF($C11="R",$D11*(1+T11),$D11+T11)</f>
        <v>0</v>
      </c>
      <c r="I11" s="10">
        <f t="shared" ref="I11:I12" si="12">IF($C11="R",$D11*(1+U11),$D11+U11)</f>
        <v>0</v>
      </c>
      <c r="J11" s="10">
        <f t="shared" si="1"/>
        <v>0</v>
      </c>
      <c r="K11" s="10">
        <f t="shared" si="1"/>
        <v>0</v>
      </c>
      <c r="L11" s="10">
        <f t="shared" si="1"/>
        <v>0</v>
      </c>
      <c r="M11" s="10">
        <f t="shared" si="1"/>
        <v>0</v>
      </c>
      <c r="N11" s="10">
        <f t="shared" si="1"/>
        <v>0</v>
      </c>
      <c r="O11" s="11" t="s">
        <v>685</v>
      </c>
      <c r="P11" s="10">
        <f>COUNTIF(adj!$C10:$C208,$A11)</f>
        <v>2</v>
      </c>
      <c r="Q11" s="10">
        <f>SUMIF(adj!$C$3:$C$201,$A11,adj!E$3:E$201)</f>
        <v>0</v>
      </c>
      <c r="R11" s="10">
        <f>SUMIF(adj!$C$3:$C$201,$A11,adj!F$3:F$201)</f>
        <v>0</v>
      </c>
      <c r="S11" s="10">
        <f>SUMIF(adj!$C$3:$C$201,$A11,adj!G$3:G$201)</f>
        <v>0</v>
      </c>
      <c r="T11" s="10">
        <f>SUMIF(adj!$C$3:$C$201,$A11,adj!H$3:H$201)</f>
        <v>0</v>
      </c>
      <c r="U11" s="10">
        <f>SUMIF(adj!$C$3:$C$201,$A11,adj!I$3:I$201)</f>
        <v>0</v>
      </c>
      <c r="V11" s="10">
        <f>SUMIF(adj!$C$3:$C$201,$A11,adj!J$3:J$201)</f>
        <v>0</v>
      </c>
      <c r="W11" s="10">
        <f>SUMIF(adj!$C$3:$C$201,$A11,adj!K$3:K$201)</f>
        <v>0</v>
      </c>
      <c r="X11" s="10">
        <f>SUMIF(adj!$C$3:$C$201,$A11,adj!L$3:L$201)</f>
        <v>0</v>
      </c>
      <c r="Y11" s="10">
        <f>SUMIF(adj!$C$3:$C$201,$A11,adj!M$3:M$201)</f>
        <v>0</v>
      </c>
      <c r="Z11" s="10">
        <f>SUMIF(adj!$C$3:$C$201,$A11,adj!N$3:N$201)</f>
        <v>0</v>
      </c>
    </row>
    <row r="12" spans="1:26">
      <c r="A12" s="103" t="s">
        <v>504</v>
      </c>
      <c r="B12" s="72" t="s">
        <v>406</v>
      </c>
      <c r="C12" s="13" t="s">
        <v>284</v>
      </c>
      <c r="D12" s="93">
        <v>0</v>
      </c>
      <c r="E12" s="10">
        <f t="shared" si="8"/>
        <v>0</v>
      </c>
      <c r="F12" s="10">
        <f t="shared" si="9"/>
        <v>0</v>
      </c>
      <c r="G12" s="10">
        <f t="shared" si="10"/>
        <v>0</v>
      </c>
      <c r="H12" s="10">
        <f t="shared" si="11"/>
        <v>0</v>
      </c>
      <c r="I12" s="10">
        <f t="shared" si="12"/>
        <v>0</v>
      </c>
      <c r="J12" s="10">
        <f t="shared" si="1"/>
        <v>0</v>
      </c>
      <c r="K12" s="10">
        <f t="shared" si="1"/>
        <v>0</v>
      </c>
      <c r="L12" s="10">
        <f t="shared" si="1"/>
        <v>0</v>
      </c>
      <c r="M12" s="10">
        <f t="shared" si="1"/>
        <v>0</v>
      </c>
      <c r="N12" s="10">
        <f t="shared" si="1"/>
        <v>0</v>
      </c>
      <c r="O12" s="11" t="s">
        <v>684</v>
      </c>
      <c r="P12" s="10">
        <f>COUNTIF(adj!$C11:$C209,$A12)</f>
        <v>1</v>
      </c>
      <c r="Q12" s="10">
        <f>SUMIF(adj!$C$3:$C$201,$A12,adj!E$3:E$201)</f>
        <v>0</v>
      </c>
      <c r="R12" s="10">
        <f>SUMIF(adj!$C$3:$C$201,$A12,adj!F$3:F$201)</f>
        <v>0</v>
      </c>
      <c r="S12" s="10">
        <f>SUMIF(adj!$C$3:$C$201,$A12,adj!G$3:G$201)</f>
        <v>0</v>
      </c>
      <c r="T12" s="10">
        <f>SUMIF(adj!$C$3:$C$201,$A12,adj!H$3:H$201)</f>
        <v>0</v>
      </c>
      <c r="U12" s="10">
        <f>SUMIF(adj!$C$3:$C$201,$A12,adj!I$3:I$201)</f>
        <v>0</v>
      </c>
      <c r="V12" s="10">
        <f>SUMIF(adj!$C$3:$C$201,$A12,adj!J$3:J$201)</f>
        <v>0</v>
      </c>
      <c r="W12" s="10">
        <f>SUMIF(adj!$C$3:$C$201,$A12,adj!K$3:K$201)</f>
        <v>0</v>
      </c>
      <c r="X12" s="10">
        <f>SUMIF(adj!$C$3:$C$201,$A12,adj!L$3:L$201)</f>
        <v>0</v>
      </c>
      <c r="Y12" s="10">
        <f>SUMIF(adj!$C$3:$C$201,$A12,adj!M$3:M$201)</f>
        <v>0</v>
      </c>
      <c r="Z12" s="10">
        <f>SUMIF(adj!$C$3:$C$201,$A12,adj!N$3:N$201)</f>
        <v>0</v>
      </c>
    </row>
    <row r="13" spans="1:26">
      <c r="A13" s="103" t="s">
        <v>3031</v>
      </c>
      <c r="B13" s="72" t="s">
        <v>3032</v>
      </c>
      <c r="C13" s="13" t="s">
        <v>284</v>
      </c>
      <c r="D13" s="93">
        <v>0</v>
      </c>
      <c r="E13" s="798">
        <f t="shared" ref="E13:E29" si="13">IF($C13="R",$D13*(1+Q13),$D13+Q13)</f>
        <v>0</v>
      </c>
      <c r="F13" s="798">
        <f t="shared" ref="F13:F29" si="14">IF($C13="R",$D13*(1+R13),$D13+R13)</f>
        <v>0</v>
      </c>
      <c r="G13" s="798">
        <f t="shared" ref="G13:G29" si="15">IF($C13="R",$D13*(1+S13),$D13+S13)</f>
        <v>0</v>
      </c>
      <c r="H13" s="798">
        <f t="shared" ref="H13:H29" si="16">IF($C13="R",$D13*(1+T13),$D13+T13)</f>
        <v>0</v>
      </c>
      <c r="I13" s="798">
        <f t="shared" ref="I13:I29" si="17">IF($C13="R",$D13*(1+U13),$D13+U13)</f>
        <v>0</v>
      </c>
      <c r="J13" s="798">
        <f t="shared" si="1"/>
        <v>0</v>
      </c>
      <c r="K13" s="798">
        <f t="shared" si="1"/>
        <v>0</v>
      </c>
      <c r="L13" s="798">
        <f t="shared" si="1"/>
        <v>0</v>
      </c>
      <c r="M13" s="798">
        <f t="shared" si="1"/>
        <v>0</v>
      </c>
      <c r="N13" s="798">
        <f t="shared" si="1"/>
        <v>0</v>
      </c>
      <c r="O13" s="11" t="s">
        <v>3033</v>
      </c>
      <c r="P13" s="10">
        <f>COUNTIF(adj!$C12:$C210,$A13)</f>
        <v>1</v>
      </c>
      <c r="Q13" s="10">
        <f>SUMIF(adj!$C$3:$C$201,$A13,adj!E$3:E$201)</f>
        <v>0</v>
      </c>
      <c r="R13" s="10">
        <f>SUMIF(adj!$C$3:$C$201,$A13,adj!F$3:F$201)</f>
        <v>0</v>
      </c>
      <c r="S13" s="10">
        <f>SUMIF(adj!$C$3:$C$201,$A13,adj!G$3:G$201)</f>
        <v>0</v>
      </c>
      <c r="T13" s="10">
        <f>SUMIF(adj!$C$3:$C$201,$A13,adj!H$3:H$201)</f>
        <v>0</v>
      </c>
      <c r="U13" s="10">
        <f>SUMIF(adj!$C$3:$C$201,$A13,adj!I$3:I$201)</f>
        <v>0</v>
      </c>
      <c r="V13" s="10">
        <f>SUMIF(adj!$C$3:$C$201,$A13,adj!J$3:J$201)</f>
        <v>0</v>
      </c>
      <c r="W13" s="10">
        <f>SUMIF(adj!$C$3:$C$201,$A13,adj!K$3:K$201)</f>
        <v>0</v>
      </c>
      <c r="X13" s="10">
        <f>SUMIF(adj!$C$3:$C$201,$A13,adj!L$3:L$201)</f>
        <v>0</v>
      </c>
      <c r="Y13" s="10">
        <f>SUMIF(adj!$C$3:$C$201,$A13,adj!M$3:M$201)</f>
        <v>0</v>
      </c>
      <c r="Z13" s="10">
        <f>SUMIF(adj!$C$3:$C$201,$A13,adj!N$3:N$201)</f>
        <v>0</v>
      </c>
    </row>
    <row r="14" spans="1:26">
      <c r="A14" s="11" t="s">
        <v>686</v>
      </c>
      <c r="E14" s="10">
        <f t="shared" si="13"/>
        <v>0</v>
      </c>
      <c r="F14" s="10">
        <f t="shared" si="14"/>
        <v>0</v>
      </c>
      <c r="G14" s="10">
        <f t="shared" si="15"/>
        <v>0</v>
      </c>
      <c r="H14" s="10">
        <f t="shared" si="16"/>
        <v>0</v>
      </c>
      <c r="I14" s="10">
        <f t="shared" si="17"/>
        <v>0</v>
      </c>
      <c r="J14" s="10">
        <f t="shared" si="1"/>
        <v>0</v>
      </c>
      <c r="K14" s="10">
        <f t="shared" si="1"/>
        <v>0</v>
      </c>
      <c r="L14" s="10">
        <f t="shared" si="1"/>
        <v>0</v>
      </c>
      <c r="M14" s="10">
        <f t="shared" si="1"/>
        <v>0</v>
      </c>
      <c r="N14" s="10">
        <f t="shared" si="1"/>
        <v>0</v>
      </c>
      <c r="P14" s="10">
        <f>COUNTIF(adj!$C13:$C211,$A14)</f>
        <v>0</v>
      </c>
      <c r="Q14" s="10">
        <f>SUMIF(adj!$C$3:$C$201,$A14,adj!E$3:E$201)</f>
        <v>0</v>
      </c>
      <c r="R14" s="10">
        <f>SUMIF(adj!$C$3:$C$201,$A14,adj!F$3:F$201)</f>
        <v>0</v>
      </c>
      <c r="S14" s="10">
        <f>SUMIF(adj!$C$3:$C$201,$A14,adj!G$3:G$201)</f>
        <v>0</v>
      </c>
      <c r="T14" s="10">
        <f>SUMIF(adj!$C$3:$C$201,$A14,adj!H$3:H$201)</f>
        <v>0</v>
      </c>
      <c r="U14" s="10">
        <f>SUMIF(adj!$C$3:$C$201,$A14,adj!I$3:I$201)</f>
        <v>0</v>
      </c>
      <c r="V14" s="10">
        <f>SUMIF(adj!$C$3:$C$201,$A14,adj!J$3:J$201)</f>
        <v>0</v>
      </c>
      <c r="W14" s="10">
        <f>SUMIF(adj!$C$3:$C$201,$A14,adj!K$3:K$201)</f>
        <v>0</v>
      </c>
      <c r="X14" s="10">
        <f>SUMIF(adj!$C$3:$C$201,$A14,adj!L$3:L$201)</f>
        <v>0</v>
      </c>
      <c r="Y14" s="10">
        <f>SUMIF(adj!$C$3:$C$201,$A14,adj!M$3:M$201)</f>
        <v>0</v>
      </c>
      <c r="Z14" s="10">
        <f>SUMIF(adj!$C$3:$C$201,$A14,adj!N$3:N$201)</f>
        <v>0</v>
      </c>
    </row>
    <row r="15" spans="1:26">
      <c r="A15" s="103" t="s">
        <v>687</v>
      </c>
      <c r="B15" s="72" t="s">
        <v>467</v>
      </c>
      <c r="C15" s="13" t="s">
        <v>285</v>
      </c>
      <c r="D15" s="93">
        <f>dataHarmonizationBudget</f>
        <v>15000000</v>
      </c>
      <c r="E15" s="75">
        <f>IF($C15="R",$D15*(1+Q15),$D15+Q15)</f>
        <v>15000000</v>
      </c>
      <c r="F15" s="75">
        <f t="shared" si="14"/>
        <v>15000000</v>
      </c>
      <c r="G15" s="75">
        <f t="shared" si="15"/>
        <v>15000000</v>
      </c>
      <c r="H15" s="75">
        <f t="shared" si="16"/>
        <v>15000000</v>
      </c>
      <c r="I15" s="75">
        <f t="shared" si="17"/>
        <v>15000000</v>
      </c>
      <c r="J15" s="75">
        <f t="shared" si="1"/>
        <v>15000000</v>
      </c>
      <c r="K15" s="75">
        <f t="shared" si="1"/>
        <v>15000000</v>
      </c>
      <c r="L15" s="75">
        <f t="shared" si="1"/>
        <v>15000000</v>
      </c>
      <c r="M15" s="75">
        <f t="shared" si="1"/>
        <v>15000000</v>
      </c>
      <c r="N15" s="75">
        <f t="shared" si="1"/>
        <v>15000000</v>
      </c>
      <c r="O15" s="11" t="s">
        <v>688</v>
      </c>
      <c r="P15" s="10">
        <f>COUNTIF(adj!$C14:$C212,$A15)</f>
        <v>0</v>
      </c>
      <c r="Q15" s="10">
        <f>SUMIF(adj!$C$3:$C$201,$A15,adj!E$3:E$201)</f>
        <v>0</v>
      </c>
      <c r="R15" s="10">
        <f>SUMIF(adj!$C$3:$C$201,$A15,adj!F$3:F$201)</f>
        <v>0</v>
      </c>
      <c r="S15" s="10">
        <f>SUMIF(adj!$C$3:$C$201,$A15,adj!G$3:G$201)</f>
        <v>0</v>
      </c>
      <c r="T15" s="10">
        <f>SUMIF(adj!$C$3:$C$201,$A15,adj!H$3:H$201)</f>
        <v>0</v>
      </c>
      <c r="U15" s="10">
        <f>SUMIF(adj!$C$3:$C$201,$A15,adj!I$3:I$201)</f>
        <v>0</v>
      </c>
      <c r="V15" s="10">
        <f>SUMIF(adj!$C$3:$C$201,$A15,adj!J$3:J$201)</f>
        <v>0</v>
      </c>
      <c r="W15" s="10">
        <f>SUMIF(adj!$C$3:$C$201,$A15,adj!K$3:K$201)</f>
        <v>0</v>
      </c>
      <c r="X15" s="10">
        <f>SUMIF(adj!$C$3:$C$201,$A15,adj!L$3:L$201)</f>
        <v>0</v>
      </c>
      <c r="Y15" s="10">
        <f>SUMIF(adj!$C$3:$C$201,$A15,adj!M$3:M$201)</f>
        <v>0</v>
      </c>
      <c r="Z15" s="10">
        <f>SUMIF(adj!$C$3:$C$201,$A15,adj!N$3:N$201)</f>
        <v>0</v>
      </c>
    </row>
    <row r="16" spans="1:26">
      <c r="A16" s="103" t="s">
        <v>916</v>
      </c>
      <c r="B16" s="72" t="s">
        <v>434</v>
      </c>
      <c r="C16" s="13" t="s">
        <v>285</v>
      </c>
      <c r="D16" s="93">
        <v>0.2</v>
      </c>
      <c r="E16" s="10">
        <f t="shared" si="13"/>
        <v>0.2</v>
      </c>
      <c r="F16" s="10">
        <f t="shared" si="14"/>
        <v>0.2</v>
      </c>
      <c r="G16" s="10">
        <f t="shared" si="15"/>
        <v>0.2</v>
      </c>
      <c r="H16" s="10">
        <f t="shared" si="16"/>
        <v>0.2</v>
      </c>
      <c r="I16" s="10">
        <f t="shared" si="17"/>
        <v>0.2</v>
      </c>
      <c r="J16" s="10">
        <f t="shared" si="1"/>
        <v>0.2</v>
      </c>
      <c r="K16" s="10">
        <f t="shared" si="1"/>
        <v>0.2</v>
      </c>
      <c r="L16" s="10">
        <f t="shared" si="1"/>
        <v>0.2</v>
      </c>
      <c r="M16" s="10">
        <f t="shared" si="1"/>
        <v>0.2</v>
      </c>
      <c r="N16" s="10">
        <f t="shared" si="1"/>
        <v>0.2</v>
      </c>
      <c r="O16" s="11" t="s">
        <v>917</v>
      </c>
      <c r="P16" s="10">
        <f>COUNTIF(adj!$C15:$C213,$A16)</f>
        <v>0</v>
      </c>
      <c r="Q16" s="10">
        <f>SUMIF(adj!$C$3:$C$201,$A16,adj!E$3:E$201)</f>
        <v>0</v>
      </c>
      <c r="R16" s="10">
        <f>SUMIF(adj!$C$3:$C$201,$A16,adj!F$3:F$201)</f>
        <v>0</v>
      </c>
      <c r="S16" s="10">
        <f>SUMIF(adj!$C$3:$C$201,$A16,adj!G$3:G$201)</f>
        <v>0</v>
      </c>
      <c r="T16" s="10">
        <f>SUMIF(adj!$C$3:$C$201,$A16,adj!H$3:H$201)</f>
        <v>0</v>
      </c>
      <c r="U16" s="10">
        <f>SUMIF(adj!$C$3:$C$201,$A16,adj!I$3:I$201)</f>
        <v>0</v>
      </c>
      <c r="V16" s="10">
        <f>SUMIF(adj!$C$3:$C$201,$A16,adj!J$3:J$201)</f>
        <v>0</v>
      </c>
      <c r="W16" s="10">
        <f>SUMIF(adj!$C$3:$C$201,$A16,adj!K$3:K$201)</f>
        <v>0</v>
      </c>
      <c r="X16" s="10">
        <f>SUMIF(adj!$C$3:$C$201,$A16,adj!L$3:L$201)</f>
        <v>0</v>
      </c>
      <c r="Y16" s="10">
        <f>SUMIF(adj!$C$3:$C$201,$A16,adj!M$3:M$201)</f>
        <v>0</v>
      </c>
      <c r="Z16" s="10">
        <f>SUMIF(adj!$C$3:$C$201,$A16,adj!N$3:N$201)</f>
        <v>0</v>
      </c>
    </row>
    <row r="17" spans="1:26">
      <c r="A17" s="103" t="s">
        <v>1006</v>
      </c>
      <c r="B17" s="72" t="s">
        <v>401</v>
      </c>
      <c r="C17" s="13" t="s">
        <v>285</v>
      </c>
      <c r="D17" s="93">
        <v>2000000</v>
      </c>
      <c r="E17" s="10">
        <f t="shared" si="13"/>
        <v>2000000</v>
      </c>
      <c r="F17" s="10">
        <f t="shared" si="14"/>
        <v>2000000</v>
      </c>
      <c r="G17" s="10">
        <f t="shared" si="15"/>
        <v>2000000</v>
      </c>
      <c r="H17" s="10">
        <f t="shared" si="16"/>
        <v>2000000</v>
      </c>
      <c r="I17" s="10">
        <f t="shared" si="17"/>
        <v>2000000</v>
      </c>
      <c r="J17" s="10">
        <f t="shared" si="1"/>
        <v>2000000</v>
      </c>
      <c r="K17" s="10">
        <f t="shared" si="1"/>
        <v>2000000</v>
      </c>
      <c r="L17" s="10">
        <f t="shared" si="1"/>
        <v>2000000</v>
      </c>
      <c r="M17" s="10">
        <f t="shared" si="1"/>
        <v>2000000</v>
      </c>
      <c r="N17" s="10">
        <f t="shared" si="1"/>
        <v>2000000</v>
      </c>
      <c r="O17" s="11" t="s">
        <v>1007</v>
      </c>
      <c r="P17" s="10">
        <f>COUNTIF(adj!$C16:$C214,$A17)</f>
        <v>0</v>
      </c>
      <c r="Q17" s="10">
        <f>SUMIF(adj!$C$3:$C$201,$A17,adj!E$3:E$201)</f>
        <v>0</v>
      </c>
      <c r="R17" s="10">
        <f>SUMIF(adj!$C$3:$C$201,$A17,adj!F$3:F$201)</f>
        <v>0</v>
      </c>
      <c r="S17" s="10">
        <f>SUMIF(adj!$C$3:$C$201,$A17,adj!G$3:G$201)</f>
        <v>0</v>
      </c>
      <c r="T17" s="10">
        <f>SUMIF(adj!$C$3:$C$201,$A17,adj!H$3:H$201)</f>
        <v>0</v>
      </c>
      <c r="U17" s="10">
        <f>SUMIF(adj!$C$3:$C$201,$A17,adj!I$3:I$201)</f>
        <v>0</v>
      </c>
      <c r="V17" s="10">
        <f>SUMIF(adj!$C$3:$C$201,$A17,adj!J$3:J$201)</f>
        <v>0</v>
      </c>
      <c r="W17" s="10">
        <f>SUMIF(adj!$C$3:$C$201,$A17,adj!K$3:K$201)</f>
        <v>0</v>
      </c>
      <c r="X17" s="10">
        <f>SUMIF(adj!$C$3:$C$201,$A17,adj!L$3:L$201)</f>
        <v>0</v>
      </c>
      <c r="Y17" s="10">
        <f>SUMIF(adj!$C$3:$C$201,$A17,adj!M$3:M$201)</f>
        <v>0</v>
      </c>
      <c r="Z17" s="10">
        <f>SUMIF(adj!$C$3:$C$201,$A17,adj!N$3:N$201)</f>
        <v>0</v>
      </c>
    </row>
    <row r="18" spans="1:26">
      <c r="A18" s="103" t="s">
        <v>1117</v>
      </c>
      <c r="B18" s="72" t="s">
        <v>1118</v>
      </c>
      <c r="C18" s="13" t="s">
        <v>285</v>
      </c>
      <c r="D18" s="93">
        <v>0</v>
      </c>
      <c r="E18" s="10">
        <f t="shared" si="13"/>
        <v>0</v>
      </c>
      <c r="F18" s="10">
        <f t="shared" si="14"/>
        <v>0</v>
      </c>
      <c r="G18" s="10">
        <f t="shared" si="15"/>
        <v>0</v>
      </c>
      <c r="H18" s="10">
        <f t="shared" si="16"/>
        <v>0</v>
      </c>
      <c r="I18" s="10">
        <f t="shared" si="17"/>
        <v>0</v>
      </c>
      <c r="J18" s="10">
        <f t="shared" si="1"/>
        <v>0</v>
      </c>
      <c r="K18" s="10">
        <f t="shared" si="1"/>
        <v>0</v>
      </c>
      <c r="L18" s="10">
        <f t="shared" si="1"/>
        <v>0</v>
      </c>
      <c r="M18" s="10">
        <f t="shared" si="1"/>
        <v>0</v>
      </c>
      <c r="N18" s="10">
        <f t="shared" si="1"/>
        <v>0</v>
      </c>
      <c r="O18" s="11" t="s">
        <v>1119</v>
      </c>
      <c r="P18" s="10">
        <f>COUNTIF(adj!$C17:$C215,$A18)</f>
        <v>0</v>
      </c>
      <c r="Q18" s="10">
        <f>SUMIF(adj!$C$3:$C$201,$A18,adj!E$3:E$201)</f>
        <v>0</v>
      </c>
      <c r="R18" s="10">
        <f>SUMIF(adj!$C$3:$C$201,$A18,adj!F$3:F$201)</f>
        <v>0</v>
      </c>
      <c r="S18" s="10">
        <f>SUMIF(adj!$C$3:$C$201,$A18,adj!G$3:G$201)</f>
        <v>0</v>
      </c>
      <c r="T18" s="10">
        <f>SUMIF(adj!$C$3:$C$201,$A18,adj!H$3:H$201)</f>
        <v>0</v>
      </c>
      <c r="U18" s="10">
        <f>SUMIF(adj!$C$3:$C$201,$A18,adj!I$3:I$201)</f>
        <v>0</v>
      </c>
      <c r="V18" s="10">
        <f>SUMIF(adj!$C$3:$C$201,$A18,adj!J$3:J$201)</f>
        <v>0</v>
      </c>
      <c r="W18" s="10">
        <f>SUMIF(adj!$C$3:$C$201,$A18,adj!K$3:K$201)</f>
        <v>0</v>
      </c>
      <c r="X18" s="10">
        <f>SUMIF(adj!$C$3:$C$201,$A18,adj!L$3:L$201)</f>
        <v>0</v>
      </c>
      <c r="Y18" s="10">
        <f>SUMIF(adj!$C$3:$C$201,$A18,adj!M$3:M$201)</f>
        <v>0</v>
      </c>
      <c r="Z18" s="10">
        <f>SUMIF(adj!$C$3:$C$201,$A18,adj!N$3:N$201)</f>
        <v>0</v>
      </c>
    </row>
    <row r="19" spans="1:26">
      <c r="A19" s="103" t="s">
        <v>3605</v>
      </c>
      <c r="B19" s="72"/>
      <c r="C19" s="13" t="s">
        <v>285</v>
      </c>
      <c r="D19" s="461">
        <v>0.02</v>
      </c>
      <c r="E19" s="10">
        <f t="shared" si="13"/>
        <v>0.02</v>
      </c>
      <c r="F19" s="10">
        <f t="shared" si="14"/>
        <v>0.02</v>
      </c>
      <c r="G19" s="10">
        <f t="shared" si="15"/>
        <v>0.02</v>
      </c>
      <c r="H19" s="10">
        <f t="shared" si="16"/>
        <v>0.02</v>
      </c>
      <c r="I19" s="10">
        <f t="shared" si="17"/>
        <v>0.02</v>
      </c>
      <c r="J19" s="10">
        <f t="shared" si="1"/>
        <v>0.02</v>
      </c>
      <c r="K19" s="10">
        <f t="shared" si="1"/>
        <v>0.02</v>
      </c>
      <c r="L19" s="10">
        <f t="shared" si="1"/>
        <v>0.02</v>
      </c>
      <c r="M19" s="10">
        <f t="shared" si="1"/>
        <v>0.02</v>
      </c>
      <c r="N19" s="10">
        <f t="shared" si="1"/>
        <v>0.02</v>
      </c>
      <c r="O19" s="11" t="s">
        <v>3606</v>
      </c>
      <c r="P19" s="10">
        <f>COUNTIF(adj!$C18:$C216,$A19)</f>
        <v>0</v>
      </c>
      <c r="Q19" s="10">
        <f>SUMIF(adj!$C$3:$C$201,$A19,adj!E$3:E$201)</f>
        <v>0</v>
      </c>
      <c r="R19" s="10">
        <f>SUMIF(adj!$C$3:$C$201,$A19,adj!F$3:F$201)</f>
        <v>0</v>
      </c>
      <c r="S19" s="10">
        <f>SUMIF(adj!$C$3:$C$201,$A19,adj!G$3:G$201)</f>
        <v>0</v>
      </c>
      <c r="T19" s="10">
        <f>SUMIF(adj!$C$3:$C$201,$A19,adj!H$3:H$201)</f>
        <v>0</v>
      </c>
      <c r="U19" s="10">
        <f>SUMIF(adj!$C$3:$C$201,$A19,adj!I$3:I$201)</f>
        <v>0</v>
      </c>
      <c r="V19" s="10">
        <f>SUMIF(adj!$C$3:$C$201,$A19,adj!J$3:J$201)</f>
        <v>0</v>
      </c>
      <c r="W19" s="10">
        <f>SUMIF(adj!$C$3:$C$201,$A19,adj!K$3:K$201)</f>
        <v>0</v>
      </c>
      <c r="X19" s="10">
        <f>SUMIF(adj!$C$3:$C$201,$A19,adj!L$3:L$201)</f>
        <v>0</v>
      </c>
      <c r="Y19" s="10">
        <f>SUMIF(adj!$C$3:$C$201,$A19,adj!M$3:M$201)</f>
        <v>0</v>
      </c>
      <c r="Z19" s="10">
        <f>SUMIF(adj!$C$3:$C$201,$A19,adj!N$3:N$201)</f>
        <v>0</v>
      </c>
    </row>
    <row r="20" spans="1:26">
      <c r="A20" s="11" t="s">
        <v>1286</v>
      </c>
      <c r="E20" s="10">
        <f t="shared" ref="E20" si="18">IF($C20="R",$D20*(1+Q20),$D20+Q20)</f>
        <v>0</v>
      </c>
      <c r="F20" s="10">
        <f t="shared" ref="F20:F21" si="19">IF($C20="R",$D20*(1+R20),$D20+R20)</f>
        <v>0</v>
      </c>
      <c r="G20" s="10">
        <f t="shared" ref="G20:G21" si="20">IF($C20="R",$D20*(1+S20),$D20+S20)</f>
        <v>0</v>
      </c>
      <c r="H20" s="10">
        <f t="shared" ref="H20:H21" si="21">IF($C20="R",$D20*(1+T20),$D20+T20)</f>
        <v>0</v>
      </c>
      <c r="I20" s="10">
        <f t="shared" ref="I20:I21" si="22">IF($C20="R",$D20*(1+U20),$D20+U20)</f>
        <v>0</v>
      </c>
      <c r="J20" s="10">
        <f t="shared" ref="J20:J29" si="23">IF($C20="R",$D20*(1+V20),$D20+V20)</f>
        <v>0</v>
      </c>
      <c r="K20" s="10">
        <f t="shared" ref="K20:K29" si="24">IF($C20="R",$D20*(1+W20),$D20+W20)</f>
        <v>0</v>
      </c>
      <c r="L20" s="10">
        <f t="shared" ref="L20:L29" si="25">IF($C20="R",$D20*(1+X20),$D20+X20)</f>
        <v>0</v>
      </c>
      <c r="M20" s="10">
        <f t="shared" ref="M20:M29" si="26">IF($C20="R",$D20*(1+Y20),$D20+Y20)</f>
        <v>0</v>
      </c>
      <c r="N20" s="10">
        <f t="shared" ref="N20:N29" si="27">IF($C20="R",$D20*(1+Z20),$D20+Z20)</f>
        <v>0</v>
      </c>
      <c r="P20" s="10">
        <f>COUNTIF(adj!$C19:$C217,$A20)</f>
        <v>0</v>
      </c>
      <c r="Q20" s="10">
        <f>SUMIF(adj!$C$3:$C$201,$A20,adj!E$3:E$201)</f>
        <v>0</v>
      </c>
      <c r="R20" s="10">
        <f>SUMIF(adj!$C$3:$C$201,$A20,adj!F$3:F$201)</f>
        <v>0</v>
      </c>
      <c r="S20" s="10">
        <f>SUMIF(adj!$C$3:$C$201,$A20,adj!G$3:G$201)</f>
        <v>0</v>
      </c>
      <c r="T20" s="10">
        <f>SUMIF(adj!$C$3:$C$201,$A20,adj!H$3:H$201)</f>
        <v>0</v>
      </c>
      <c r="U20" s="10">
        <f>SUMIF(adj!$C$3:$C$201,$A20,adj!I$3:I$201)</f>
        <v>0</v>
      </c>
      <c r="V20" s="10">
        <f>SUMIF(adj!$C$3:$C$201,$A20,adj!J$3:J$201)</f>
        <v>0</v>
      </c>
      <c r="W20" s="10">
        <f>SUMIF(adj!$C$3:$C$201,$A20,adj!K$3:K$201)</f>
        <v>0</v>
      </c>
      <c r="X20" s="10">
        <f>SUMIF(adj!$C$3:$C$201,$A20,adj!L$3:L$201)</f>
        <v>0</v>
      </c>
      <c r="Y20" s="10">
        <f>SUMIF(adj!$C$3:$C$201,$A20,adj!M$3:M$201)</f>
        <v>0</v>
      </c>
      <c r="Z20" s="10">
        <f>SUMIF(adj!$C$3:$C$201,$A20,adj!N$3:N$201)</f>
        <v>0</v>
      </c>
    </row>
    <row r="21" spans="1:26">
      <c r="A21" s="103" t="s">
        <v>1287</v>
      </c>
      <c r="B21" s="72" t="s">
        <v>1285</v>
      </c>
      <c r="C21" s="13" t="s">
        <v>284</v>
      </c>
      <c r="D21" s="461">
        <v>0</v>
      </c>
      <c r="E21" s="224">
        <f>IF($C21="R",$D21*(1+Q21),$D21+Q21)</f>
        <v>0</v>
      </c>
      <c r="F21" s="224">
        <f t="shared" si="19"/>
        <v>0</v>
      </c>
      <c r="G21" s="224">
        <f t="shared" si="20"/>
        <v>0</v>
      </c>
      <c r="H21" s="224">
        <f t="shared" si="21"/>
        <v>0</v>
      </c>
      <c r="I21" s="224">
        <f t="shared" si="22"/>
        <v>0</v>
      </c>
      <c r="J21" s="224">
        <f t="shared" si="23"/>
        <v>0</v>
      </c>
      <c r="K21" s="224">
        <f t="shared" si="24"/>
        <v>0</v>
      </c>
      <c r="L21" s="224">
        <f t="shared" si="25"/>
        <v>0</v>
      </c>
      <c r="M21" s="224">
        <f t="shared" si="26"/>
        <v>0</v>
      </c>
      <c r="N21" s="224">
        <f t="shared" si="27"/>
        <v>0</v>
      </c>
      <c r="O21" s="11" t="s">
        <v>1288</v>
      </c>
      <c r="P21" s="10">
        <f>COUNTIF(adj!$C20:$C218,$A21)</f>
        <v>1</v>
      </c>
      <c r="Q21" s="10">
        <f>SUMIF(adj!$C$3:$C$201,$A21,adj!E$3:E$201)</f>
        <v>0</v>
      </c>
      <c r="R21" s="10">
        <f>SUMIF(adj!$C$3:$C$201,$A21,adj!F$3:F$201)</f>
        <v>0</v>
      </c>
      <c r="S21" s="10">
        <f>SUMIF(adj!$C$3:$C$201,$A21,adj!G$3:G$201)</f>
        <v>0</v>
      </c>
      <c r="T21" s="10">
        <f>SUMIF(adj!$C$3:$C$201,$A21,adj!H$3:H$201)</f>
        <v>0</v>
      </c>
      <c r="U21" s="10">
        <f>SUMIF(adj!$C$3:$C$201,$A21,adj!I$3:I$201)</f>
        <v>0</v>
      </c>
      <c r="V21" s="10">
        <f>SUMIF(adj!$C$3:$C$201,$A21,adj!J$3:J$201)</f>
        <v>0</v>
      </c>
      <c r="W21" s="10">
        <f>SUMIF(adj!$C$3:$C$201,$A21,adj!K$3:K$201)</f>
        <v>0</v>
      </c>
      <c r="X21" s="10">
        <f>SUMIF(adj!$C$3:$C$201,$A21,adj!L$3:L$201)</f>
        <v>0</v>
      </c>
      <c r="Y21" s="10">
        <f>SUMIF(adj!$C$3:$C$201,$A21,adj!M$3:M$201)</f>
        <v>0</v>
      </c>
      <c r="Z21" s="10">
        <f>SUMIF(adj!$C$3:$C$201,$A21,adj!N$3:N$201)</f>
        <v>0</v>
      </c>
    </row>
    <row r="22" spans="1:26">
      <c r="A22" s="103" t="s">
        <v>2205</v>
      </c>
      <c r="B22" s="72" t="s">
        <v>2206</v>
      </c>
      <c r="C22" s="13" t="s">
        <v>284</v>
      </c>
      <c r="D22" s="93">
        <v>0</v>
      </c>
      <c r="E22" s="10">
        <f t="shared" si="13"/>
        <v>0</v>
      </c>
      <c r="F22" s="10">
        <f t="shared" si="14"/>
        <v>0</v>
      </c>
      <c r="G22" s="10">
        <f t="shared" si="15"/>
        <v>0</v>
      </c>
      <c r="H22" s="10">
        <f t="shared" si="16"/>
        <v>0</v>
      </c>
      <c r="I22" s="10">
        <f t="shared" si="17"/>
        <v>0</v>
      </c>
      <c r="J22" s="10">
        <f t="shared" si="23"/>
        <v>0</v>
      </c>
      <c r="K22" s="10">
        <f t="shared" si="24"/>
        <v>0</v>
      </c>
      <c r="L22" s="10">
        <f t="shared" si="25"/>
        <v>0</v>
      </c>
      <c r="M22" s="10">
        <f t="shared" si="26"/>
        <v>0</v>
      </c>
      <c r="N22" s="10">
        <f t="shared" si="27"/>
        <v>0</v>
      </c>
      <c r="O22" s="11" t="s">
        <v>2207</v>
      </c>
      <c r="P22" s="10">
        <f>COUNTIF(adj!$C21:$C219,$A22)</f>
        <v>1</v>
      </c>
      <c r="Q22" s="10">
        <f>SUMIF(adj!$C$3:$C$201,$A22,adj!E$3:E$201)</f>
        <v>0</v>
      </c>
      <c r="R22" s="10">
        <f>SUMIF(adj!$C$3:$C$201,$A22,adj!F$3:F$201)</f>
        <v>0</v>
      </c>
      <c r="S22" s="10">
        <f>SUMIF(adj!$C$3:$C$201,$A22,adj!G$3:G$201)</f>
        <v>0</v>
      </c>
      <c r="T22" s="10">
        <f>SUMIF(adj!$C$3:$C$201,$A22,adj!H$3:H$201)</f>
        <v>0</v>
      </c>
      <c r="U22" s="10">
        <f>SUMIF(adj!$C$3:$C$201,$A22,adj!I$3:I$201)</f>
        <v>0</v>
      </c>
      <c r="V22" s="10">
        <f>SUMIF(adj!$C$3:$C$201,$A22,adj!J$3:J$201)</f>
        <v>0</v>
      </c>
      <c r="W22" s="10">
        <f>SUMIF(adj!$C$3:$C$201,$A22,adj!K$3:K$201)</f>
        <v>0</v>
      </c>
      <c r="X22" s="10">
        <f>SUMIF(adj!$C$3:$C$201,$A22,adj!L$3:L$201)</f>
        <v>0</v>
      </c>
      <c r="Y22" s="10">
        <f>SUMIF(adj!$C$3:$C$201,$A22,adj!M$3:M$201)</f>
        <v>0</v>
      </c>
      <c r="Z22" s="10">
        <f>SUMIF(adj!$C$3:$C$201,$A22,adj!N$3:N$201)</f>
        <v>0</v>
      </c>
    </row>
    <row r="23" spans="1:26">
      <c r="A23" s="103"/>
      <c r="B23" s="72"/>
      <c r="C23" s="13" t="s">
        <v>285</v>
      </c>
      <c r="D23" s="93">
        <v>0</v>
      </c>
      <c r="E23" s="10">
        <f t="shared" si="13"/>
        <v>0</v>
      </c>
      <c r="F23" s="10">
        <f t="shared" si="14"/>
        <v>0</v>
      </c>
      <c r="G23" s="10">
        <f t="shared" si="15"/>
        <v>0</v>
      </c>
      <c r="H23" s="10">
        <f t="shared" si="16"/>
        <v>0</v>
      </c>
      <c r="I23" s="10">
        <f t="shared" si="17"/>
        <v>0</v>
      </c>
      <c r="J23" s="10">
        <f t="shared" si="23"/>
        <v>0</v>
      </c>
      <c r="K23" s="10">
        <f t="shared" si="24"/>
        <v>0</v>
      </c>
      <c r="L23" s="10">
        <f t="shared" si="25"/>
        <v>0</v>
      </c>
      <c r="M23" s="10">
        <f t="shared" si="26"/>
        <v>0</v>
      </c>
      <c r="N23" s="10">
        <f t="shared" si="27"/>
        <v>0</v>
      </c>
      <c r="P23" s="10">
        <f>COUNTIF(adj!$C22:$C220,$A23)</f>
        <v>0</v>
      </c>
      <c r="Q23" s="10">
        <f>SUMIF(adj!$C$3:$C$201,$A23,adj!E$3:E$201)</f>
        <v>0</v>
      </c>
      <c r="R23" s="10">
        <f>SUMIF(adj!$C$3:$C$201,$A23,adj!F$3:F$201)</f>
        <v>0</v>
      </c>
      <c r="S23" s="10">
        <f>SUMIF(adj!$C$3:$C$201,$A23,adj!G$3:G$201)</f>
        <v>0</v>
      </c>
      <c r="T23" s="10">
        <f>SUMIF(adj!$C$3:$C$201,$A23,adj!H$3:H$201)</f>
        <v>0</v>
      </c>
      <c r="U23" s="10">
        <f>SUMIF(adj!$C$3:$C$201,$A23,adj!I$3:I$201)</f>
        <v>0</v>
      </c>
      <c r="V23" s="10">
        <f>SUMIF(adj!$C$3:$C$201,$A23,adj!J$3:J$201)</f>
        <v>0</v>
      </c>
      <c r="W23" s="10">
        <f>SUMIF(adj!$C$3:$C$201,$A23,adj!K$3:K$201)</f>
        <v>0</v>
      </c>
      <c r="X23" s="10">
        <f>SUMIF(adj!$C$3:$C$201,$A23,adj!L$3:L$201)</f>
        <v>0</v>
      </c>
      <c r="Y23" s="10">
        <f>SUMIF(adj!$C$3:$C$201,$A23,adj!M$3:M$201)</f>
        <v>0</v>
      </c>
      <c r="Z23" s="10">
        <f>SUMIF(adj!$C$3:$C$201,$A23,adj!N$3:N$201)</f>
        <v>0</v>
      </c>
    </row>
    <row r="24" spans="1:26">
      <c r="A24" s="11" t="s">
        <v>1717</v>
      </c>
      <c r="E24" s="10">
        <f t="shared" si="13"/>
        <v>0</v>
      </c>
      <c r="F24" s="10">
        <f t="shared" si="14"/>
        <v>0</v>
      </c>
      <c r="G24" s="10">
        <f t="shared" si="15"/>
        <v>0</v>
      </c>
      <c r="H24" s="10">
        <f t="shared" si="16"/>
        <v>0</v>
      </c>
      <c r="I24" s="10">
        <f t="shared" si="17"/>
        <v>0</v>
      </c>
      <c r="J24" s="10">
        <f t="shared" si="23"/>
        <v>0</v>
      </c>
      <c r="K24" s="10">
        <f t="shared" si="24"/>
        <v>0</v>
      </c>
      <c r="L24" s="10">
        <f t="shared" si="25"/>
        <v>0</v>
      </c>
      <c r="M24" s="10">
        <f t="shared" si="26"/>
        <v>0</v>
      </c>
      <c r="N24" s="10">
        <f t="shared" si="27"/>
        <v>0</v>
      </c>
      <c r="P24" s="10">
        <f>COUNTIF(adj!$C23:$C221,$A24)</f>
        <v>0</v>
      </c>
      <c r="Q24" s="10">
        <f>SUMIF(adj!$C$3:$C$201,$A24,adj!E$3:E$201)</f>
        <v>0</v>
      </c>
      <c r="R24" s="10">
        <f>SUMIF(adj!$C$3:$C$201,$A24,adj!F$3:F$201)</f>
        <v>0</v>
      </c>
      <c r="S24" s="10">
        <f>SUMIF(adj!$C$3:$C$201,$A24,adj!G$3:G$201)</f>
        <v>0</v>
      </c>
      <c r="T24" s="10">
        <f>SUMIF(adj!$C$3:$C$201,$A24,adj!H$3:H$201)</f>
        <v>0</v>
      </c>
      <c r="U24" s="10">
        <f>SUMIF(adj!$C$3:$C$201,$A24,adj!I$3:I$201)</f>
        <v>0</v>
      </c>
      <c r="V24" s="10">
        <f>SUMIF(adj!$C$3:$C$201,$A24,adj!J$3:J$201)</f>
        <v>0</v>
      </c>
      <c r="W24" s="10">
        <f>SUMIF(adj!$C$3:$C$201,$A24,adj!K$3:K$201)</f>
        <v>0</v>
      </c>
      <c r="X24" s="10">
        <f>SUMIF(adj!$C$3:$C$201,$A24,adj!L$3:L$201)</f>
        <v>0</v>
      </c>
      <c r="Y24" s="10">
        <f>SUMIF(adj!$C$3:$C$201,$A24,adj!M$3:M$201)</f>
        <v>0</v>
      </c>
      <c r="Z24" s="10">
        <f>SUMIF(adj!$C$3:$C$201,$A24,adj!N$3:N$201)</f>
        <v>0</v>
      </c>
    </row>
    <row r="25" spans="1:26">
      <c r="A25" s="103" t="s">
        <v>1718</v>
      </c>
      <c r="B25" s="72" t="s">
        <v>1719</v>
      </c>
      <c r="C25" s="13" t="s">
        <v>285</v>
      </c>
      <c r="D25" s="525">
        <v>24</v>
      </c>
      <c r="E25" s="75">
        <f>IF($C25="R",$D25*(1+Q25),$D25+Q25)</f>
        <v>24</v>
      </c>
      <c r="F25" s="75">
        <f t="shared" si="14"/>
        <v>24</v>
      </c>
      <c r="G25" s="75">
        <f t="shared" si="15"/>
        <v>24</v>
      </c>
      <c r="H25" s="75">
        <f t="shared" si="16"/>
        <v>24</v>
      </c>
      <c r="I25" s="75">
        <f t="shared" si="17"/>
        <v>24</v>
      </c>
      <c r="J25" s="75">
        <f t="shared" si="23"/>
        <v>24</v>
      </c>
      <c r="K25" s="75">
        <f t="shared" si="24"/>
        <v>24</v>
      </c>
      <c r="L25" s="75">
        <f t="shared" si="25"/>
        <v>24</v>
      </c>
      <c r="M25" s="75">
        <f t="shared" si="26"/>
        <v>24</v>
      </c>
      <c r="N25" s="75">
        <f t="shared" si="27"/>
        <v>24</v>
      </c>
      <c r="O25" s="11" t="s">
        <v>1720</v>
      </c>
      <c r="P25" s="10">
        <f>COUNTIF(adj!$C24:$C222,$A25)</f>
        <v>0</v>
      </c>
      <c r="Q25" s="10">
        <f>SUMIF(adj!$C$3:$C$201,$A25,adj!E$3:E$201)</f>
        <v>0</v>
      </c>
      <c r="R25" s="10">
        <f>SUMIF(adj!$C$3:$C$201,$A25,adj!F$3:F$201)</f>
        <v>0</v>
      </c>
      <c r="S25" s="10">
        <f>SUMIF(adj!$C$3:$C$201,$A25,adj!G$3:G$201)</f>
        <v>0</v>
      </c>
      <c r="T25" s="10">
        <f>SUMIF(adj!$C$3:$C$201,$A25,adj!H$3:H$201)</f>
        <v>0</v>
      </c>
      <c r="U25" s="10">
        <f>SUMIF(adj!$C$3:$C$201,$A25,adj!I$3:I$201)</f>
        <v>0</v>
      </c>
      <c r="V25" s="10">
        <f>SUMIF(adj!$C$3:$C$201,$A25,adj!J$3:J$201)</f>
        <v>0</v>
      </c>
      <c r="W25" s="10">
        <f>SUMIF(adj!$C$3:$C$201,$A25,adj!K$3:K$201)</f>
        <v>0</v>
      </c>
      <c r="X25" s="10">
        <f>SUMIF(adj!$C$3:$C$201,$A25,adj!L$3:L$201)</f>
        <v>0</v>
      </c>
      <c r="Y25" s="10">
        <f>SUMIF(adj!$C$3:$C$201,$A25,adj!M$3:M$201)</f>
        <v>0</v>
      </c>
      <c r="Z25" s="10">
        <f>SUMIF(adj!$C$3:$C$201,$A25,adj!N$3:N$201)</f>
        <v>0</v>
      </c>
    </row>
    <row r="26" spans="1:26">
      <c r="A26" s="103" t="s">
        <v>2215</v>
      </c>
      <c r="B26" s="72" t="s">
        <v>2216</v>
      </c>
      <c r="C26" s="13" t="s">
        <v>284</v>
      </c>
      <c r="D26" s="93">
        <v>0</v>
      </c>
      <c r="E26" s="10">
        <f t="shared" si="13"/>
        <v>0</v>
      </c>
      <c r="F26" s="10">
        <f t="shared" si="14"/>
        <v>0</v>
      </c>
      <c r="G26" s="10">
        <f t="shared" si="15"/>
        <v>0</v>
      </c>
      <c r="H26" s="10">
        <f t="shared" si="16"/>
        <v>0</v>
      </c>
      <c r="I26" s="10">
        <f t="shared" si="17"/>
        <v>0</v>
      </c>
      <c r="J26" s="10">
        <f t="shared" si="23"/>
        <v>0</v>
      </c>
      <c r="K26" s="10">
        <f t="shared" si="24"/>
        <v>0</v>
      </c>
      <c r="L26" s="10">
        <f t="shared" si="25"/>
        <v>0</v>
      </c>
      <c r="M26" s="10">
        <f t="shared" si="26"/>
        <v>0</v>
      </c>
      <c r="N26" s="10">
        <f t="shared" si="27"/>
        <v>0</v>
      </c>
      <c r="O26" s="11" t="s">
        <v>2219</v>
      </c>
      <c r="P26" s="10">
        <f>COUNTIF(adj!$C25:$C223,$A26)</f>
        <v>0</v>
      </c>
      <c r="Q26" s="10">
        <f>SUMIF(adj!$C$3:$C$201,$A26,adj!E$3:E$201)</f>
        <v>0</v>
      </c>
      <c r="R26" s="10">
        <f>SUMIF(adj!$C$3:$C$201,$A26,adj!F$3:F$201)</f>
        <v>0</v>
      </c>
      <c r="S26" s="10">
        <f>SUMIF(adj!$C$3:$C$201,$A26,adj!G$3:G$201)</f>
        <v>0</v>
      </c>
      <c r="T26" s="10">
        <f>SUMIF(adj!$C$3:$C$201,$A26,adj!H$3:H$201)</f>
        <v>0</v>
      </c>
      <c r="U26" s="10">
        <f>SUMIF(adj!$C$3:$C$201,$A26,adj!I$3:I$201)</f>
        <v>0</v>
      </c>
      <c r="V26" s="10">
        <f>SUMIF(adj!$C$3:$C$201,$A26,adj!J$3:J$201)</f>
        <v>0</v>
      </c>
      <c r="W26" s="10">
        <f>SUMIF(adj!$C$3:$C$201,$A26,adj!K$3:K$201)</f>
        <v>0</v>
      </c>
      <c r="X26" s="10">
        <f>SUMIF(adj!$C$3:$C$201,$A26,adj!L$3:L$201)</f>
        <v>0</v>
      </c>
      <c r="Y26" s="10">
        <f>SUMIF(adj!$C$3:$C$201,$A26,adj!M$3:M$201)</f>
        <v>0</v>
      </c>
      <c r="Z26" s="10">
        <f>SUMIF(adj!$C$3:$C$201,$A26,adj!N$3:N$201)</f>
        <v>0</v>
      </c>
    </row>
    <row r="27" spans="1:26">
      <c r="A27" s="103" t="s">
        <v>2238</v>
      </c>
      <c r="B27" s="72" t="s">
        <v>2239</v>
      </c>
      <c r="C27" s="13" t="s">
        <v>284</v>
      </c>
      <c r="D27" s="93">
        <v>1</v>
      </c>
      <c r="E27" s="73">
        <f t="shared" si="13"/>
        <v>1</v>
      </c>
      <c r="F27" s="73">
        <f t="shared" si="14"/>
        <v>1</v>
      </c>
      <c r="G27" s="73">
        <f t="shared" si="15"/>
        <v>1</v>
      </c>
      <c r="H27" s="73">
        <f t="shared" si="16"/>
        <v>1</v>
      </c>
      <c r="I27" s="73">
        <f t="shared" si="17"/>
        <v>1</v>
      </c>
      <c r="J27" s="73">
        <f t="shared" si="23"/>
        <v>1</v>
      </c>
      <c r="K27" s="73">
        <f t="shared" si="24"/>
        <v>1</v>
      </c>
      <c r="L27" s="73">
        <f t="shared" si="25"/>
        <v>1</v>
      </c>
      <c r="M27" s="73">
        <f t="shared" si="26"/>
        <v>1</v>
      </c>
      <c r="N27" s="73">
        <f t="shared" si="27"/>
        <v>1</v>
      </c>
      <c r="O27" s="11" t="s">
        <v>2240</v>
      </c>
      <c r="P27" s="10">
        <f>COUNTIF(adj!$C26:$C224,$A27)</f>
        <v>1</v>
      </c>
      <c r="Q27" s="10">
        <f>SUMIF(adj!$C$3:$C$201,$A27,adj!E$3:E$201)</f>
        <v>0</v>
      </c>
      <c r="R27" s="10">
        <f>SUMIF(adj!$C$3:$C$201,$A27,adj!F$3:F$201)</f>
        <v>0</v>
      </c>
      <c r="S27" s="10">
        <f>SUMIF(adj!$C$3:$C$201,$A27,adj!G$3:G$201)</f>
        <v>0</v>
      </c>
      <c r="T27" s="10">
        <f>SUMIF(adj!$C$3:$C$201,$A27,adj!H$3:H$201)</f>
        <v>0</v>
      </c>
      <c r="U27" s="10">
        <f>SUMIF(adj!$C$3:$C$201,$A27,adj!I$3:I$201)</f>
        <v>0</v>
      </c>
      <c r="V27" s="10">
        <f>SUMIF(adj!$C$3:$C$201,$A27,adj!J$3:J$201)</f>
        <v>0</v>
      </c>
      <c r="W27" s="10">
        <f>SUMIF(adj!$C$3:$C$201,$A27,adj!K$3:K$201)</f>
        <v>0</v>
      </c>
      <c r="X27" s="10">
        <f>SUMIF(adj!$C$3:$C$201,$A27,adj!L$3:L$201)</f>
        <v>0</v>
      </c>
      <c r="Y27" s="10">
        <f>SUMIF(adj!$C$3:$C$201,$A27,adj!M$3:M$201)</f>
        <v>0</v>
      </c>
      <c r="Z27" s="10">
        <f>SUMIF(adj!$C$3:$C$201,$A27,adj!N$3:N$201)</f>
        <v>0</v>
      </c>
    </row>
    <row r="28" spans="1:26">
      <c r="A28" s="103" t="s">
        <v>2251</v>
      </c>
      <c r="B28" s="72"/>
      <c r="C28" s="13" t="s">
        <v>285</v>
      </c>
      <c r="D28" s="93">
        <v>0</v>
      </c>
      <c r="E28" s="10">
        <f t="shared" si="13"/>
        <v>0</v>
      </c>
      <c r="F28" s="10">
        <f t="shared" si="14"/>
        <v>0</v>
      </c>
      <c r="G28" s="10">
        <f t="shared" si="15"/>
        <v>0</v>
      </c>
      <c r="H28" s="10">
        <f t="shared" si="16"/>
        <v>0</v>
      </c>
      <c r="I28" s="10">
        <f t="shared" si="17"/>
        <v>0</v>
      </c>
      <c r="J28" s="10">
        <f t="shared" si="23"/>
        <v>0</v>
      </c>
      <c r="K28" s="10">
        <f t="shared" si="24"/>
        <v>0</v>
      </c>
      <c r="L28" s="10">
        <f t="shared" si="25"/>
        <v>0</v>
      </c>
      <c r="M28" s="10">
        <f t="shared" si="26"/>
        <v>0</v>
      </c>
      <c r="N28" s="10">
        <f t="shared" si="27"/>
        <v>0</v>
      </c>
      <c r="P28" s="10">
        <f>COUNTIF(adj!$C27:$C225,$A28)</f>
        <v>0</v>
      </c>
      <c r="Q28" s="10">
        <f>SUMIF(adj!$C$3:$C$201,$A28,adj!E$3:E$201)</f>
        <v>0</v>
      </c>
      <c r="R28" s="10">
        <f>SUMIF(adj!$C$3:$C$201,$A28,adj!F$3:F$201)</f>
        <v>0</v>
      </c>
      <c r="S28" s="10">
        <f>SUMIF(adj!$C$3:$C$201,$A28,adj!G$3:G$201)</f>
        <v>0</v>
      </c>
      <c r="T28" s="10">
        <f>SUMIF(adj!$C$3:$C$201,$A28,adj!H$3:H$201)</f>
        <v>0</v>
      </c>
      <c r="U28" s="10">
        <f>SUMIF(adj!$C$3:$C$201,$A28,adj!I$3:I$201)</f>
        <v>0</v>
      </c>
      <c r="V28" s="10">
        <f>SUMIF(adj!$C$3:$C$201,$A28,adj!J$3:J$201)</f>
        <v>0</v>
      </c>
      <c r="W28" s="10">
        <f>SUMIF(adj!$C$3:$C$201,$A28,adj!K$3:K$201)</f>
        <v>0</v>
      </c>
      <c r="X28" s="10">
        <f>SUMIF(adj!$C$3:$C$201,$A28,adj!L$3:L$201)</f>
        <v>0</v>
      </c>
      <c r="Y28" s="10">
        <f>SUMIF(adj!$C$3:$C$201,$A28,adj!M$3:M$201)</f>
        <v>0</v>
      </c>
      <c r="Z28" s="10">
        <f>SUMIF(adj!$C$3:$C$201,$A28,adj!N$3:N$201)</f>
        <v>0</v>
      </c>
    </row>
    <row r="29" spans="1:26">
      <c r="A29" s="103"/>
      <c r="B29" s="72"/>
      <c r="C29" s="13" t="s">
        <v>285</v>
      </c>
      <c r="D29" s="93">
        <v>0</v>
      </c>
      <c r="E29" s="10">
        <f t="shared" si="13"/>
        <v>0</v>
      </c>
      <c r="F29" s="10">
        <f t="shared" si="14"/>
        <v>0</v>
      </c>
      <c r="G29" s="10">
        <f t="shared" si="15"/>
        <v>0</v>
      </c>
      <c r="H29" s="10">
        <f t="shared" si="16"/>
        <v>0</v>
      </c>
      <c r="I29" s="10">
        <f t="shared" si="17"/>
        <v>0</v>
      </c>
      <c r="J29" s="10">
        <f t="shared" si="23"/>
        <v>0</v>
      </c>
      <c r="K29" s="10">
        <f t="shared" si="24"/>
        <v>0</v>
      </c>
      <c r="L29" s="10">
        <f t="shared" si="25"/>
        <v>0</v>
      </c>
      <c r="M29" s="10">
        <f t="shared" si="26"/>
        <v>0</v>
      </c>
      <c r="N29" s="10">
        <f t="shared" si="27"/>
        <v>0</v>
      </c>
      <c r="P29" s="10">
        <f>COUNTIF(adj!$C28:$C226,$A29)</f>
        <v>0</v>
      </c>
      <c r="Q29" s="10">
        <f>SUMIF(adj!$C$3:$C$201,$A29,adj!E$3:E$201)</f>
        <v>0</v>
      </c>
      <c r="R29" s="10">
        <f>SUMIF(adj!$C$3:$C$201,$A29,adj!F$3:F$201)</f>
        <v>0</v>
      </c>
      <c r="S29" s="10">
        <f>SUMIF(adj!$C$3:$C$201,$A29,adj!G$3:G$201)</f>
        <v>0</v>
      </c>
      <c r="T29" s="10">
        <f>SUMIF(adj!$C$3:$C$201,$A29,adj!H$3:H$201)</f>
        <v>0</v>
      </c>
      <c r="U29" s="10">
        <f>SUMIF(adj!$C$3:$C$201,$A29,adj!I$3:I$201)</f>
        <v>0</v>
      </c>
      <c r="V29" s="10">
        <f>SUMIF(adj!$C$3:$C$201,$A29,adj!J$3:J$201)</f>
        <v>0</v>
      </c>
      <c r="W29" s="10">
        <f>SUMIF(adj!$C$3:$C$201,$A29,adj!K$3:K$201)</f>
        <v>0</v>
      </c>
      <c r="X29" s="10">
        <f>SUMIF(adj!$C$3:$C$201,$A29,adj!L$3:L$201)</f>
        <v>0</v>
      </c>
      <c r="Y29" s="10">
        <f>SUMIF(adj!$C$3:$C$201,$A29,adj!M$3:M$201)</f>
        <v>0</v>
      </c>
      <c r="Z29" s="10">
        <f>SUMIF(adj!$C$3:$C$201,$A29,adj!N$3:N$201)</f>
        <v>0</v>
      </c>
    </row>
    <row r="30" spans="1:26" s="105" customFormat="1">
      <c r="A30" s="15" t="s">
        <v>286</v>
      </c>
      <c r="B30" s="104"/>
      <c r="O30" s="104"/>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1"/>
  </sheetPr>
  <dimension ref="A1:U113"/>
  <sheetViews>
    <sheetView topLeftCell="A91" workbookViewId="0">
      <selection activeCell="B101" sqref="B101"/>
    </sheetView>
  </sheetViews>
  <sheetFormatPr defaultRowHeight="13.8"/>
  <cols>
    <col min="2" max="2" width="12.1796875" bestFit="1" customWidth="1"/>
    <col min="3" max="3" width="10.36328125" bestFit="1" customWidth="1"/>
    <col min="4" max="4" width="21.08984375" customWidth="1"/>
    <col min="5" max="8" width="8.81640625" style="26"/>
    <col min="9" max="14" width="8.7265625" style="26"/>
    <col min="17" max="21" width="10.7265625" customWidth="1"/>
  </cols>
  <sheetData>
    <row r="1" spans="1:21" s="15" customFormat="1">
      <c r="A1" s="14" t="s">
        <v>287</v>
      </c>
      <c r="B1" s="14"/>
      <c r="E1" s="15" t="s">
        <v>8</v>
      </c>
      <c r="F1" s="15" t="s">
        <v>9</v>
      </c>
      <c r="G1" s="15" t="s">
        <v>10</v>
      </c>
      <c r="H1" s="15" t="s">
        <v>11</v>
      </c>
      <c r="I1" s="15" t="s">
        <v>12</v>
      </c>
      <c r="J1" s="15" t="s">
        <v>12</v>
      </c>
      <c r="K1" s="15" t="s">
        <v>12</v>
      </c>
      <c r="L1" s="15" t="s">
        <v>12</v>
      </c>
      <c r="M1" s="15" t="s">
        <v>12</v>
      </c>
      <c r="N1" s="15" t="s">
        <v>12</v>
      </c>
    </row>
    <row r="2" spans="1:21" s="16" customFormat="1">
      <c r="B2" s="74"/>
      <c r="C2" s="16" t="s">
        <v>288</v>
      </c>
      <c r="D2" s="16" t="s">
        <v>289</v>
      </c>
      <c r="E2" s="16">
        <v>1</v>
      </c>
      <c r="F2" s="16">
        <v>2</v>
      </c>
      <c r="G2" s="16">
        <v>3</v>
      </c>
      <c r="H2" s="16">
        <v>4</v>
      </c>
      <c r="I2" s="16">
        <v>5</v>
      </c>
      <c r="J2" s="16">
        <v>6</v>
      </c>
      <c r="K2" s="16">
        <v>7</v>
      </c>
      <c r="L2" s="16">
        <v>8</v>
      </c>
      <c r="M2" s="16">
        <v>9</v>
      </c>
      <c r="N2" s="16">
        <v>10</v>
      </c>
      <c r="O2" s="74" t="s">
        <v>302</v>
      </c>
    </row>
    <row r="4" spans="1:21">
      <c r="A4" t="s">
        <v>290</v>
      </c>
      <c r="B4" s="2">
        <v>1002</v>
      </c>
      <c r="C4" t="s">
        <v>291</v>
      </c>
    </row>
    <row r="5" spans="1:21">
      <c r="A5" t="s">
        <v>292</v>
      </c>
      <c r="B5" s="2">
        <v>1001</v>
      </c>
      <c r="C5" t="s">
        <v>293</v>
      </c>
    </row>
    <row r="7" spans="1:21" s="16" customFormat="1">
      <c r="A7" s="74" t="s">
        <v>589</v>
      </c>
      <c r="B7" s="74"/>
      <c r="O7" s="16" t="s">
        <v>202</v>
      </c>
      <c r="P7" s="16" t="s">
        <v>294</v>
      </c>
      <c r="Q7" s="16" t="s">
        <v>295</v>
      </c>
      <c r="R7" s="16" t="s">
        <v>296</v>
      </c>
      <c r="S7" s="16" t="s">
        <v>297</v>
      </c>
      <c r="T7" s="16" t="s">
        <v>298</v>
      </c>
      <c r="U7" s="16" t="s">
        <v>299</v>
      </c>
    </row>
    <row r="8" spans="1:21">
      <c r="A8" s="10"/>
      <c r="B8" s="69"/>
      <c r="C8" s="69"/>
      <c r="D8" s="69"/>
      <c r="E8" s="10"/>
      <c r="F8" s="10"/>
      <c r="G8" s="10"/>
      <c r="H8" s="10"/>
      <c r="I8" s="10"/>
      <c r="J8" s="10"/>
      <c r="K8" s="10"/>
      <c r="L8" s="10"/>
      <c r="M8" s="10"/>
      <c r="N8" s="10"/>
      <c r="O8" s="69"/>
      <c r="P8" s="69"/>
      <c r="Q8" s="69"/>
      <c r="R8" s="69"/>
      <c r="S8" s="69"/>
      <c r="T8" s="69"/>
      <c r="U8" s="69"/>
    </row>
    <row r="9" spans="1:21">
      <c r="A9" s="110">
        <v>1</v>
      </c>
      <c r="B9" s="74" t="str">
        <f>Wobbler!D25</f>
        <v>Acquimania!</v>
      </c>
      <c r="C9" s="68"/>
      <c r="D9" s="68"/>
      <c r="E9" s="70">
        <f>IF(decWobbler1=1,IF(decITOfficePlan="Keep Existing",1,2),2)</f>
        <v>2</v>
      </c>
      <c r="F9" s="70">
        <f t="shared" ref="F9:N9" si="0">IF(decWobbler1=1,IF(decITOfficePlan="Keep Existing",1,2),2)</f>
        <v>2</v>
      </c>
      <c r="G9" s="70">
        <f t="shared" si="0"/>
        <v>2</v>
      </c>
      <c r="H9" s="70">
        <f t="shared" si="0"/>
        <v>2</v>
      </c>
      <c r="I9" s="70">
        <f t="shared" si="0"/>
        <v>2</v>
      </c>
      <c r="J9" s="70">
        <f t="shared" si="0"/>
        <v>2</v>
      </c>
      <c r="K9" s="70">
        <f t="shared" si="0"/>
        <v>2</v>
      </c>
      <c r="L9" s="70">
        <f t="shared" si="0"/>
        <v>2</v>
      </c>
      <c r="M9" s="70">
        <f t="shared" si="0"/>
        <v>2</v>
      </c>
      <c r="N9" s="70">
        <f t="shared" si="0"/>
        <v>2</v>
      </c>
      <c r="O9" s="15"/>
      <c r="P9" s="15"/>
      <c r="Q9" s="68"/>
      <c r="R9" s="68"/>
      <c r="S9" s="68"/>
      <c r="T9" s="68"/>
      <c r="U9" s="68"/>
    </row>
    <row r="10" spans="1:21">
      <c r="A10" s="10"/>
      <c r="B10" s="69"/>
      <c r="C10" s="69" t="s">
        <v>301</v>
      </c>
      <c r="D10" s="69"/>
      <c r="E10" s="70"/>
      <c r="F10" s="70"/>
      <c r="G10" s="70"/>
      <c r="H10" s="70"/>
      <c r="I10" s="70"/>
      <c r="J10" s="70"/>
      <c r="K10" s="70"/>
      <c r="L10" s="70"/>
      <c r="M10" s="70"/>
      <c r="N10" s="70"/>
      <c r="O10" s="69"/>
      <c r="P10" s="69"/>
      <c r="Q10" s="69">
        <v>1</v>
      </c>
      <c r="R10" s="69">
        <v>2</v>
      </c>
      <c r="S10" s="69"/>
      <c r="T10" s="69"/>
      <c r="U10" s="69">
        <v>0</v>
      </c>
    </row>
    <row r="11" spans="1:21">
      <c r="A11" s="10"/>
      <c r="B11" s="69"/>
      <c r="C11" s="102">
        <v>1001</v>
      </c>
      <c r="D11" s="106" t="str">
        <f>IF(ISBLANK(C11),"",IFERROR(VLOOKUP(C11,param!A$4:B$30,2,FALSE),"Param Not Recognised"))</f>
        <v>Cost Y1</v>
      </c>
      <c r="E11" s="107">
        <f>INDEX(Q11:U11,,MATCH(E9,Q10:U10,0))</f>
        <v>0</v>
      </c>
      <c r="F11" s="107">
        <f>INDEX(Q11:U11,,MATCH(F9,Q10:U10,0))</f>
        <v>0</v>
      </c>
      <c r="G11" s="107">
        <f>INDEX(Q11:U11,,MATCH(G9,Q10:U10,0))</f>
        <v>0</v>
      </c>
      <c r="H11" s="107">
        <f>INDEX(Q11:U11,,MATCH(H9,Q10:U10,0))</f>
        <v>0</v>
      </c>
      <c r="I11" s="107">
        <f>INDEX(Q11:U11,,MATCH(I9,Q10:U10,0))</f>
        <v>0</v>
      </c>
      <c r="J11" s="107">
        <f>INDEX(Q11:U11,,MATCH(J9,Q10:U10,0))</f>
        <v>0</v>
      </c>
      <c r="K11" s="107">
        <f>INDEX(Q11:U11,,MATCH(K9,Q10:U10,0))</f>
        <v>0</v>
      </c>
      <c r="L11" s="107">
        <f>INDEX(Q11:U11,,MATCH(L9,Q10:U10,0))</f>
        <v>0</v>
      </c>
      <c r="M11" s="107">
        <f>INDEX(Q11:U11,,MATCH(M9,Q10:U10,0))</f>
        <v>0</v>
      </c>
      <c r="N11" s="107">
        <f>INDEX(Q11:U11,,MATCH(N9,Q10:U10,0))</f>
        <v>0</v>
      </c>
      <c r="O11" s="69"/>
      <c r="P11" s="69"/>
      <c r="Q11" s="13">
        <v>0</v>
      </c>
      <c r="R11" s="13"/>
      <c r="S11" s="13"/>
      <c r="T11" s="13"/>
      <c r="U11" s="13"/>
    </row>
    <row r="12" spans="1:21">
      <c r="A12" s="10"/>
      <c r="B12" s="69"/>
      <c r="C12" s="102" t="s">
        <v>2204</v>
      </c>
      <c r="D12" s="106" t="str">
        <f>IF(ISBLANK(C12),"",IFERROR(VLOOKUP(C12,param!A$4:B$30,2,FALSE),"Param Not Recognised"))</f>
        <v>Disruption</v>
      </c>
      <c r="E12" s="204">
        <f>INDEX(Q12:U12,,MATCH(E9,Q10:U10,0))</f>
        <v>0</v>
      </c>
      <c r="F12" s="107">
        <f>INDEX(Q12:U12,,MATCH(F9,Q10:U10,0))</f>
        <v>0</v>
      </c>
      <c r="G12" s="107">
        <f>INDEX(Q12:U12,,MATCH(G9,Q10:U10,0))</f>
        <v>0</v>
      </c>
      <c r="H12" s="107">
        <f>INDEX(Q12:U12,,MATCH(H9,Q10:U10,0))</f>
        <v>0</v>
      </c>
      <c r="I12" s="107">
        <f>INDEX(Q12:U12,,MATCH(I9,Q10:U10,0))</f>
        <v>0</v>
      </c>
      <c r="J12" s="107">
        <f>INDEX(Q12:U12,,MATCH(J9,Q10:U10,0))</f>
        <v>0</v>
      </c>
      <c r="K12" s="107">
        <f>INDEX(Q12:U12,,MATCH(K9,Q10:U10,0))</f>
        <v>0</v>
      </c>
      <c r="L12" s="107">
        <f>INDEX(Q12:U12,,MATCH(L9,Q10:U10,0))</f>
        <v>0</v>
      </c>
      <c r="M12" s="107">
        <f>INDEX(Q12:U12,,MATCH(M9,Q10:U10,0))</f>
        <v>0</v>
      </c>
      <c r="N12" s="107">
        <f>INDEX(Q12:U12,,MATCH(N9,Q10:U10,0))</f>
        <v>0</v>
      </c>
      <c r="O12" s="69"/>
      <c r="P12" s="69"/>
      <c r="Q12" s="715">
        <v>0.1</v>
      </c>
      <c r="R12" s="13"/>
      <c r="S12" s="13"/>
      <c r="T12" s="13"/>
      <c r="U12" s="13"/>
    </row>
    <row r="13" spans="1:21">
      <c r="A13" s="10"/>
      <c r="B13" s="69"/>
      <c r="C13" s="102" t="s">
        <v>502</v>
      </c>
      <c r="D13" s="106" t="str">
        <f>IF(ISBLANK(C13),"",IFERROR(VLOOKUP(C13,param!A$4:B$30,2,FALSE),"Param Not Recognised"))</f>
        <v>Employee Engagement</v>
      </c>
      <c r="E13" s="107">
        <f>INDEX(Q13:U13,,MATCH(E9,Q10:U10,0))</f>
        <v>0</v>
      </c>
      <c r="F13" s="107">
        <f>INDEX(Q13:U13,,MATCH(F9,Q10:U10,0))</f>
        <v>0</v>
      </c>
      <c r="G13" s="107">
        <f>INDEX(Q13:U13,,MATCH(G9,Q10:U10,0))</f>
        <v>0</v>
      </c>
      <c r="H13" s="107">
        <f>INDEX(Q13:U13,,MATCH(H9,Q10:U10,0))</f>
        <v>0</v>
      </c>
      <c r="I13" s="107">
        <f>INDEX(Q13:U13,,MATCH(I9,Q10:U10,0))</f>
        <v>0</v>
      </c>
      <c r="J13" s="107">
        <f>INDEX(Q13:U13,,MATCH(J9,Q10:U10,0))</f>
        <v>0</v>
      </c>
      <c r="K13" s="107">
        <f>INDEX(Q13:U13,,MATCH(K9,Q10:U10,0))</f>
        <v>0</v>
      </c>
      <c r="L13" s="107">
        <f>INDEX(Q13:U13,,MATCH(L9,Q10:U10,0))</f>
        <v>0</v>
      </c>
      <c r="M13" s="107">
        <f>INDEX(Q13:U13,,MATCH(M9,Q10:U10,0))</f>
        <v>0</v>
      </c>
      <c r="N13" s="107">
        <f>INDEX(Q13:U13,,MATCH(N9,Q10:U10,0))</f>
        <v>0</v>
      </c>
      <c r="O13" s="69"/>
      <c r="P13" s="69"/>
      <c r="Q13" s="13">
        <v>-10</v>
      </c>
      <c r="R13" s="13"/>
      <c r="S13" s="13"/>
      <c r="T13" s="13"/>
      <c r="U13" s="13"/>
    </row>
    <row r="14" spans="1:21">
      <c r="A14" s="10"/>
      <c r="B14" s="69"/>
      <c r="C14" s="102"/>
      <c r="D14" s="106" t="str">
        <f>IF(ISBLANK(C14),"",IFERROR(VLOOKUP(C14,param!A$4:B$30,2,FALSE),"Param Not Recognised"))</f>
        <v/>
      </c>
      <c r="E14" s="107">
        <f>INDEX(Q14:U14,,MATCH(E9,Q10:U10,0))</f>
        <v>0</v>
      </c>
      <c r="F14" s="107">
        <f>INDEX(Q14:U14,,MATCH(F9,Q10:U10,0))</f>
        <v>0</v>
      </c>
      <c r="G14" s="107">
        <f>INDEX(Q14:U14,,MATCH(G9,Q10:U10,0))</f>
        <v>0</v>
      </c>
      <c r="H14" s="107">
        <f>INDEX(Q14:U14,,MATCH(H9,Q10:U10,0))</f>
        <v>0</v>
      </c>
      <c r="I14" s="107">
        <f>INDEX(Q14:U14,,MATCH(I9,Q10:U10,0))</f>
        <v>0</v>
      </c>
      <c r="J14" s="107">
        <f>INDEX(Q14:U14,,MATCH(J9,Q10:U10,0))</f>
        <v>0</v>
      </c>
      <c r="K14" s="107">
        <f>INDEX(Q14:U14,,MATCH(K9,Q10:U10,0))</f>
        <v>0</v>
      </c>
      <c r="L14" s="107">
        <f>INDEX(Q14:U14,,MATCH(L9,Q10:U10,0))</f>
        <v>0</v>
      </c>
      <c r="M14" s="107">
        <f>INDEX(Q14:U14,,MATCH(M9,Q10:U10,0))</f>
        <v>0</v>
      </c>
      <c r="N14" s="107">
        <f>INDEX(Q14:U14,,MATCH(N9,Q10:U10,0))</f>
        <v>0</v>
      </c>
      <c r="O14" s="69"/>
      <c r="P14" s="69"/>
      <c r="Q14" s="13">
        <v>0</v>
      </c>
      <c r="R14" s="13"/>
      <c r="S14" s="13"/>
      <c r="T14" s="13"/>
      <c r="U14" s="13"/>
    </row>
    <row r="15" spans="1:21">
      <c r="A15" s="10"/>
      <c r="B15" s="69"/>
      <c r="C15" s="102"/>
      <c r="D15" s="106" t="str">
        <f>IF(ISBLANK(C15),"",IFERROR(VLOOKUP(C15,param!A$4:B$30,2,FALSE),"Param Not Recognised"))</f>
        <v/>
      </c>
      <c r="E15" s="107">
        <f>INDEX(Q15:U15,,MATCH(E9,Q10:U10,0))</f>
        <v>0</v>
      </c>
      <c r="F15" s="107">
        <f>INDEX(Q15:U15,,MATCH(F9,Q10:U10,0))</f>
        <v>0</v>
      </c>
      <c r="G15" s="107">
        <f>INDEX(Q15:U15,,MATCH(G9,Q10:U10,0))</f>
        <v>0</v>
      </c>
      <c r="H15" s="107">
        <f>INDEX(Q15:U15,,MATCH(H9,Q10:U10,0))</f>
        <v>0</v>
      </c>
      <c r="I15" s="107">
        <f>INDEX(Q15:U15,,MATCH(I9,Q10:U10,0))</f>
        <v>0</v>
      </c>
      <c r="J15" s="107">
        <f>INDEX(Q15:U15,,MATCH(J9,Q10:U10,0))</f>
        <v>0</v>
      </c>
      <c r="K15" s="107">
        <f>INDEX(Q15:U15,,MATCH(K9,Q10:U10,0))</f>
        <v>0</v>
      </c>
      <c r="L15" s="107">
        <f>INDEX(Q15:U15,,MATCH(L9,Q10:U10,0))</f>
        <v>0</v>
      </c>
      <c r="M15" s="107">
        <f>INDEX(Q15:U15,,MATCH(M9,Q10:U10,0))</f>
        <v>0</v>
      </c>
      <c r="N15" s="107">
        <f>INDEX(Q15:U15,,MATCH(N9,Q10:U10,0))</f>
        <v>0</v>
      </c>
      <c r="O15" s="69"/>
      <c r="P15" s="69"/>
      <c r="Q15" s="13">
        <v>0</v>
      </c>
      <c r="R15" s="13"/>
      <c r="S15" s="13"/>
      <c r="T15" s="13"/>
      <c r="U15" s="13"/>
    </row>
    <row r="16" spans="1:21">
      <c r="A16" s="10"/>
      <c r="B16" s="69"/>
      <c r="C16" s="102"/>
      <c r="D16" s="106" t="str">
        <f>IF(ISBLANK(C16),"",IFERROR(VLOOKUP(C16,param!A$4:B$30,2,FALSE),"Param Not Recognised"))</f>
        <v/>
      </c>
      <c r="E16" s="107">
        <f>INDEX(Q16:U16,,MATCH(E9,Q10:U10,0))</f>
        <v>0</v>
      </c>
      <c r="F16" s="107">
        <f>INDEX(Q16:U16,,MATCH(F9,Q10:U10,0))</f>
        <v>0</v>
      </c>
      <c r="G16" s="107">
        <f>INDEX(Q16:U16,,MATCH(G9,Q10:U10,0))</f>
        <v>0</v>
      </c>
      <c r="H16" s="107">
        <f>INDEX(Q16:U16,,MATCH(H9,Q10:U10,0))</f>
        <v>0</v>
      </c>
      <c r="I16" s="107">
        <f>INDEX(Q16:U16,,MATCH(I9,Q10:U10,0))</f>
        <v>0</v>
      </c>
      <c r="J16" s="107">
        <f>INDEX(Q16:U16,,MATCH(J9,Q10:U10,0))</f>
        <v>0</v>
      </c>
      <c r="K16" s="107">
        <f>INDEX(Q16:U16,,MATCH(K9,Q10:U10,0))</f>
        <v>0</v>
      </c>
      <c r="L16" s="107">
        <f>INDEX(Q16:U16,,MATCH(L9,Q10:U10,0))</f>
        <v>0</v>
      </c>
      <c r="M16" s="107">
        <f>INDEX(Q16:U16,,MATCH(M9,Q10:U10,0))</f>
        <v>0</v>
      </c>
      <c r="N16" s="107">
        <f>INDEX(Q16:U16,,MATCH(N9,Q10:U10,0))</f>
        <v>0</v>
      </c>
      <c r="O16" s="69"/>
      <c r="P16" s="69"/>
      <c r="Q16" s="13">
        <v>0</v>
      </c>
      <c r="R16" s="13"/>
      <c r="S16" s="13"/>
      <c r="T16" s="13"/>
      <c r="U16" s="13"/>
    </row>
    <row r="17" spans="1:21">
      <c r="A17" s="10"/>
      <c r="B17" s="69"/>
      <c r="C17" s="102"/>
      <c r="D17" s="106" t="str">
        <f>IF(ISBLANK(C17),"",IFERROR(VLOOKUP(C17,param!A$4:B$30,2,FALSE),"Param Not Recognised"))</f>
        <v/>
      </c>
      <c r="E17" s="107">
        <f>INDEX(Q17:U17,,MATCH(E9,Q10:U10,0))</f>
        <v>0</v>
      </c>
      <c r="F17" s="107">
        <f>INDEX(Q17:U17,,MATCH(F9,Q10:U10,0))</f>
        <v>0</v>
      </c>
      <c r="G17" s="107">
        <f>INDEX(Q17:U17,,MATCH(G9,Q10:U10,0))</f>
        <v>0</v>
      </c>
      <c r="H17" s="107">
        <f>INDEX(Q17:U17,,MATCH(H9,Q10:U10,0))</f>
        <v>0</v>
      </c>
      <c r="I17" s="107">
        <f>INDEX(Q17:U17,,MATCH(I9,Q10:U10,0))</f>
        <v>0</v>
      </c>
      <c r="J17" s="107">
        <f>INDEX(Q17:U17,,MATCH(J9,Q10:U10,0))</f>
        <v>0</v>
      </c>
      <c r="K17" s="107">
        <f>INDEX(Q17:U17,,MATCH(K9,Q10:U10,0))</f>
        <v>0</v>
      </c>
      <c r="L17" s="107">
        <f>INDEX(Q17:U17,,MATCH(L9,Q10:U10,0))</f>
        <v>0</v>
      </c>
      <c r="M17" s="107">
        <f>INDEX(Q17:U17,,MATCH(M9,Q10:U10,0))</f>
        <v>0</v>
      </c>
      <c r="N17" s="107">
        <f>INDEX(Q17:U17,,MATCH(N9,Q10:U10,0))</f>
        <v>0</v>
      </c>
      <c r="O17" s="69"/>
      <c r="P17" s="69"/>
      <c r="Q17" s="13">
        <v>0</v>
      </c>
      <c r="R17" s="13"/>
      <c r="S17" s="13"/>
      <c r="T17" s="13"/>
      <c r="U17" s="13"/>
    </row>
    <row r="18" spans="1:21">
      <c r="A18" s="10"/>
      <c r="B18" s="69"/>
      <c r="C18" s="102"/>
      <c r="D18" s="106" t="str">
        <f>IF(ISBLANK(C18),"",IFERROR(VLOOKUP(C18,param!A$4:B$30,2,FALSE),"Param Not Recognised"))</f>
        <v/>
      </c>
      <c r="E18" s="107">
        <f>INDEX(Q18:U18,,MATCH(E9,Q10:U10,0))</f>
        <v>0</v>
      </c>
      <c r="F18" s="107">
        <f>INDEX(Q18:U18,,MATCH(F9,Q10:U10,0))</f>
        <v>0</v>
      </c>
      <c r="G18" s="107">
        <f>INDEX(Q18:U18,,MATCH(G9,Q10:U10,0))</f>
        <v>0</v>
      </c>
      <c r="H18" s="107">
        <f>INDEX(Q18:U18,,MATCH(H9,Q10:U10,0))</f>
        <v>0</v>
      </c>
      <c r="I18" s="107">
        <f>INDEX(Q18:U18,,MATCH(I9,Q10:U10,0))</f>
        <v>0</v>
      </c>
      <c r="J18" s="107">
        <f>INDEX(Q18:U18,,MATCH(J9,Q10:U10,0))</f>
        <v>0</v>
      </c>
      <c r="K18" s="107">
        <f>INDEX(Q18:U18,,MATCH(K9,Q10:U10,0))</f>
        <v>0</v>
      </c>
      <c r="L18" s="107">
        <f>INDEX(Q18:U18,,MATCH(L9,Q10:U10,0))</f>
        <v>0</v>
      </c>
      <c r="M18" s="107">
        <f>INDEX(Q18:U18,,MATCH(M9,Q10:U10,0))</f>
        <v>0</v>
      </c>
      <c r="N18" s="107">
        <f>INDEX(Q18:U18,,MATCH(N9,Q10:U10,0))</f>
        <v>0</v>
      </c>
      <c r="O18" s="69"/>
      <c r="P18" s="69"/>
      <c r="Q18" s="13">
        <v>0</v>
      </c>
      <c r="R18" s="13"/>
      <c r="S18" s="13"/>
      <c r="T18" s="13"/>
      <c r="U18" s="13"/>
    </row>
    <row r="19" spans="1:21">
      <c r="A19" s="10"/>
      <c r="B19" s="69"/>
      <c r="C19" s="102"/>
      <c r="D19" s="106" t="str">
        <f>IF(ISBLANK(C19),"",IFERROR(VLOOKUP(C19,param!A$4:B$30,2,FALSE),"Param Not Recognised"))</f>
        <v/>
      </c>
      <c r="E19" s="107">
        <f>INDEX(Q19:U19,,MATCH(E9,Q10:U10,0))</f>
        <v>0</v>
      </c>
      <c r="F19" s="107">
        <f>INDEX(Q19:U19,,MATCH(F9,Q10:U10,0))</f>
        <v>0</v>
      </c>
      <c r="G19" s="107">
        <f>INDEX(Q19:U19,,MATCH(G9,Q10:U10,0))</f>
        <v>0</v>
      </c>
      <c r="H19" s="107">
        <f>INDEX(Q19:U19,,MATCH(H9,Q10:U10,0))</f>
        <v>0</v>
      </c>
      <c r="I19" s="107">
        <f>INDEX(Q19:U19,,MATCH(I9,Q10:U10,0))</f>
        <v>0</v>
      </c>
      <c r="J19" s="107">
        <f>INDEX(Q19:U19,,MATCH(J9,Q10:U10,0))</f>
        <v>0</v>
      </c>
      <c r="K19" s="107">
        <f>INDEX(Q19:U19,,MATCH(K9,Q10:U10,0))</f>
        <v>0</v>
      </c>
      <c r="L19" s="107">
        <f>INDEX(Q19:U19,,MATCH(L9,Q10:U10,0))</f>
        <v>0</v>
      </c>
      <c r="M19" s="107">
        <f>INDEX(Q19:U19,,MATCH(M9,Q10:U10,0))</f>
        <v>0</v>
      </c>
      <c r="N19" s="107">
        <f>INDEX(Q19:U19,,MATCH(N9,Q10:U10,0))</f>
        <v>0</v>
      </c>
      <c r="O19" s="69"/>
      <c r="P19" s="69"/>
      <c r="Q19" s="13">
        <v>0</v>
      </c>
      <c r="R19" s="13"/>
      <c r="S19" s="13"/>
      <c r="T19" s="13"/>
      <c r="U19" s="13"/>
    </row>
    <row r="20" spans="1:21">
      <c r="A20" s="10"/>
      <c r="B20" s="69"/>
      <c r="C20" s="102"/>
      <c r="D20" s="106" t="str">
        <f>IF(ISBLANK(C20),"",IFERROR(VLOOKUP(C20,param!A$4:B$30,2,FALSE),"Param Not Recognised"))</f>
        <v/>
      </c>
      <c r="E20" s="107">
        <f>INDEX(Q20:U20,,MATCH(E9,Q10:U10,0))</f>
        <v>0</v>
      </c>
      <c r="F20" s="107">
        <f>INDEX(Q20:U20,,MATCH(F9,Q10:U10,0))</f>
        <v>0</v>
      </c>
      <c r="G20" s="107">
        <f>INDEX(Q20:U20,,MATCH(G9,Q10:U10,0))</f>
        <v>0</v>
      </c>
      <c r="H20" s="107">
        <f>INDEX(Q20:U20,,MATCH(H9,Q10:U10,0))</f>
        <v>0</v>
      </c>
      <c r="I20" s="107">
        <f>INDEX(Q20:U20,,MATCH(I9,Q10:U10,0))</f>
        <v>0</v>
      </c>
      <c r="J20" s="107">
        <f>INDEX(Q20:U20,,MATCH(J9,Q10:U10,0))</f>
        <v>0</v>
      </c>
      <c r="K20" s="107">
        <f>INDEX(Q20:U20,,MATCH(K9,Q10:U10,0))</f>
        <v>0</v>
      </c>
      <c r="L20" s="107">
        <f>INDEX(Q20:U20,,MATCH(L9,Q10:U10,0))</f>
        <v>0</v>
      </c>
      <c r="M20" s="107">
        <f>INDEX(Q20:U20,,MATCH(M9,Q10:U10,0))</f>
        <v>0</v>
      </c>
      <c r="N20" s="107">
        <f>INDEX(Q20:U20,,MATCH(N9,Q10:U10,0))</f>
        <v>0</v>
      </c>
      <c r="O20" s="69"/>
      <c r="P20" s="69"/>
      <c r="Q20" s="13">
        <v>0</v>
      </c>
      <c r="R20" s="13"/>
      <c r="S20" s="13"/>
      <c r="T20" s="13"/>
      <c r="U20" s="13"/>
    </row>
    <row r="21" spans="1:21">
      <c r="A21" s="26"/>
    </row>
    <row r="22" spans="1:21">
      <c r="A22" s="110">
        <v>2</v>
      </c>
      <c r="B22" s="74" t="str">
        <f>Wobbler!D26</f>
        <v>Macro-financial Issues</v>
      </c>
      <c r="C22" s="68" t="s">
        <v>300</v>
      </c>
      <c r="D22" s="68"/>
      <c r="E22" s="70">
        <f t="shared" ref="E22:N22" si="1">decWobbler2</f>
        <v>0</v>
      </c>
      <c r="F22" s="70">
        <f t="shared" si="1"/>
        <v>0</v>
      </c>
      <c r="G22" s="70">
        <f t="shared" si="1"/>
        <v>0</v>
      </c>
      <c r="H22" s="70">
        <f t="shared" si="1"/>
        <v>0</v>
      </c>
      <c r="I22" s="70">
        <f t="shared" si="1"/>
        <v>0</v>
      </c>
      <c r="J22" s="70">
        <f t="shared" si="1"/>
        <v>0</v>
      </c>
      <c r="K22" s="70">
        <f t="shared" si="1"/>
        <v>0</v>
      </c>
      <c r="L22" s="70">
        <f t="shared" si="1"/>
        <v>0</v>
      </c>
      <c r="M22" s="70">
        <f t="shared" si="1"/>
        <v>0</v>
      </c>
      <c r="N22" s="70">
        <f t="shared" si="1"/>
        <v>0</v>
      </c>
      <c r="O22" s="15"/>
      <c r="P22" s="15"/>
      <c r="Q22" s="68"/>
      <c r="R22" s="68"/>
      <c r="S22" s="68"/>
      <c r="T22" s="68"/>
      <c r="U22" s="68"/>
    </row>
    <row r="23" spans="1:21">
      <c r="A23" s="10"/>
      <c r="B23" s="69"/>
      <c r="C23" s="69" t="s">
        <v>301</v>
      </c>
      <c r="D23" s="69"/>
      <c r="E23" s="70"/>
      <c r="F23" s="70"/>
      <c r="G23" s="70"/>
      <c r="H23" s="70"/>
      <c r="I23" s="70"/>
      <c r="J23" s="70"/>
      <c r="K23" s="70"/>
      <c r="L23" s="70"/>
      <c r="M23" s="70"/>
      <c r="N23" s="70"/>
      <c r="O23" s="69"/>
      <c r="P23" s="69"/>
      <c r="Q23" s="69">
        <v>2</v>
      </c>
      <c r="R23" s="69"/>
      <c r="S23" s="69"/>
      <c r="T23" s="69"/>
      <c r="U23" s="69">
        <v>0</v>
      </c>
    </row>
    <row r="24" spans="1:21">
      <c r="A24" s="10"/>
      <c r="B24" s="69"/>
      <c r="C24" s="102">
        <v>1001</v>
      </c>
      <c r="D24" s="106" t="str">
        <f>IF(ISBLANK(C24),"",IFERROR(VLOOKUP(C24,param!A$4:B$30,2,FALSE),"Param Not Recognised"))</f>
        <v>Cost Y1</v>
      </c>
      <c r="E24" s="107">
        <f>INDEX(Q24:U24,,MATCH(E22,Q23:U23,0))</f>
        <v>0</v>
      </c>
      <c r="F24" s="107">
        <f>INDEX(Q24:U24,,MATCH(F22,Q23:U23,0))</f>
        <v>0</v>
      </c>
      <c r="G24" s="107">
        <f>INDEX(Q24:U24,,MATCH(G22,Q23:U23,0))</f>
        <v>0</v>
      </c>
      <c r="H24" s="107">
        <f>INDEX(Q24:U24,,MATCH(H22,Q23:U23,0))</f>
        <v>0</v>
      </c>
      <c r="I24" s="107">
        <f>INDEX(Q24:U24,,MATCH(I22,Q23:U23,0))</f>
        <v>0</v>
      </c>
      <c r="J24" s="107">
        <f>INDEX(Q24:U24,,MATCH(J22,Q23:U23,0))</f>
        <v>0</v>
      </c>
      <c r="K24" s="107">
        <f>INDEX(Q24:U24,,MATCH(K22,Q23:U23,0))</f>
        <v>0</v>
      </c>
      <c r="L24" s="107">
        <f>INDEX(Q24:U24,,MATCH(L22,Q23:U23,0))</f>
        <v>0</v>
      </c>
      <c r="M24" s="107">
        <f>INDEX(Q24:U24,,MATCH(M22,Q23:U23,0))</f>
        <v>0</v>
      </c>
      <c r="N24" s="107">
        <f>INDEX(Q24:U24,,MATCH(N22,Q23:U23,0))</f>
        <v>0</v>
      </c>
      <c r="O24" s="69"/>
      <c r="P24" s="69"/>
      <c r="Q24" s="13">
        <v>5000000</v>
      </c>
      <c r="R24" s="13"/>
      <c r="S24" s="13"/>
      <c r="T24" s="13"/>
      <c r="U24" s="13"/>
    </row>
    <row r="25" spans="1:21">
      <c r="A25" s="10"/>
      <c r="B25" s="69"/>
      <c r="C25" s="102"/>
      <c r="D25" s="106" t="str">
        <f>IF(ISBLANK(C25),"",IFERROR(VLOOKUP(C25,param!A$4:B$30,2,FALSE),"Param Not Recognised"))</f>
        <v/>
      </c>
      <c r="E25" s="107">
        <f>INDEX(Q25:U25,,MATCH(E22,Q23:U23,0))</f>
        <v>0</v>
      </c>
      <c r="F25" s="107">
        <f>INDEX(Q25:U25,,MATCH(F22,Q23:U23,0))</f>
        <v>0</v>
      </c>
      <c r="G25" s="107">
        <f>INDEX(Q25:U25,,MATCH(G22,Q23:U23,0))</f>
        <v>0</v>
      </c>
      <c r="H25" s="107">
        <f>INDEX(Q25:U25,,MATCH(H22,Q23:U23,0))</f>
        <v>0</v>
      </c>
      <c r="I25" s="107">
        <f>INDEX(Q25:U25,,MATCH(I22,Q23:U23,0))</f>
        <v>0</v>
      </c>
      <c r="J25" s="107">
        <f>INDEX(Q25:U25,,MATCH(J22,Q23:U23,0))</f>
        <v>0</v>
      </c>
      <c r="K25" s="107">
        <f>INDEX(Q25:U25,,MATCH(K22,Q23:U23,0))</f>
        <v>0</v>
      </c>
      <c r="L25" s="107">
        <f>INDEX(Q25:U25,,MATCH(L22,Q23:U23,0))</f>
        <v>0</v>
      </c>
      <c r="M25" s="107">
        <f>INDEX(Q25:U25,,MATCH(M22,Q23:U23,0))</f>
        <v>0</v>
      </c>
      <c r="N25" s="107">
        <f>INDEX(Q25:U25,,MATCH(N22,Q23:U23,0))</f>
        <v>0</v>
      </c>
      <c r="O25" s="69"/>
      <c r="P25" s="69"/>
      <c r="Q25" s="13">
        <v>0</v>
      </c>
      <c r="R25" s="13"/>
      <c r="S25" s="13">
        <v>0</v>
      </c>
      <c r="T25" s="13">
        <v>0</v>
      </c>
      <c r="U25" s="13">
        <v>0</v>
      </c>
    </row>
    <row r="26" spans="1:21">
      <c r="A26" s="10"/>
      <c r="B26" s="69"/>
      <c r="C26" s="102"/>
      <c r="D26" s="106" t="str">
        <f>IF(ISBLANK(C26),"",IFERROR(VLOOKUP(C26,param!A$4:B$30,2,FALSE),"Param Not Recognised"))</f>
        <v/>
      </c>
      <c r="E26" s="107">
        <f>INDEX(Q26:U26,,MATCH(E22,Q23:U23,0))</f>
        <v>0</v>
      </c>
      <c r="F26" s="107">
        <f>INDEX(Q26:U26,,MATCH(F22,Q23:U23,0))</f>
        <v>0</v>
      </c>
      <c r="G26" s="107">
        <f>INDEX(Q26:U26,,MATCH(G22,Q23:U23,0))</f>
        <v>0</v>
      </c>
      <c r="H26" s="107">
        <f>INDEX(Q26:U26,,MATCH(H22,Q23:U23,0))</f>
        <v>0</v>
      </c>
      <c r="I26" s="107">
        <f>INDEX(Q26:U26,,MATCH(I22,Q23:U23,0))</f>
        <v>0</v>
      </c>
      <c r="J26" s="107">
        <f>INDEX(Q26:U26,,MATCH(J22,Q23:U23,0))</f>
        <v>0</v>
      </c>
      <c r="K26" s="107">
        <f>INDEX(Q26:U26,,MATCH(K22,Q23:U23,0))</f>
        <v>0</v>
      </c>
      <c r="L26" s="107">
        <f>INDEX(Q26:U26,,MATCH(L22,Q23:U23,0))</f>
        <v>0</v>
      </c>
      <c r="M26" s="107">
        <f>INDEX(Q26:U26,,MATCH(M22,Q23:U23,0))</f>
        <v>0</v>
      </c>
      <c r="N26" s="107">
        <f>INDEX(Q26:U26,,MATCH(N22,Q23:U23,0))</f>
        <v>0</v>
      </c>
      <c r="O26" s="69"/>
      <c r="P26" s="69"/>
      <c r="Q26" s="13">
        <v>0</v>
      </c>
      <c r="R26" s="13"/>
      <c r="S26" s="13"/>
      <c r="T26" s="13"/>
      <c r="U26" s="13"/>
    </row>
    <row r="27" spans="1:21">
      <c r="A27" s="10"/>
      <c r="B27" s="69"/>
      <c r="C27" s="102"/>
      <c r="D27" s="106" t="str">
        <f>IF(ISBLANK(C27),"",IFERROR(VLOOKUP(C27,param!A$4:B$30,2,FALSE),"Param Not Recognised"))</f>
        <v/>
      </c>
      <c r="E27" s="107">
        <f>INDEX(Q27:U27,,MATCH(E22,Q23:U23,0))</f>
        <v>0</v>
      </c>
      <c r="F27" s="107">
        <f>INDEX(Q27:U27,,MATCH(F22,Q23:U23,0))</f>
        <v>0</v>
      </c>
      <c r="G27" s="107">
        <f>INDEX(Q27:U27,,MATCH(G22,Q23:U23,0))</f>
        <v>0</v>
      </c>
      <c r="H27" s="107">
        <f>INDEX(Q27:U27,,MATCH(H22,Q23:U23,0))</f>
        <v>0</v>
      </c>
      <c r="I27" s="107">
        <f>INDEX(Q27:U27,,MATCH(I22,Q23:U23,0))</f>
        <v>0</v>
      </c>
      <c r="J27" s="107">
        <f>INDEX(Q27:U27,,MATCH(J22,Q23:U23,0))</f>
        <v>0</v>
      </c>
      <c r="K27" s="107">
        <f>INDEX(Q27:U27,,MATCH(K22,Q23:U23,0))</f>
        <v>0</v>
      </c>
      <c r="L27" s="107">
        <f>INDEX(Q27:U27,,MATCH(L22,Q23:U23,0))</f>
        <v>0</v>
      </c>
      <c r="M27" s="107">
        <f>INDEX(Q27:U27,,MATCH(M22,Q23:U23,0))</f>
        <v>0</v>
      </c>
      <c r="N27" s="107">
        <f>INDEX(Q27:U27,,MATCH(N22,Q23:U23,0))</f>
        <v>0</v>
      </c>
      <c r="O27" s="69"/>
      <c r="P27" s="69"/>
      <c r="Q27" s="13">
        <v>0</v>
      </c>
      <c r="R27" s="13"/>
      <c r="S27" s="13"/>
      <c r="T27" s="13"/>
      <c r="U27" s="13"/>
    </row>
    <row r="28" spans="1:21">
      <c r="A28" s="10"/>
      <c r="B28" s="69"/>
      <c r="C28" s="102"/>
      <c r="D28" s="106" t="str">
        <f>IF(ISBLANK(C28),"",IFERROR(VLOOKUP(C28,param!A$4:B$30,2,FALSE),"Param Not Recognised"))</f>
        <v/>
      </c>
      <c r="E28" s="107">
        <f>INDEX(Q28:U28,,MATCH(E22,Q23:U23,0))</f>
        <v>0</v>
      </c>
      <c r="F28" s="107">
        <f>INDEX(Q28:U28,,MATCH(F22,Q23:U23,0))</f>
        <v>0</v>
      </c>
      <c r="G28" s="107">
        <f>INDEX(Q28:U28,,MATCH(G22,Q23:U23,0))</f>
        <v>0</v>
      </c>
      <c r="H28" s="107">
        <f>INDEX(Q28:U28,,MATCH(H22,Q23:U23,0))</f>
        <v>0</v>
      </c>
      <c r="I28" s="107">
        <f>INDEX(Q28:U28,,MATCH(I22,Q23:U23,0))</f>
        <v>0</v>
      </c>
      <c r="J28" s="107">
        <f>INDEX(Q28:U28,,MATCH(J22,Q23:U23,0))</f>
        <v>0</v>
      </c>
      <c r="K28" s="107">
        <f>INDEX(Q28:U28,,MATCH(K22,Q23:U23,0))</f>
        <v>0</v>
      </c>
      <c r="L28" s="107">
        <f>INDEX(Q28:U28,,MATCH(L22,Q23:U23,0))</f>
        <v>0</v>
      </c>
      <c r="M28" s="107">
        <f>INDEX(Q28:U28,,MATCH(M22,Q23:U23,0))</f>
        <v>0</v>
      </c>
      <c r="N28" s="107">
        <f>INDEX(Q28:U28,,MATCH(N22,Q23:U23,0))</f>
        <v>0</v>
      </c>
      <c r="O28" s="69"/>
      <c r="P28" s="69"/>
      <c r="Q28" s="13">
        <v>0</v>
      </c>
      <c r="R28" s="13"/>
      <c r="S28" s="13"/>
      <c r="T28" s="13"/>
      <c r="U28" s="13"/>
    </row>
    <row r="29" spans="1:21">
      <c r="A29" s="10"/>
      <c r="B29" s="69"/>
      <c r="C29" s="102"/>
      <c r="D29" s="106" t="str">
        <f>IF(ISBLANK(C29),"",IFERROR(VLOOKUP(C29,param!A$4:B$30,2,FALSE),"Param Not Recognised"))</f>
        <v/>
      </c>
      <c r="E29" s="107">
        <f>INDEX(Q29:U29,,MATCH(E22,Q23:U23,0))</f>
        <v>0</v>
      </c>
      <c r="F29" s="107">
        <f>INDEX(Q29:U29,,MATCH(F22,Q23:U23,0))</f>
        <v>0</v>
      </c>
      <c r="G29" s="107">
        <f>INDEX(Q29:U29,,MATCH(G22,Q23:U23,0))</f>
        <v>0</v>
      </c>
      <c r="H29" s="107">
        <f>INDEX(Q29:U29,,MATCH(H22,Q23:U23,0))</f>
        <v>0</v>
      </c>
      <c r="I29" s="107">
        <f>INDEX(Q29:U29,,MATCH(I22,Q23:U23,0))</f>
        <v>0</v>
      </c>
      <c r="J29" s="107">
        <f>INDEX(Q29:U29,,MATCH(J22,Q23:U23,0))</f>
        <v>0</v>
      </c>
      <c r="K29" s="107">
        <f>INDEX(Q29:U29,,MATCH(K22,Q23:U23,0))</f>
        <v>0</v>
      </c>
      <c r="L29" s="107">
        <f>INDEX(Q29:U29,,MATCH(L22,Q23:U23,0))</f>
        <v>0</v>
      </c>
      <c r="M29" s="107">
        <f>INDEX(Q29:U29,,MATCH(M22,Q23:U23,0))</f>
        <v>0</v>
      </c>
      <c r="N29" s="107">
        <f>INDEX(Q29:U29,,MATCH(N22,Q23:U23,0))</f>
        <v>0</v>
      </c>
      <c r="O29" s="69"/>
      <c r="P29" s="69"/>
      <c r="Q29" s="13">
        <v>0</v>
      </c>
      <c r="R29" s="13"/>
      <c r="S29" s="13"/>
      <c r="T29" s="13"/>
      <c r="U29" s="13"/>
    </row>
    <row r="30" spans="1:21">
      <c r="A30" s="10"/>
      <c r="B30" s="69"/>
      <c r="C30" s="102"/>
      <c r="D30" s="106" t="str">
        <f>IF(ISBLANK(C30),"",IFERROR(VLOOKUP(C30,param!A$4:B$30,2,FALSE),"Param Not Recognised"))</f>
        <v/>
      </c>
      <c r="E30" s="107">
        <f>INDEX(Q30:U30,,MATCH(E22,Q23:U23,0))</f>
        <v>0</v>
      </c>
      <c r="F30" s="107">
        <f>INDEX(Q30:U30,,MATCH(F22,Q23:U23,0))</f>
        <v>0</v>
      </c>
      <c r="G30" s="107">
        <f>INDEX(Q30:U30,,MATCH(G22,Q23:U23,0))</f>
        <v>0</v>
      </c>
      <c r="H30" s="107">
        <f>INDEX(Q30:U30,,MATCH(H22,Q23:U23,0))</f>
        <v>0</v>
      </c>
      <c r="I30" s="107">
        <f>INDEX(Q30:U30,,MATCH(I22,Q23:U23,0))</f>
        <v>0</v>
      </c>
      <c r="J30" s="107">
        <f>INDEX(Q30:U30,,MATCH(J22,Q23:U23,0))</f>
        <v>0</v>
      </c>
      <c r="K30" s="107">
        <f>INDEX(Q30:U30,,MATCH(K22,Q23:U23,0))</f>
        <v>0</v>
      </c>
      <c r="L30" s="107">
        <f>INDEX(Q30:U30,,MATCH(L22,Q23:U23,0))</f>
        <v>0</v>
      </c>
      <c r="M30" s="107">
        <f>INDEX(Q30:U30,,MATCH(M22,Q23:U23,0))</f>
        <v>0</v>
      </c>
      <c r="N30" s="107">
        <f>INDEX(Q30:U30,,MATCH(N22,Q23:U23,0))</f>
        <v>0</v>
      </c>
      <c r="O30" s="69"/>
      <c r="P30" s="69"/>
      <c r="Q30" s="13">
        <v>0</v>
      </c>
      <c r="R30" s="13"/>
      <c r="S30" s="13"/>
      <c r="T30" s="13"/>
      <c r="U30" s="13"/>
    </row>
    <row r="31" spans="1:21">
      <c r="A31" s="10"/>
      <c r="B31" s="69"/>
      <c r="C31" s="102"/>
      <c r="D31" s="106" t="str">
        <f>IF(ISBLANK(C31),"",IFERROR(VLOOKUP(C31,param!A$4:B$30,2,FALSE),"Param Not Recognised"))</f>
        <v/>
      </c>
      <c r="E31" s="107">
        <f>INDEX(Q31:U31,,MATCH(E22,Q23:U23,0))</f>
        <v>0</v>
      </c>
      <c r="F31" s="107">
        <f>INDEX(Q31:U31,,MATCH(F22,Q23:U23,0))</f>
        <v>0</v>
      </c>
      <c r="G31" s="107">
        <f>INDEX(Q31:U31,,MATCH(G22,Q23:U23,0))</f>
        <v>0</v>
      </c>
      <c r="H31" s="107">
        <f>INDEX(Q31:U31,,MATCH(H22,Q23:U23,0))</f>
        <v>0</v>
      </c>
      <c r="I31" s="107">
        <f>INDEX(Q31:U31,,MATCH(I22,Q23:U23,0))</f>
        <v>0</v>
      </c>
      <c r="J31" s="107">
        <f>INDEX(Q31:U31,,MATCH(J22,Q23:U23,0))</f>
        <v>0</v>
      </c>
      <c r="K31" s="107">
        <f>INDEX(Q31:U31,,MATCH(K22,Q23:U23,0))</f>
        <v>0</v>
      </c>
      <c r="L31" s="107">
        <f>INDEX(Q31:U31,,MATCH(L22,Q23:U23,0))</f>
        <v>0</v>
      </c>
      <c r="M31" s="107">
        <f>INDEX(Q31:U31,,MATCH(M22,Q23:U23,0))</f>
        <v>0</v>
      </c>
      <c r="N31" s="107">
        <f>INDEX(Q31:U31,,MATCH(N22,Q23:U23,0))</f>
        <v>0</v>
      </c>
      <c r="O31" s="69"/>
      <c r="P31" s="69"/>
      <c r="Q31" s="13">
        <v>0</v>
      </c>
      <c r="R31" s="13"/>
      <c r="S31" s="13"/>
      <c r="T31" s="13"/>
      <c r="U31" s="13"/>
    </row>
    <row r="32" spans="1:21">
      <c r="A32" s="10"/>
      <c r="B32" s="69"/>
      <c r="C32" s="102"/>
      <c r="D32" s="106" t="str">
        <f>IF(ISBLANK(C32),"",IFERROR(VLOOKUP(C32,param!A$4:B$30,2,FALSE),"Param Not Recognised"))</f>
        <v/>
      </c>
      <c r="E32" s="107">
        <f>INDEX(Q32:U32,,MATCH(E22,Q23:U23,0))</f>
        <v>0</v>
      </c>
      <c r="F32" s="107">
        <f>INDEX(Q32:U32,,MATCH(F22,Q23:U23,0))</f>
        <v>0</v>
      </c>
      <c r="G32" s="107">
        <f>INDEX(Q32:U32,,MATCH(G22,Q23:U23,0))</f>
        <v>0</v>
      </c>
      <c r="H32" s="107">
        <f>INDEX(Q32:U32,,MATCH(H22,Q23:U23,0))</f>
        <v>0</v>
      </c>
      <c r="I32" s="107">
        <f>INDEX(Q32:U32,,MATCH(I22,Q23:U23,0))</f>
        <v>0</v>
      </c>
      <c r="J32" s="107">
        <f>INDEX(Q32:U32,,MATCH(J22,Q23:U23,0))</f>
        <v>0</v>
      </c>
      <c r="K32" s="107">
        <f>INDEX(Q32:U32,,MATCH(K22,Q23:U23,0))</f>
        <v>0</v>
      </c>
      <c r="L32" s="107">
        <f>INDEX(Q32:U32,,MATCH(L22,Q23:U23,0))</f>
        <v>0</v>
      </c>
      <c r="M32" s="107">
        <f>INDEX(Q32:U32,,MATCH(M22,Q23:U23,0))</f>
        <v>0</v>
      </c>
      <c r="N32" s="107">
        <f>INDEX(Q32:U32,,MATCH(N22,Q23:U23,0))</f>
        <v>0</v>
      </c>
      <c r="O32" s="69"/>
      <c r="P32" s="69"/>
      <c r="Q32" s="13">
        <v>0</v>
      </c>
      <c r="R32" s="13"/>
      <c r="S32" s="13"/>
      <c r="T32" s="13"/>
      <c r="U32" s="13"/>
    </row>
    <row r="33" spans="1:21">
      <c r="A33" s="10"/>
      <c r="B33" s="69"/>
      <c r="C33" s="102"/>
      <c r="D33" s="106" t="str">
        <f>IF(ISBLANK(C33),"",IFERROR(VLOOKUP(C33,param!A$4:B$30,2,FALSE),"Param Not Recognised"))</f>
        <v/>
      </c>
      <c r="E33" s="107">
        <f>INDEX(Q33:U33,,MATCH(E22,Q23:U23,0))</f>
        <v>0</v>
      </c>
      <c r="F33" s="107">
        <f>INDEX(Q33:U33,,MATCH(F22,Q23:U23,0))</f>
        <v>0</v>
      </c>
      <c r="G33" s="107">
        <f>INDEX(Q33:U33,,MATCH(G22,Q23:U23,0))</f>
        <v>0</v>
      </c>
      <c r="H33" s="107">
        <f>INDEX(Q33:U33,,MATCH(H22,Q23:U23,0))</f>
        <v>0</v>
      </c>
      <c r="I33" s="107">
        <f>INDEX(Q33:U33,,MATCH(I22,Q23:U23,0))</f>
        <v>0</v>
      </c>
      <c r="J33" s="107">
        <f>INDEX(Q33:U33,,MATCH(J22,Q23:U23,0))</f>
        <v>0</v>
      </c>
      <c r="K33" s="107">
        <f>INDEX(Q33:U33,,MATCH(K22,Q23:U23,0))</f>
        <v>0</v>
      </c>
      <c r="L33" s="107">
        <f>INDEX(Q33:U33,,MATCH(L22,Q23:U23,0))</f>
        <v>0</v>
      </c>
      <c r="M33" s="107">
        <f>INDEX(Q33:U33,,MATCH(M22,Q23:U23,0))</f>
        <v>0</v>
      </c>
      <c r="N33" s="107">
        <f>INDEX(Q33:U33,,MATCH(N22,Q23:U23,0))</f>
        <v>0</v>
      </c>
      <c r="O33" s="69"/>
      <c r="P33" s="69"/>
      <c r="Q33" s="13">
        <v>0</v>
      </c>
      <c r="R33" s="13"/>
      <c r="S33" s="13"/>
      <c r="T33" s="13"/>
      <c r="U33" s="13"/>
    </row>
    <row r="34" spans="1:21">
      <c r="A34" s="26"/>
    </row>
    <row r="35" spans="1:21">
      <c r="A35" s="110">
        <v>3</v>
      </c>
      <c r="B35" s="74" t="str">
        <f>Wobbler!D27</f>
        <v>Exec Office Visit</v>
      </c>
      <c r="C35" s="68" t="s">
        <v>300</v>
      </c>
      <c r="D35" s="68"/>
      <c r="E35" s="70">
        <f t="shared" ref="E35:N35" si="2">IF(decWobbler3=3,IF(decITIntegrationLevel&lt;4,1,2),2)</f>
        <v>2</v>
      </c>
      <c r="F35" s="70">
        <f t="shared" si="2"/>
        <v>2</v>
      </c>
      <c r="G35" s="70">
        <f t="shared" si="2"/>
        <v>2</v>
      </c>
      <c r="H35" s="70">
        <f t="shared" si="2"/>
        <v>2</v>
      </c>
      <c r="I35" s="70">
        <f t="shared" si="2"/>
        <v>2</v>
      </c>
      <c r="J35" s="70">
        <f t="shared" si="2"/>
        <v>2</v>
      </c>
      <c r="K35" s="70">
        <f t="shared" si="2"/>
        <v>2</v>
      </c>
      <c r="L35" s="70">
        <f t="shared" si="2"/>
        <v>2</v>
      </c>
      <c r="M35" s="70">
        <f t="shared" si="2"/>
        <v>2</v>
      </c>
      <c r="N35" s="70">
        <f t="shared" si="2"/>
        <v>2</v>
      </c>
      <c r="O35" s="15"/>
      <c r="P35" s="15"/>
      <c r="Q35" s="68"/>
      <c r="R35" s="68"/>
      <c r="S35" s="68"/>
      <c r="T35" s="68"/>
      <c r="U35" s="68"/>
    </row>
    <row r="36" spans="1:21">
      <c r="A36" s="10"/>
      <c r="B36" s="69"/>
      <c r="C36" s="69" t="s">
        <v>301</v>
      </c>
      <c r="D36" s="69"/>
      <c r="E36" s="70"/>
      <c r="F36" s="70"/>
      <c r="G36" s="70"/>
      <c r="H36" s="70"/>
      <c r="I36" s="70"/>
      <c r="J36" s="70"/>
      <c r="K36" s="70"/>
      <c r="L36" s="70"/>
      <c r="M36" s="70"/>
      <c r="N36" s="70"/>
      <c r="O36" s="69"/>
      <c r="P36" s="69"/>
      <c r="Q36" s="69">
        <v>1</v>
      </c>
      <c r="R36" s="69">
        <v>2</v>
      </c>
      <c r="S36" s="69">
        <v>3</v>
      </c>
      <c r="T36" s="69">
        <v>4</v>
      </c>
      <c r="U36" s="69">
        <v>5</v>
      </c>
    </row>
    <row r="37" spans="1:21">
      <c r="A37" s="10"/>
      <c r="B37" s="69"/>
      <c r="C37" s="102" t="s">
        <v>502</v>
      </c>
      <c r="D37" s="106" t="str">
        <f>IF(ISBLANK(C37),"",IFERROR(VLOOKUP(C37,param!A$4:B$30,2,FALSE),"Param Not Recognised"))</f>
        <v>Employee Engagement</v>
      </c>
      <c r="E37" s="107">
        <f>INDEX(Q37:U37,,MATCH(E35,Q36:U36,0))</f>
        <v>0</v>
      </c>
      <c r="F37" s="107">
        <f>INDEX(Q37:U37,,MATCH(F35,Q36:U36,0))</f>
        <v>0</v>
      </c>
      <c r="G37" s="107">
        <f>INDEX(Q37:U37,,MATCH(G35,Q36:U36,0))</f>
        <v>0</v>
      </c>
      <c r="H37" s="107">
        <f>INDEX(Q37:U37,,MATCH(H35,Q36:U36,0))</f>
        <v>0</v>
      </c>
      <c r="I37" s="107">
        <f>INDEX(Q37:U37,,MATCH(I35,Q36:U36,0))</f>
        <v>0</v>
      </c>
      <c r="J37" s="107">
        <f>INDEX(Q37:U37,,MATCH(J35,Q36:U36,0))</f>
        <v>0</v>
      </c>
      <c r="K37" s="107">
        <f>INDEX(Q37:U37,,MATCH(K35,Q36:U36,0))</f>
        <v>0</v>
      </c>
      <c r="L37" s="107">
        <f>INDEX(Q37:U37,,MATCH(L35,Q36:U36,0))</f>
        <v>0</v>
      </c>
      <c r="M37" s="107">
        <f>INDEX(Q37:U37,,MATCH(M35,Q36:U36,0))</f>
        <v>0</v>
      </c>
      <c r="N37" s="107">
        <f>INDEX(Q37:U37,,MATCH(N35,Q36:U36,0))</f>
        <v>0</v>
      </c>
      <c r="O37" s="69"/>
      <c r="P37" s="69"/>
      <c r="Q37" s="13">
        <v>-5</v>
      </c>
      <c r="R37" s="13"/>
      <c r="S37" s="13"/>
      <c r="T37" s="13"/>
      <c r="U37" s="13"/>
    </row>
    <row r="38" spans="1:21">
      <c r="A38" s="10"/>
      <c r="B38" s="69"/>
      <c r="C38" s="102" t="s">
        <v>503</v>
      </c>
      <c r="D38" s="106" t="str">
        <f>IF(ISBLANK(C38),"",IFERROR(VLOOKUP(C38,param!A$4:B$30,2,FALSE),"Param Not Recognised"))</f>
        <v>Risk Index</v>
      </c>
      <c r="E38" s="107">
        <f>INDEX(Q38:U38,,MATCH(E35,Q36:U36,0))</f>
        <v>0</v>
      </c>
      <c r="F38" s="107">
        <f>INDEX(Q38:U38,,MATCH(F35,Q36:U36,0))</f>
        <v>0</v>
      </c>
      <c r="G38" s="107">
        <f>INDEX(Q38:U38,,MATCH(G35,Q36:U36,0))</f>
        <v>0</v>
      </c>
      <c r="H38" s="107">
        <f>INDEX(Q38:U38,,MATCH(H35,Q36:U36,0))</f>
        <v>0</v>
      </c>
      <c r="I38" s="107">
        <f>INDEX(Q38:U38,,MATCH(I35,Q36:U36,0))</f>
        <v>0</v>
      </c>
      <c r="J38" s="107">
        <f>INDEX(Q38:U38,,MATCH(J35,Q36:U36,0))</f>
        <v>0</v>
      </c>
      <c r="K38" s="107">
        <f>INDEX(Q38:U38,,MATCH(K35,Q36:U36,0))</f>
        <v>0</v>
      </c>
      <c r="L38" s="107">
        <f>INDEX(Q38:U38,,MATCH(L35,Q36:U36,0))</f>
        <v>0</v>
      </c>
      <c r="M38" s="107">
        <f>INDEX(Q38:U38,,MATCH(M35,Q36:U36,0))</f>
        <v>0</v>
      </c>
      <c r="N38" s="107">
        <f>INDEX(Q38:U38,,MATCH(N35,Q36:U36,0))</f>
        <v>0</v>
      </c>
      <c r="O38" s="69"/>
      <c r="P38" s="69"/>
      <c r="Q38" s="13">
        <v>-2</v>
      </c>
      <c r="R38" s="13"/>
      <c r="S38" s="13">
        <v>0</v>
      </c>
      <c r="T38" s="13">
        <v>0</v>
      </c>
      <c r="U38" s="13">
        <v>0</v>
      </c>
    </row>
    <row r="39" spans="1:21">
      <c r="A39" s="10"/>
      <c r="B39" s="69"/>
      <c r="C39" s="102" t="s">
        <v>2204</v>
      </c>
      <c r="D39" s="106" t="str">
        <f>IF(ISBLANK(C39),"",IFERROR(VLOOKUP(C39,param!A$4:B$30,2,FALSE),"Param Not Recognised"))</f>
        <v>Disruption</v>
      </c>
      <c r="E39" s="107">
        <f>INDEX(Q39:U39,,MATCH(E35,Q36:U36,0))</f>
        <v>0</v>
      </c>
      <c r="F39" s="107">
        <f>INDEX(Q39:U39,,MATCH(F35,Q36:U36,0))</f>
        <v>0</v>
      </c>
      <c r="G39" s="107">
        <f>INDEX(Q39:U39,,MATCH(G35,Q36:U36,0))</f>
        <v>0</v>
      </c>
      <c r="H39" s="107">
        <f>INDEX(Q39:U39,,MATCH(H35,Q36:U36,0))</f>
        <v>0</v>
      </c>
      <c r="I39" s="107">
        <f>INDEX(Q39:U39,,MATCH(I35,Q36:U36,0))</f>
        <v>0</v>
      </c>
      <c r="J39" s="107">
        <f>INDEX(Q39:U39,,MATCH(J35,Q36:U36,0))</f>
        <v>0</v>
      </c>
      <c r="K39" s="107">
        <f>INDEX(Q39:U39,,MATCH(K35,Q36:U36,0))</f>
        <v>0</v>
      </c>
      <c r="L39" s="107">
        <f>INDEX(Q39:U39,,MATCH(L35,Q36:U36,0))</f>
        <v>0</v>
      </c>
      <c r="M39" s="107">
        <f>INDEX(Q39:U39,,MATCH(M35,Q36:U36,0))</f>
        <v>0</v>
      </c>
      <c r="N39" s="107">
        <f>INDEX(Q39:U39,,MATCH(N35,Q36:U36,0))</f>
        <v>0</v>
      </c>
      <c r="O39" s="69"/>
      <c r="P39" s="69"/>
      <c r="Q39" s="715">
        <v>0.05</v>
      </c>
      <c r="R39" s="13"/>
      <c r="S39" s="13"/>
      <c r="T39" s="13"/>
      <c r="U39" s="13"/>
    </row>
    <row r="40" spans="1:21">
      <c r="A40" s="10"/>
      <c r="B40" s="69"/>
      <c r="C40" s="102"/>
      <c r="D40" s="106" t="str">
        <f>IF(ISBLANK(C40),"",IFERROR(VLOOKUP(C40,param!A$4:B$30,2,FALSE),"Param Not Recognised"))</f>
        <v/>
      </c>
      <c r="E40" s="107">
        <f>INDEX(Q40:U40,,MATCH(E35,Q36:U36,0))</f>
        <v>0</v>
      </c>
      <c r="F40" s="107">
        <f>INDEX(Q40:U40,,MATCH(F35,Q36:U36,0))</f>
        <v>0</v>
      </c>
      <c r="G40" s="107">
        <f>INDEX(Q40:U40,,MATCH(G35,Q36:U36,0))</f>
        <v>0</v>
      </c>
      <c r="H40" s="107">
        <f>INDEX(Q40:U40,,MATCH(H35,Q36:U36,0))</f>
        <v>0</v>
      </c>
      <c r="I40" s="107">
        <f>INDEX(Q40:U40,,MATCH(I35,Q36:U36,0))</f>
        <v>0</v>
      </c>
      <c r="J40" s="107">
        <f>INDEX(Q40:U40,,MATCH(J35,Q36:U36,0))</f>
        <v>0</v>
      </c>
      <c r="K40" s="107">
        <f>INDEX(Q40:U40,,MATCH(K35,Q36:U36,0))</f>
        <v>0</v>
      </c>
      <c r="L40" s="107">
        <f>INDEX(Q40:U40,,MATCH(L35,Q36:U36,0))</f>
        <v>0</v>
      </c>
      <c r="M40" s="107">
        <f>INDEX(Q40:U40,,MATCH(M35,Q36:U36,0))</f>
        <v>0</v>
      </c>
      <c r="N40" s="107">
        <f>INDEX(Q40:U40,,MATCH(N35,Q36:U36,0))</f>
        <v>0</v>
      </c>
      <c r="O40" s="69"/>
      <c r="P40" s="69"/>
      <c r="Q40" s="13">
        <v>0</v>
      </c>
      <c r="R40" s="13"/>
      <c r="S40" s="13"/>
      <c r="T40" s="13"/>
      <c r="U40" s="13"/>
    </row>
    <row r="41" spans="1:21">
      <c r="A41" s="10"/>
      <c r="B41" s="69"/>
      <c r="C41" s="102"/>
      <c r="D41" s="106" t="str">
        <f>IF(ISBLANK(C41),"",IFERROR(VLOOKUP(C41,param!A$4:B$30,2,FALSE),"Param Not Recognised"))</f>
        <v/>
      </c>
      <c r="E41" s="107">
        <f>INDEX(Q41:U41,,MATCH(E35,Q36:U36,0))</f>
        <v>0</v>
      </c>
      <c r="F41" s="107">
        <f>INDEX(Q41:U41,,MATCH(F35,Q36:U36,0))</f>
        <v>0</v>
      </c>
      <c r="G41" s="107">
        <f>INDEX(Q41:U41,,MATCH(G35,Q36:U36,0))</f>
        <v>0</v>
      </c>
      <c r="H41" s="107">
        <f>INDEX(Q41:U41,,MATCH(H35,Q36:U36,0))</f>
        <v>0</v>
      </c>
      <c r="I41" s="107">
        <f>INDEX(Q41:U41,,MATCH(I35,Q36:U36,0))</f>
        <v>0</v>
      </c>
      <c r="J41" s="107">
        <f>INDEX(Q41:U41,,MATCH(J35,Q36:U36,0))</f>
        <v>0</v>
      </c>
      <c r="K41" s="107">
        <f>INDEX(Q41:U41,,MATCH(K35,Q36:U36,0))</f>
        <v>0</v>
      </c>
      <c r="L41" s="107">
        <f>INDEX(Q41:U41,,MATCH(L35,Q36:U36,0))</f>
        <v>0</v>
      </c>
      <c r="M41" s="107">
        <f>INDEX(Q41:U41,,MATCH(M35,Q36:U36,0))</f>
        <v>0</v>
      </c>
      <c r="N41" s="107">
        <f>INDEX(Q41:U41,,MATCH(N35,Q36:U36,0))</f>
        <v>0</v>
      </c>
      <c r="O41" s="69"/>
      <c r="P41" s="69"/>
      <c r="Q41" s="13">
        <v>0</v>
      </c>
      <c r="R41" s="13"/>
      <c r="S41" s="13"/>
      <c r="T41" s="13"/>
      <c r="U41" s="13"/>
    </row>
    <row r="42" spans="1:21">
      <c r="A42" s="10"/>
      <c r="B42" s="69"/>
      <c r="C42" s="102"/>
      <c r="D42" s="106" t="str">
        <f>IF(ISBLANK(C42),"",IFERROR(VLOOKUP(C42,param!A$4:B$30,2,FALSE),"Param Not Recognised"))</f>
        <v/>
      </c>
      <c r="E42" s="107">
        <f>INDEX(Q42:U42,,MATCH(E35,Q36:U36,0))</f>
        <v>0</v>
      </c>
      <c r="F42" s="107">
        <f>INDEX(Q42:U42,,MATCH(F35,Q36:U36,0))</f>
        <v>0</v>
      </c>
      <c r="G42" s="107">
        <f>INDEX(Q42:U42,,MATCH(G35,Q36:U36,0))</f>
        <v>0</v>
      </c>
      <c r="H42" s="107">
        <f>INDEX(Q42:U42,,MATCH(H35,Q36:U36,0))</f>
        <v>0</v>
      </c>
      <c r="I42" s="107">
        <f>INDEX(Q42:U42,,MATCH(I35,Q36:U36,0))</f>
        <v>0</v>
      </c>
      <c r="J42" s="107">
        <f>INDEX(Q42:U42,,MATCH(J35,Q36:U36,0))</f>
        <v>0</v>
      </c>
      <c r="K42" s="107">
        <f>INDEX(Q42:U42,,MATCH(K35,Q36:U36,0))</f>
        <v>0</v>
      </c>
      <c r="L42" s="107">
        <f>INDEX(Q42:U42,,MATCH(L35,Q36:U36,0))</f>
        <v>0</v>
      </c>
      <c r="M42" s="107">
        <f>INDEX(Q42:U42,,MATCH(M35,Q36:U36,0))</f>
        <v>0</v>
      </c>
      <c r="N42" s="107">
        <f>INDEX(Q42:U42,,MATCH(N35,Q36:U36,0))</f>
        <v>0</v>
      </c>
      <c r="O42" s="69"/>
      <c r="P42" s="69"/>
      <c r="Q42" s="13">
        <v>0</v>
      </c>
      <c r="R42" s="13"/>
      <c r="S42" s="13"/>
      <c r="T42" s="13"/>
      <c r="U42" s="13"/>
    </row>
    <row r="43" spans="1:21">
      <c r="A43" s="10"/>
      <c r="B43" s="69"/>
      <c r="C43" s="102"/>
      <c r="D43" s="106" t="str">
        <f>IF(ISBLANK(C43),"",IFERROR(VLOOKUP(C43,param!A$4:B$30,2,FALSE),"Param Not Recognised"))</f>
        <v/>
      </c>
      <c r="E43" s="107">
        <f>INDEX(Q43:U43,,MATCH(E35,Q36:U36,0))</f>
        <v>0</v>
      </c>
      <c r="F43" s="107">
        <f>INDEX(Q43:U43,,MATCH(F35,Q36:U36,0))</f>
        <v>0</v>
      </c>
      <c r="G43" s="107">
        <f>INDEX(Q43:U43,,MATCH(G35,Q36:U36,0))</f>
        <v>0</v>
      </c>
      <c r="H43" s="107">
        <f>INDEX(Q43:U43,,MATCH(H35,Q36:U36,0))</f>
        <v>0</v>
      </c>
      <c r="I43" s="107">
        <f>INDEX(Q43:U43,,MATCH(I35,Q36:U36,0))</f>
        <v>0</v>
      </c>
      <c r="J43" s="107">
        <f>INDEX(Q43:U43,,MATCH(J35,Q36:U36,0))</f>
        <v>0</v>
      </c>
      <c r="K43" s="107">
        <f>INDEX(Q43:U43,,MATCH(K35,Q36:U36,0))</f>
        <v>0</v>
      </c>
      <c r="L43" s="107">
        <f>INDEX(Q43:U43,,MATCH(L35,Q36:U36,0))</f>
        <v>0</v>
      </c>
      <c r="M43" s="107">
        <f>INDEX(Q43:U43,,MATCH(M35,Q36:U36,0))</f>
        <v>0</v>
      </c>
      <c r="N43" s="107">
        <f>INDEX(Q43:U43,,MATCH(N35,Q36:U36,0))</f>
        <v>0</v>
      </c>
      <c r="O43" s="69"/>
      <c r="P43" s="69"/>
      <c r="Q43" s="13">
        <v>0</v>
      </c>
      <c r="R43" s="13"/>
      <c r="S43" s="13"/>
      <c r="T43" s="13"/>
      <c r="U43" s="13"/>
    </row>
    <row r="44" spans="1:21">
      <c r="A44" s="10"/>
      <c r="B44" s="69"/>
      <c r="C44" s="102"/>
      <c r="D44" s="106" t="str">
        <f>IF(ISBLANK(C44),"",IFERROR(VLOOKUP(C44,param!A$4:B$30,2,FALSE),"Param Not Recognised"))</f>
        <v/>
      </c>
      <c r="E44" s="107">
        <f>INDEX(Q44:U44,,MATCH(E35,Q36:U36,0))</f>
        <v>0</v>
      </c>
      <c r="F44" s="107">
        <f>INDEX(Q44:U44,,MATCH(F35,Q36:U36,0))</f>
        <v>0</v>
      </c>
      <c r="G44" s="107">
        <f>INDEX(Q44:U44,,MATCH(G35,Q36:U36,0))</f>
        <v>0</v>
      </c>
      <c r="H44" s="107">
        <f>INDEX(Q44:U44,,MATCH(H35,Q36:U36,0))</f>
        <v>0</v>
      </c>
      <c r="I44" s="107">
        <f>INDEX(Q44:U44,,MATCH(I35,Q36:U36,0))</f>
        <v>0</v>
      </c>
      <c r="J44" s="107">
        <f>INDEX(Q44:U44,,MATCH(J35,Q36:U36,0))</f>
        <v>0</v>
      </c>
      <c r="K44" s="107">
        <f>INDEX(Q44:U44,,MATCH(K35,Q36:U36,0))</f>
        <v>0</v>
      </c>
      <c r="L44" s="107">
        <f>INDEX(Q44:U44,,MATCH(L35,Q36:U36,0))</f>
        <v>0</v>
      </c>
      <c r="M44" s="107">
        <f>INDEX(Q44:U44,,MATCH(M35,Q36:U36,0))</f>
        <v>0</v>
      </c>
      <c r="N44" s="107">
        <f>INDEX(Q44:U44,,MATCH(N35,Q36:U36,0))</f>
        <v>0</v>
      </c>
      <c r="O44" s="69"/>
      <c r="P44" s="69"/>
      <c r="Q44" s="13">
        <v>0</v>
      </c>
      <c r="R44" s="13"/>
      <c r="S44" s="13"/>
      <c r="T44" s="13"/>
      <c r="U44" s="13"/>
    </row>
    <row r="45" spans="1:21">
      <c r="A45" s="10"/>
      <c r="B45" s="69"/>
      <c r="C45" s="102"/>
      <c r="D45" s="106" t="str">
        <f>IF(ISBLANK(C45),"",IFERROR(VLOOKUP(C45,param!A$4:B$30,2,FALSE),"Param Not Recognised"))</f>
        <v/>
      </c>
      <c r="E45" s="107">
        <f>INDEX(Q45:U45,,MATCH(E35,Q36:U36,0))</f>
        <v>0</v>
      </c>
      <c r="F45" s="107">
        <f>INDEX(Q45:U45,,MATCH(F35,Q36:U36,0))</f>
        <v>0</v>
      </c>
      <c r="G45" s="107">
        <f>INDEX(Q45:U45,,MATCH(G35,Q36:U36,0))</f>
        <v>0</v>
      </c>
      <c r="H45" s="107">
        <f>INDEX(Q45:U45,,MATCH(H35,Q36:U36,0))</f>
        <v>0</v>
      </c>
      <c r="I45" s="107">
        <f>INDEX(Q45:U45,,MATCH(I35,Q36:U36,0))</f>
        <v>0</v>
      </c>
      <c r="J45" s="107">
        <f>INDEX(Q45:U45,,MATCH(J35,Q36:U36,0))</f>
        <v>0</v>
      </c>
      <c r="K45" s="107">
        <f>INDEX(Q45:U45,,MATCH(K35,Q36:U36,0))</f>
        <v>0</v>
      </c>
      <c r="L45" s="107">
        <f>INDEX(Q45:U45,,MATCH(L35,Q36:U36,0))</f>
        <v>0</v>
      </c>
      <c r="M45" s="107">
        <f>INDEX(Q45:U45,,MATCH(M35,Q36:U36,0))</f>
        <v>0</v>
      </c>
      <c r="N45" s="107">
        <f>INDEX(Q45:U45,,MATCH(N35,Q36:U36,0))</f>
        <v>0</v>
      </c>
      <c r="O45" s="69"/>
      <c r="P45" s="69"/>
      <c r="Q45" s="13">
        <v>0</v>
      </c>
      <c r="R45" s="13"/>
      <c r="S45" s="13"/>
      <c r="T45" s="13"/>
      <c r="U45" s="13"/>
    </row>
    <row r="46" spans="1:21">
      <c r="A46" s="10"/>
      <c r="B46" s="69"/>
      <c r="C46" s="102"/>
      <c r="D46" s="106" t="str">
        <f>IF(ISBLANK(C46),"",IFERROR(VLOOKUP(C46,param!A$4:B$30,2,FALSE),"Param Not Recognised"))</f>
        <v/>
      </c>
      <c r="E46" s="107">
        <f>INDEX(Q46:U46,,MATCH(E35,Q36:U36,0))</f>
        <v>0</v>
      </c>
      <c r="F46" s="107">
        <f>INDEX(Q46:U46,,MATCH(F35,Q36:U36,0))</f>
        <v>0</v>
      </c>
      <c r="G46" s="107">
        <f>INDEX(Q46:U46,,MATCH(G35,Q36:U36,0))</f>
        <v>0</v>
      </c>
      <c r="H46" s="107">
        <f>INDEX(Q46:U46,,MATCH(H35,Q36:U36,0))</f>
        <v>0</v>
      </c>
      <c r="I46" s="107">
        <f>INDEX(Q46:U46,,MATCH(I35,Q36:U36,0))</f>
        <v>0</v>
      </c>
      <c r="J46" s="107">
        <f>INDEX(Q46:U46,,MATCH(J35,Q36:U36,0))</f>
        <v>0</v>
      </c>
      <c r="K46" s="107">
        <f>INDEX(Q46:U46,,MATCH(K35,Q36:U36,0))</f>
        <v>0</v>
      </c>
      <c r="L46" s="107">
        <f>INDEX(Q46:U46,,MATCH(L35,Q36:U36,0))</f>
        <v>0</v>
      </c>
      <c r="M46" s="107">
        <f>INDEX(Q46:U46,,MATCH(M35,Q36:U36,0))</f>
        <v>0</v>
      </c>
      <c r="N46" s="107">
        <f>INDEX(Q46:U46,,MATCH(N35,Q36:U36,0))</f>
        <v>0</v>
      </c>
      <c r="O46" s="69"/>
      <c r="P46" s="69"/>
      <c r="Q46" s="13">
        <v>0</v>
      </c>
      <c r="R46" s="13"/>
      <c r="S46" s="13"/>
      <c r="T46" s="13"/>
      <c r="U46" s="13"/>
    </row>
    <row r="47" spans="1:21">
      <c r="A47" s="26"/>
    </row>
    <row r="48" spans="1:21">
      <c r="A48" s="110">
        <v>4</v>
      </c>
      <c r="B48" s="74" t="str">
        <f>Wobbler!D28</f>
        <v>Post-Diligence Discoveries</v>
      </c>
      <c r="C48" s="68" t="s">
        <v>300</v>
      </c>
      <c r="D48" s="68"/>
      <c r="E48" s="70">
        <f t="shared" ref="E48:N48" si="3">IF(decWobbler4=4,IF(decProductStackFocus&gt;=50%,2,1),2)</f>
        <v>2</v>
      </c>
      <c r="F48" s="70">
        <f t="shared" si="3"/>
        <v>2</v>
      </c>
      <c r="G48" s="70">
        <f t="shared" si="3"/>
        <v>2</v>
      </c>
      <c r="H48" s="70">
        <f t="shared" si="3"/>
        <v>2</v>
      </c>
      <c r="I48" s="70">
        <f t="shared" si="3"/>
        <v>2</v>
      </c>
      <c r="J48" s="70">
        <f t="shared" si="3"/>
        <v>2</v>
      </c>
      <c r="K48" s="70">
        <f t="shared" si="3"/>
        <v>2</v>
      </c>
      <c r="L48" s="70">
        <f t="shared" si="3"/>
        <v>2</v>
      </c>
      <c r="M48" s="70">
        <f t="shared" si="3"/>
        <v>2</v>
      </c>
      <c r="N48" s="70">
        <f t="shared" si="3"/>
        <v>2</v>
      </c>
      <c r="O48" s="15"/>
      <c r="P48" s="15"/>
      <c r="Q48" s="68"/>
      <c r="R48" s="68"/>
      <c r="S48" s="68"/>
      <c r="T48" s="68"/>
      <c r="U48" s="68"/>
    </row>
    <row r="49" spans="1:21">
      <c r="A49" s="10"/>
      <c r="B49" s="69"/>
      <c r="C49" s="69" t="s">
        <v>301</v>
      </c>
      <c r="D49" s="69"/>
      <c r="E49" s="70"/>
      <c r="F49" s="70"/>
      <c r="G49" s="70"/>
      <c r="H49" s="70"/>
      <c r="I49" s="70"/>
      <c r="J49" s="70"/>
      <c r="K49" s="70"/>
      <c r="L49" s="70"/>
      <c r="M49" s="70"/>
      <c r="N49" s="70"/>
      <c r="O49" s="69"/>
      <c r="P49" s="69"/>
      <c r="Q49" s="69">
        <v>1</v>
      </c>
      <c r="R49" s="69">
        <v>2</v>
      </c>
      <c r="S49" s="69">
        <v>3</v>
      </c>
      <c r="T49" s="69">
        <v>4</v>
      </c>
      <c r="U49" s="69">
        <v>0</v>
      </c>
    </row>
    <row r="50" spans="1:21">
      <c r="A50" s="10"/>
      <c r="B50" s="69"/>
      <c r="C50" s="102" t="s">
        <v>2205</v>
      </c>
      <c r="D50" s="106" t="str">
        <f>IF(ISBLANK(C50),"",IFERROR(VLOOKUP(C50,param!A$4:B$30,2,FALSE),"Param Not Recognised"))</f>
        <v>Stack Growth</v>
      </c>
      <c r="E50" s="73">
        <f>INDEX(Q50:U50,,MATCH(E48,Q49:U49,0))</f>
        <v>0</v>
      </c>
      <c r="F50" s="107">
        <f>INDEX(Q50:U50,,MATCH(F48,Q49:U49,0))</f>
        <v>0</v>
      </c>
      <c r="G50" s="107">
        <f>INDEX(Q50:U50,,MATCH(G48,Q49:U49,0))</f>
        <v>0</v>
      </c>
      <c r="H50" s="107">
        <f>INDEX(Q50:U50,,MATCH(H48,Q49:U49,0))</f>
        <v>0</v>
      </c>
      <c r="I50" s="107">
        <f>INDEX(Q50:U50,,MATCH(I48,Q49:U49,0))</f>
        <v>0</v>
      </c>
      <c r="J50" s="107">
        <f>INDEX(Q50:U50,,MATCH(J48,Q49:U49,0))</f>
        <v>0</v>
      </c>
      <c r="K50" s="107">
        <f>INDEX(Q50:U50,,MATCH(K48,Q49:U49,0))</f>
        <v>0</v>
      </c>
      <c r="L50" s="107">
        <f>INDEX(Q50:U50,,MATCH(L48,Q49:U49,0))</f>
        <v>0</v>
      </c>
      <c r="M50" s="107">
        <f>INDEX(Q50:U50,,MATCH(M48,Q49:U49,0))</f>
        <v>0</v>
      </c>
      <c r="N50" s="107">
        <f>INDEX(Q50:U50,,MATCH(N48,Q49:U49,0))</f>
        <v>0</v>
      </c>
      <c r="O50" s="69"/>
      <c r="P50" s="69"/>
      <c r="Q50" s="715">
        <v>-5.0000000000000001E-3</v>
      </c>
      <c r="R50" s="13"/>
      <c r="S50" s="13"/>
      <c r="T50" s="13"/>
      <c r="U50" s="13"/>
    </row>
    <row r="51" spans="1:21">
      <c r="A51" s="10"/>
      <c r="B51" s="69"/>
      <c r="C51" s="102" t="s">
        <v>2238</v>
      </c>
      <c r="D51" s="106" t="str">
        <f>IF(ISBLANK(C51),"",IFERROR(VLOOKUP(C51,param!A$4:B$30,2,FALSE),"Param Not Recognised"))</f>
        <v>Lead to Cash Impact</v>
      </c>
      <c r="E51" s="73">
        <f>INDEX(Q51:U51,,MATCH(E48,Q49:U49,0))</f>
        <v>0</v>
      </c>
      <c r="F51" s="107">
        <f>INDEX(Q51:U51,,MATCH(F48,Q49:U49,0))</f>
        <v>0</v>
      </c>
      <c r="G51" s="107">
        <f>INDEX(Q51:U51,,MATCH(G48,Q49:U49,0))</f>
        <v>0</v>
      </c>
      <c r="H51" s="107">
        <f>INDEX(Q51:U51,,MATCH(H48,Q49:U49,0))</f>
        <v>0</v>
      </c>
      <c r="I51" s="107">
        <f>INDEX(Q51:U51,,MATCH(I48,Q49:U49,0))</f>
        <v>0</v>
      </c>
      <c r="J51" s="107">
        <f>INDEX(Q51:U51,,MATCH(J48,Q49:U49,0))</f>
        <v>0</v>
      </c>
      <c r="K51" s="107">
        <f>INDEX(Q51:U51,,MATCH(K48,Q49:U49,0))</f>
        <v>0</v>
      </c>
      <c r="L51" s="107">
        <f>INDEX(Q51:U51,,MATCH(L48,Q49:U49,0))</f>
        <v>0</v>
      </c>
      <c r="M51" s="107">
        <f>INDEX(Q51:U51,,MATCH(M48,Q49:U49,0))</f>
        <v>0</v>
      </c>
      <c r="N51" s="107">
        <f>INDEX(Q51:U51,,MATCH(N48,Q49:U49,0))</f>
        <v>0</v>
      </c>
      <c r="O51" s="69"/>
      <c r="P51" s="69"/>
      <c r="Q51" s="715">
        <v>-0.2</v>
      </c>
      <c r="R51" s="13"/>
      <c r="S51" s="13">
        <v>0</v>
      </c>
      <c r="T51" s="13">
        <v>0</v>
      </c>
      <c r="U51" s="13">
        <v>0</v>
      </c>
    </row>
    <row r="52" spans="1:21">
      <c r="A52" s="10"/>
      <c r="B52" s="69"/>
      <c r="C52" s="102"/>
      <c r="D52" s="106" t="str">
        <f>IF(ISBLANK(C52),"",IFERROR(VLOOKUP(C52,param!A$4:B$30,2,FALSE),"Param Not Recognised"))</f>
        <v/>
      </c>
      <c r="E52" s="107">
        <f>INDEX(Q52:U52,,MATCH(E48,Q49:U49,0))</f>
        <v>0</v>
      </c>
      <c r="F52" s="107">
        <f>INDEX(Q52:U52,,MATCH(F48,Q49:U49,0))</f>
        <v>0</v>
      </c>
      <c r="G52" s="107">
        <f>INDEX(Q52:U52,,MATCH(G48,Q49:U49,0))</f>
        <v>0</v>
      </c>
      <c r="H52" s="107">
        <f>INDEX(Q52:U52,,MATCH(H48,Q49:U49,0))</f>
        <v>0</v>
      </c>
      <c r="I52" s="107">
        <f>INDEX(Q52:U52,,MATCH(I48,Q49:U49,0))</f>
        <v>0</v>
      </c>
      <c r="J52" s="107">
        <f>INDEX(Q52:U52,,MATCH(J48,Q49:U49,0))</f>
        <v>0</v>
      </c>
      <c r="K52" s="107">
        <f>INDEX(Q52:U52,,MATCH(K48,Q49:U49,0))</f>
        <v>0</v>
      </c>
      <c r="L52" s="107">
        <f>INDEX(Q52:U52,,MATCH(L48,Q49:U49,0))</f>
        <v>0</v>
      </c>
      <c r="M52" s="107">
        <f>INDEX(Q52:U52,,MATCH(M48,Q49:U49,0))</f>
        <v>0</v>
      </c>
      <c r="N52" s="107">
        <f>INDEX(Q52:U52,,MATCH(N48,Q49:U49,0))</f>
        <v>0</v>
      </c>
      <c r="O52" s="69"/>
      <c r="P52" s="69"/>
      <c r="Q52" s="13">
        <v>0</v>
      </c>
      <c r="R52" s="13"/>
      <c r="S52" s="13"/>
      <c r="T52" s="13"/>
      <c r="U52" s="13"/>
    </row>
    <row r="53" spans="1:21">
      <c r="A53" s="10"/>
      <c r="B53" s="69"/>
      <c r="C53" s="102"/>
      <c r="D53" s="106" t="str">
        <f>IF(ISBLANK(C53),"",IFERROR(VLOOKUP(C53,param!A$4:B$30,2,FALSE),"Param Not Recognised"))</f>
        <v/>
      </c>
      <c r="E53" s="107">
        <f>INDEX(Q53:U53,,MATCH(E48,Q49:U49,0))</f>
        <v>0</v>
      </c>
      <c r="F53" s="107">
        <f>INDEX(Q53:U53,,MATCH(F48,Q49:U49,0))</f>
        <v>0</v>
      </c>
      <c r="G53" s="107">
        <f>INDEX(Q53:U53,,MATCH(G48,Q49:U49,0))</f>
        <v>0</v>
      </c>
      <c r="H53" s="107">
        <f>INDEX(Q53:U53,,MATCH(H48,Q49:U49,0))</f>
        <v>0</v>
      </c>
      <c r="I53" s="107">
        <f>INDEX(Q53:U53,,MATCH(I48,Q49:U49,0))</f>
        <v>0</v>
      </c>
      <c r="J53" s="107">
        <f>INDEX(Q53:U53,,MATCH(J48,Q49:U49,0))</f>
        <v>0</v>
      </c>
      <c r="K53" s="107">
        <f>INDEX(Q53:U53,,MATCH(K48,Q49:U49,0))</f>
        <v>0</v>
      </c>
      <c r="L53" s="107">
        <f>INDEX(Q53:U53,,MATCH(L48,Q49:U49,0))</f>
        <v>0</v>
      </c>
      <c r="M53" s="107">
        <f>INDEX(Q53:U53,,MATCH(M48,Q49:U49,0))</f>
        <v>0</v>
      </c>
      <c r="N53" s="107">
        <f>INDEX(Q53:U53,,MATCH(N48,Q49:U49,0))</f>
        <v>0</v>
      </c>
      <c r="O53" s="69"/>
      <c r="P53" s="69"/>
      <c r="Q53" s="13">
        <v>0</v>
      </c>
      <c r="R53" s="13"/>
      <c r="S53" s="13"/>
      <c r="T53" s="13"/>
      <c r="U53" s="13"/>
    </row>
    <row r="54" spans="1:21">
      <c r="A54" s="10"/>
      <c r="B54" s="69"/>
      <c r="C54" s="102"/>
      <c r="D54" s="106" t="str">
        <f>IF(ISBLANK(C54),"",IFERROR(VLOOKUP(C54,param!A$4:B$30,2,FALSE),"Param Not Recognised"))</f>
        <v/>
      </c>
      <c r="E54" s="107">
        <f>INDEX(Q54:U54,,MATCH(E48,Q49:U49,0))</f>
        <v>0</v>
      </c>
      <c r="F54" s="107">
        <f>INDEX(Q54:U54,,MATCH(F48,Q49:U49,0))</f>
        <v>0</v>
      </c>
      <c r="G54" s="107">
        <f>INDEX(Q54:U54,,MATCH(G48,Q49:U49,0))</f>
        <v>0</v>
      </c>
      <c r="H54" s="107">
        <f>INDEX(Q54:U54,,MATCH(H48,Q49:U49,0))</f>
        <v>0</v>
      </c>
      <c r="I54" s="107">
        <f>INDEX(Q54:U54,,MATCH(I48,Q49:U49,0))</f>
        <v>0</v>
      </c>
      <c r="J54" s="107">
        <f>INDEX(Q54:U54,,MATCH(J48,Q49:U49,0))</f>
        <v>0</v>
      </c>
      <c r="K54" s="107">
        <f>INDEX(Q54:U54,,MATCH(K48,Q49:U49,0))</f>
        <v>0</v>
      </c>
      <c r="L54" s="107">
        <f>INDEX(Q54:U54,,MATCH(L48,Q49:U49,0))</f>
        <v>0</v>
      </c>
      <c r="M54" s="107">
        <f>INDEX(Q54:U54,,MATCH(M48,Q49:U49,0))</f>
        <v>0</v>
      </c>
      <c r="N54" s="107">
        <f>INDEX(Q54:U54,,MATCH(N48,Q49:U49,0))</f>
        <v>0</v>
      </c>
      <c r="O54" s="69"/>
      <c r="P54" s="69"/>
      <c r="Q54" s="13">
        <v>0</v>
      </c>
      <c r="R54" s="13"/>
      <c r="S54" s="13"/>
      <c r="T54" s="13"/>
      <c r="U54" s="13"/>
    </row>
    <row r="55" spans="1:21">
      <c r="A55" s="10"/>
      <c r="B55" s="69"/>
      <c r="C55" s="102"/>
      <c r="D55" s="106" t="str">
        <f>IF(ISBLANK(C55),"",IFERROR(VLOOKUP(C55,param!A$4:B$30,2,FALSE),"Param Not Recognised"))</f>
        <v/>
      </c>
      <c r="E55" s="107">
        <f>INDEX(Q55:U55,,MATCH(E48,Q49:U49,0))</f>
        <v>0</v>
      </c>
      <c r="F55" s="107">
        <f>INDEX(Q55:U55,,MATCH(F48,Q49:U49,0))</f>
        <v>0</v>
      </c>
      <c r="G55" s="107">
        <f>INDEX(Q55:U55,,MATCH(G48,Q49:U49,0))</f>
        <v>0</v>
      </c>
      <c r="H55" s="107">
        <f>INDEX(Q55:U55,,MATCH(H48,Q49:U49,0))</f>
        <v>0</v>
      </c>
      <c r="I55" s="107">
        <f>INDEX(Q55:U55,,MATCH(I48,Q49:U49,0))</f>
        <v>0</v>
      </c>
      <c r="J55" s="107">
        <f>INDEX(Q55:U55,,MATCH(J48,Q49:U49,0))</f>
        <v>0</v>
      </c>
      <c r="K55" s="107">
        <f>INDEX(Q55:U55,,MATCH(K48,Q49:U49,0))</f>
        <v>0</v>
      </c>
      <c r="L55" s="107">
        <f>INDEX(Q55:U55,,MATCH(L48,Q49:U49,0))</f>
        <v>0</v>
      </c>
      <c r="M55" s="107">
        <f>INDEX(Q55:U55,,MATCH(M48,Q49:U49,0))</f>
        <v>0</v>
      </c>
      <c r="N55" s="107">
        <f>INDEX(Q55:U55,,MATCH(N48,Q49:U49,0))</f>
        <v>0</v>
      </c>
      <c r="O55" s="69"/>
      <c r="P55" s="69"/>
      <c r="Q55" s="13">
        <v>0</v>
      </c>
      <c r="R55" s="13"/>
      <c r="S55" s="13"/>
      <c r="T55" s="13"/>
      <c r="U55" s="13"/>
    </row>
    <row r="56" spans="1:21">
      <c r="A56" s="10"/>
      <c r="B56" s="69"/>
      <c r="C56" s="102"/>
      <c r="D56" s="106" t="str">
        <f>IF(ISBLANK(C56),"",IFERROR(VLOOKUP(C56,param!A$4:B$30,2,FALSE),"Param Not Recognised"))</f>
        <v/>
      </c>
      <c r="E56" s="107">
        <f>INDEX(Q56:U56,,MATCH(E48,Q49:U49,0))</f>
        <v>0</v>
      </c>
      <c r="F56" s="107">
        <f>INDEX(Q56:U56,,MATCH(F48,Q49:U49,0))</f>
        <v>0</v>
      </c>
      <c r="G56" s="107">
        <f>INDEX(Q56:U56,,MATCH(G48,Q49:U49,0))</f>
        <v>0</v>
      </c>
      <c r="H56" s="107">
        <f>INDEX(Q56:U56,,MATCH(H48,Q49:U49,0))</f>
        <v>0</v>
      </c>
      <c r="I56" s="107">
        <f>INDEX(Q56:U56,,MATCH(I48,Q49:U49,0))</f>
        <v>0</v>
      </c>
      <c r="J56" s="107">
        <f>INDEX(Q56:U56,,MATCH(J48,Q49:U49,0))</f>
        <v>0</v>
      </c>
      <c r="K56" s="107">
        <f>INDEX(Q56:U56,,MATCH(K48,Q49:U49,0))</f>
        <v>0</v>
      </c>
      <c r="L56" s="107">
        <f>INDEX(Q56:U56,,MATCH(L48,Q49:U49,0))</f>
        <v>0</v>
      </c>
      <c r="M56" s="107">
        <f>INDEX(Q56:U56,,MATCH(M48,Q49:U49,0))</f>
        <v>0</v>
      </c>
      <c r="N56" s="107">
        <f>INDEX(Q56:U56,,MATCH(N48,Q49:U49,0))</f>
        <v>0</v>
      </c>
      <c r="O56" s="69"/>
      <c r="P56" s="69"/>
      <c r="Q56" s="13">
        <v>0</v>
      </c>
      <c r="R56" s="13"/>
      <c r="S56" s="13"/>
      <c r="T56" s="13"/>
      <c r="U56" s="13"/>
    </row>
    <row r="57" spans="1:21">
      <c r="A57" s="10"/>
      <c r="B57" s="69"/>
      <c r="C57" s="102"/>
      <c r="D57" s="106" t="str">
        <f>IF(ISBLANK(C57),"",IFERROR(VLOOKUP(C57,param!A$4:B$30,2,FALSE),"Param Not Recognised"))</f>
        <v/>
      </c>
      <c r="E57" s="107">
        <f>INDEX(Q57:U57,,MATCH(E48,Q49:U49,0))</f>
        <v>0</v>
      </c>
      <c r="F57" s="107">
        <f>INDEX(Q57:U57,,MATCH(F48,Q49:U49,0))</f>
        <v>0</v>
      </c>
      <c r="G57" s="107">
        <f>INDEX(Q57:U57,,MATCH(G48,Q49:U49,0))</f>
        <v>0</v>
      </c>
      <c r="H57" s="107">
        <f>INDEX(Q57:U57,,MATCH(H48,Q49:U49,0))</f>
        <v>0</v>
      </c>
      <c r="I57" s="107">
        <f>INDEX(Q57:U57,,MATCH(I48,Q49:U49,0))</f>
        <v>0</v>
      </c>
      <c r="J57" s="107">
        <f>INDEX(Q57:U57,,MATCH(J48,Q49:U49,0))</f>
        <v>0</v>
      </c>
      <c r="K57" s="107">
        <f>INDEX(Q57:U57,,MATCH(K48,Q49:U49,0))</f>
        <v>0</v>
      </c>
      <c r="L57" s="107">
        <f>INDEX(Q57:U57,,MATCH(L48,Q49:U49,0))</f>
        <v>0</v>
      </c>
      <c r="M57" s="107">
        <f>INDEX(Q57:U57,,MATCH(M48,Q49:U49,0))</f>
        <v>0</v>
      </c>
      <c r="N57" s="107">
        <f>INDEX(Q57:U57,,MATCH(N48,Q49:U49,0))</f>
        <v>0</v>
      </c>
      <c r="O57" s="69"/>
      <c r="P57" s="69"/>
      <c r="Q57" s="13">
        <v>0</v>
      </c>
      <c r="R57" s="13"/>
      <c r="S57" s="13"/>
      <c r="T57" s="13"/>
      <c r="U57" s="13"/>
    </row>
    <row r="58" spans="1:21">
      <c r="A58" s="10"/>
      <c r="B58" s="69"/>
      <c r="C58" s="102"/>
      <c r="D58" s="106" t="str">
        <f>IF(ISBLANK(C58),"",IFERROR(VLOOKUP(C58,param!A$4:B$30,2,FALSE),"Param Not Recognised"))</f>
        <v/>
      </c>
      <c r="E58" s="107">
        <f>INDEX(Q58:U58,,MATCH(E48,Q49:U49,0))</f>
        <v>0</v>
      </c>
      <c r="F58" s="107">
        <f>INDEX(Q58:U58,,MATCH(F48,Q49:U49,0))</f>
        <v>0</v>
      </c>
      <c r="G58" s="107">
        <f>INDEX(Q58:U58,,MATCH(G48,Q49:U49,0))</f>
        <v>0</v>
      </c>
      <c r="H58" s="107">
        <f>INDEX(Q58:U58,,MATCH(H48,Q49:U49,0))</f>
        <v>0</v>
      </c>
      <c r="I58" s="107">
        <f>INDEX(Q58:U58,,MATCH(I48,Q49:U49,0))</f>
        <v>0</v>
      </c>
      <c r="J58" s="107">
        <f>INDEX(Q58:U58,,MATCH(J48,Q49:U49,0))</f>
        <v>0</v>
      </c>
      <c r="K58" s="107">
        <f>INDEX(Q58:U58,,MATCH(K48,Q49:U49,0))</f>
        <v>0</v>
      </c>
      <c r="L58" s="107">
        <f>INDEX(Q58:U58,,MATCH(L48,Q49:U49,0))</f>
        <v>0</v>
      </c>
      <c r="M58" s="107">
        <f>INDEX(Q58:U58,,MATCH(M48,Q49:U49,0))</f>
        <v>0</v>
      </c>
      <c r="N58" s="107">
        <f>INDEX(Q58:U58,,MATCH(N48,Q49:U49,0))</f>
        <v>0</v>
      </c>
      <c r="O58" s="69"/>
      <c r="P58" s="69"/>
      <c r="Q58" s="13">
        <v>0</v>
      </c>
      <c r="R58" s="13"/>
      <c r="S58" s="13"/>
      <c r="T58" s="13"/>
      <c r="U58" s="13"/>
    </row>
    <row r="59" spans="1:21">
      <c r="A59" s="10"/>
      <c r="B59" s="69"/>
      <c r="C59" s="102"/>
      <c r="D59" s="106" t="str">
        <f>IF(ISBLANK(C59),"",IFERROR(VLOOKUP(C59,param!A$4:B$30,2,FALSE),"Param Not Recognised"))</f>
        <v/>
      </c>
      <c r="E59" s="107">
        <f>INDEX(Q59:U59,,MATCH(E48,Q49:U49,0))</f>
        <v>0</v>
      </c>
      <c r="F59" s="107">
        <f>INDEX(Q59:U59,,MATCH(F48,Q49:U49,0))</f>
        <v>0</v>
      </c>
      <c r="G59" s="107">
        <f>INDEX(Q59:U59,,MATCH(G48,Q49:U49,0))</f>
        <v>0</v>
      </c>
      <c r="H59" s="107">
        <f>INDEX(Q59:U59,,MATCH(H48,Q49:U49,0))</f>
        <v>0</v>
      </c>
      <c r="I59" s="107">
        <f>INDEX(Q59:U59,,MATCH(I48,Q49:U49,0))</f>
        <v>0</v>
      </c>
      <c r="J59" s="107">
        <f>INDEX(Q59:U59,,MATCH(J48,Q49:U49,0))</f>
        <v>0</v>
      </c>
      <c r="K59" s="107">
        <f>INDEX(Q59:U59,,MATCH(K48,Q49:U49,0))</f>
        <v>0</v>
      </c>
      <c r="L59" s="107">
        <f>INDEX(Q59:U59,,MATCH(L48,Q49:U49,0))</f>
        <v>0</v>
      </c>
      <c r="M59" s="107">
        <f>INDEX(Q59:U59,,MATCH(M48,Q49:U49,0))</f>
        <v>0</v>
      </c>
      <c r="N59" s="107">
        <f>INDEX(Q59:U59,,MATCH(N48,Q49:U49,0))</f>
        <v>0</v>
      </c>
      <c r="O59" s="69"/>
      <c r="P59" s="69"/>
      <c r="Q59" s="13">
        <v>0</v>
      </c>
      <c r="R59" s="13"/>
      <c r="S59" s="13"/>
      <c r="T59" s="13"/>
      <c r="U59" s="13"/>
    </row>
    <row r="60" spans="1:21">
      <c r="A60" s="26"/>
    </row>
    <row r="61" spans="1:21">
      <c r="A61" s="110">
        <v>5</v>
      </c>
      <c r="B61" s="74" t="str">
        <f>Wobbler!D29</f>
        <v>Security Breach</v>
      </c>
      <c r="C61" s="68" t="s">
        <v>300</v>
      </c>
      <c r="D61" s="68"/>
      <c r="E61" s="70">
        <f t="shared" ref="E61:N61" si="4">IF(decWobbler5=5,IF(AND(decSecurityP0RiskMitigation=100%,decSecurityP1RiskMitigation=100%,decSecurityP2RiskMitigation=100%),1,IF(AND(decSecurityP0RiskMitigation=100%,decSecurityP1RiskMitigation&lt;&gt;100%,decSecurityP2RiskMitigation&lt;&gt;100%),3,2)),0)</f>
        <v>0</v>
      </c>
      <c r="F61" s="70">
        <f t="shared" si="4"/>
        <v>0</v>
      </c>
      <c r="G61" s="70">
        <f t="shared" si="4"/>
        <v>0</v>
      </c>
      <c r="H61" s="70">
        <f t="shared" si="4"/>
        <v>0</v>
      </c>
      <c r="I61" s="70">
        <f t="shared" si="4"/>
        <v>0</v>
      </c>
      <c r="J61" s="70">
        <f t="shared" si="4"/>
        <v>0</v>
      </c>
      <c r="K61" s="70">
        <f t="shared" si="4"/>
        <v>0</v>
      </c>
      <c r="L61" s="70">
        <f t="shared" si="4"/>
        <v>0</v>
      </c>
      <c r="M61" s="70">
        <f t="shared" si="4"/>
        <v>0</v>
      </c>
      <c r="N61" s="70">
        <f t="shared" si="4"/>
        <v>0</v>
      </c>
      <c r="O61" s="15"/>
      <c r="P61" s="15"/>
      <c r="Q61" s="68"/>
      <c r="R61" s="68"/>
      <c r="S61" s="68"/>
      <c r="T61" s="68"/>
      <c r="U61" s="68"/>
    </row>
    <row r="62" spans="1:21">
      <c r="A62" s="10"/>
      <c r="B62" s="69"/>
      <c r="C62" s="69" t="s">
        <v>301</v>
      </c>
      <c r="D62" s="69"/>
      <c r="E62" s="70"/>
      <c r="F62" s="70"/>
      <c r="G62" s="70"/>
      <c r="H62" s="70"/>
      <c r="I62" s="70"/>
      <c r="J62" s="70"/>
      <c r="K62" s="70"/>
      <c r="L62" s="70"/>
      <c r="M62" s="70"/>
      <c r="N62" s="70"/>
      <c r="O62" s="69"/>
      <c r="P62" s="69"/>
      <c r="Q62" s="69">
        <v>1</v>
      </c>
      <c r="R62" s="69">
        <v>2</v>
      </c>
      <c r="S62" s="69">
        <v>3</v>
      </c>
      <c r="T62" s="69">
        <v>4</v>
      </c>
      <c r="U62" s="69">
        <v>0</v>
      </c>
    </row>
    <row r="63" spans="1:21">
      <c r="A63" s="10"/>
      <c r="B63" s="69"/>
      <c r="C63" s="102" t="s">
        <v>503</v>
      </c>
      <c r="D63" s="106" t="str">
        <f>IF(ISBLANK(C63),"",IFERROR(VLOOKUP(C63,param!A$4:B$30,2,FALSE),"Param Not Recognised"))</f>
        <v>Risk Index</v>
      </c>
      <c r="E63" s="107">
        <f>INDEX(Q63:U63,,MATCH(E61,Q62:U62,0))</f>
        <v>0</v>
      </c>
      <c r="F63" s="107">
        <f>INDEX(Q63:U63,,MATCH(F61,Q62:U62,0))</f>
        <v>0</v>
      </c>
      <c r="G63" s="107">
        <f>INDEX(Q63:U63,,MATCH(G61,Q62:U62,0))</f>
        <v>0</v>
      </c>
      <c r="H63" s="107">
        <f>INDEX(Q63:U63,,MATCH(H61,Q62:U62,0))</f>
        <v>0</v>
      </c>
      <c r="I63" s="107">
        <f>INDEX(Q63:U63,,MATCH(I61,Q62:U62,0))</f>
        <v>0</v>
      </c>
      <c r="J63" s="107">
        <f>INDEX(Q63:U63,,MATCH(J61,Q62:U62,0))</f>
        <v>0</v>
      </c>
      <c r="K63" s="107">
        <f>INDEX(Q63:U63,,MATCH(K61,Q62:U62,0))</f>
        <v>0</v>
      </c>
      <c r="L63" s="107">
        <f>INDEX(Q63:U63,,MATCH(L61,Q62:U62,0))</f>
        <v>0</v>
      </c>
      <c r="M63" s="107">
        <f>INDEX(Q63:U63,,MATCH(M61,Q62:U62,0))</f>
        <v>0</v>
      </c>
      <c r="N63" s="107">
        <f>INDEX(Q63:U63,,MATCH(N61,Q62:U62,0))</f>
        <v>0</v>
      </c>
      <c r="O63" s="69"/>
      <c r="P63" s="69"/>
      <c r="Q63" s="13">
        <v>0</v>
      </c>
      <c r="R63" s="13">
        <v>-6</v>
      </c>
      <c r="S63" s="13">
        <v>-3</v>
      </c>
      <c r="T63" s="13"/>
      <c r="U63" s="13"/>
    </row>
    <row r="64" spans="1:21">
      <c r="A64" s="10"/>
      <c r="B64" s="69"/>
      <c r="C64" s="102"/>
      <c r="D64" s="106" t="str">
        <f>IF(ISBLANK(C64),"",IFERROR(VLOOKUP(C64,param!A$4:B$30,2,FALSE),"Param Not Recognised"))</f>
        <v/>
      </c>
      <c r="E64" s="107">
        <f>INDEX(Q64:U64,,MATCH(E61,Q62:U62,0))</f>
        <v>0</v>
      </c>
      <c r="F64" s="107">
        <f>INDEX(Q64:U64,,MATCH(F61,Q62:U62,0))</f>
        <v>0</v>
      </c>
      <c r="G64" s="107">
        <f>INDEX(Q64:U64,,MATCH(G61,Q62:U62,0))</f>
        <v>0</v>
      </c>
      <c r="H64" s="107">
        <f>INDEX(Q64:U64,,MATCH(H61,Q62:U62,0))</f>
        <v>0</v>
      </c>
      <c r="I64" s="107">
        <f>INDEX(Q64:U64,,MATCH(I61,Q62:U62,0))</f>
        <v>0</v>
      </c>
      <c r="J64" s="107">
        <f>INDEX(Q64:U64,,MATCH(J61,Q62:U62,0))</f>
        <v>0</v>
      </c>
      <c r="K64" s="107">
        <f>INDEX(Q64:U64,,MATCH(K61,Q62:U62,0))</f>
        <v>0</v>
      </c>
      <c r="L64" s="107">
        <f>INDEX(Q64:U64,,MATCH(L61,Q62:U62,0))</f>
        <v>0</v>
      </c>
      <c r="M64" s="107">
        <f>INDEX(Q64:U64,,MATCH(M61,Q62:U62,0))</f>
        <v>0</v>
      </c>
      <c r="N64" s="107">
        <f>INDEX(Q64:U64,,MATCH(N61,Q62:U62,0))</f>
        <v>0</v>
      </c>
      <c r="O64" s="69"/>
      <c r="P64" s="69"/>
      <c r="Q64" s="13">
        <v>0</v>
      </c>
      <c r="R64" s="13"/>
      <c r="S64" s="13">
        <v>0</v>
      </c>
      <c r="T64" s="13">
        <v>0</v>
      </c>
      <c r="U64" s="13">
        <v>0</v>
      </c>
    </row>
    <row r="65" spans="1:21">
      <c r="A65" s="10"/>
      <c r="B65" s="69"/>
      <c r="C65" s="102"/>
      <c r="D65" s="106" t="str">
        <f>IF(ISBLANK(C65),"",IFERROR(VLOOKUP(C65,param!A$4:B$30,2,FALSE),"Param Not Recognised"))</f>
        <v/>
      </c>
      <c r="E65" s="107">
        <f>INDEX(Q65:U65,,MATCH(E61,Q62:U62,0))</f>
        <v>0</v>
      </c>
      <c r="F65" s="107">
        <f>INDEX(Q65:U65,,MATCH(F61,Q62:U62,0))</f>
        <v>0</v>
      </c>
      <c r="G65" s="107">
        <f>INDEX(Q65:U65,,MATCH(G61,Q62:U62,0))</f>
        <v>0</v>
      </c>
      <c r="H65" s="107">
        <f>INDEX(Q65:U65,,MATCH(H61,Q62:U62,0))</f>
        <v>0</v>
      </c>
      <c r="I65" s="107">
        <f>INDEX(Q65:U65,,MATCH(I61,Q62:U62,0))</f>
        <v>0</v>
      </c>
      <c r="J65" s="107">
        <f>INDEX(Q65:U65,,MATCH(J61,Q62:U62,0))</f>
        <v>0</v>
      </c>
      <c r="K65" s="107">
        <f>INDEX(Q65:U65,,MATCH(K61,Q62:U62,0))</f>
        <v>0</v>
      </c>
      <c r="L65" s="107">
        <f>INDEX(Q65:U65,,MATCH(L61,Q62:U62,0))</f>
        <v>0</v>
      </c>
      <c r="M65" s="107">
        <f>INDEX(Q65:U65,,MATCH(M61,Q62:U62,0))</f>
        <v>0</v>
      </c>
      <c r="N65" s="107">
        <f>INDEX(Q65:U65,,MATCH(N61,Q62:U62,0))</f>
        <v>0</v>
      </c>
      <c r="O65" s="69"/>
      <c r="P65" s="69"/>
      <c r="Q65" s="13">
        <v>0</v>
      </c>
      <c r="R65" s="13"/>
      <c r="S65" s="13"/>
      <c r="T65" s="13"/>
      <c r="U65" s="13"/>
    </row>
    <row r="66" spans="1:21">
      <c r="A66" s="10"/>
      <c r="B66" s="69"/>
      <c r="C66" s="102"/>
      <c r="D66" s="106" t="str">
        <f>IF(ISBLANK(C66),"",IFERROR(VLOOKUP(C66,param!A$4:B$30,2,FALSE),"Param Not Recognised"))</f>
        <v/>
      </c>
      <c r="E66" s="107">
        <f>INDEX(Q66:U66,,MATCH(E61,Q62:U62,0))</f>
        <v>0</v>
      </c>
      <c r="F66" s="107">
        <f>INDEX(Q66:U66,,MATCH(F61,Q62:U62,0))</f>
        <v>0</v>
      </c>
      <c r="G66" s="107">
        <f>INDEX(Q66:U66,,MATCH(G61,Q62:U62,0))</f>
        <v>0</v>
      </c>
      <c r="H66" s="107">
        <f>INDEX(Q66:U66,,MATCH(H61,Q62:U62,0))</f>
        <v>0</v>
      </c>
      <c r="I66" s="107">
        <f>INDEX(Q66:U66,,MATCH(I61,Q62:U62,0))</f>
        <v>0</v>
      </c>
      <c r="J66" s="107">
        <f>INDEX(Q66:U66,,MATCH(J61,Q62:U62,0))</f>
        <v>0</v>
      </c>
      <c r="K66" s="107">
        <f>INDEX(Q66:U66,,MATCH(K61,Q62:U62,0))</f>
        <v>0</v>
      </c>
      <c r="L66" s="107">
        <f>INDEX(Q66:U66,,MATCH(L61,Q62:U62,0))</f>
        <v>0</v>
      </c>
      <c r="M66" s="107">
        <f>INDEX(Q66:U66,,MATCH(M61,Q62:U62,0))</f>
        <v>0</v>
      </c>
      <c r="N66" s="107">
        <f>INDEX(Q66:U66,,MATCH(N61,Q62:U62,0))</f>
        <v>0</v>
      </c>
      <c r="O66" s="69"/>
      <c r="P66" s="69"/>
      <c r="Q66" s="13">
        <v>0</v>
      </c>
      <c r="R66" s="13"/>
      <c r="S66" s="13"/>
      <c r="T66" s="13"/>
      <c r="U66" s="13"/>
    </row>
    <row r="67" spans="1:21">
      <c r="A67" s="10"/>
      <c r="B67" s="69"/>
      <c r="C67" s="102"/>
      <c r="D67" s="106" t="str">
        <f>IF(ISBLANK(C67),"",IFERROR(VLOOKUP(C67,param!A$4:B$30,2,FALSE),"Param Not Recognised"))</f>
        <v/>
      </c>
      <c r="E67" s="107">
        <f>INDEX(Q67:U67,,MATCH(E61,Q62:U62,0))</f>
        <v>0</v>
      </c>
      <c r="F67" s="107">
        <f>INDEX(Q67:U67,,MATCH(F61,Q62:U62,0))</f>
        <v>0</v>
      </c>
      <c r="G67" s="107">
        <f>INDEX(Q67:U67,,MATCH(G61,Q62:U62,0))</f>
        <v>0</v>
      </c>
      <c r="H67" s="107">
        <f>INDEX(Q67:U67,,MATCH(H61,Q62:U62,0))</f>
        <v>0</v>
      </c>
      <c r="I67" s="107">
        <f>INDEX(Q67:U67,,MATCH(I61,Q62:U62,0))</f>
        <v>0</v>
      </c>
      <c r="J67" s="107">
        <f>INDEX(Q67:U67,,MATCH(J61,Q62:U62,0))</f>
        <v>0</v>
      </c>
      <c r="K67" s="107">
        <f>INDEX(Q67:U67,,MATCH(K61,Q62:U62,0))</f>
        <v>0</v>
      </c>
      <c r="L67" s="107">
        <f>INDEX(Q67:U67,,MATCH(L61,Q62:U62,0))</f>
        <v>0</v>
      </c>
      <c r="M67" s="107">
        <f>INDEX(Q67:U67,,MATCH(M61,Q62:U62,0))</f>
        <v>0</v>
      </c>
      <c r="N67" s="107">
        <f>INDEX(Q67:U67,,MATCH(N61,Q62:U62,0))</f>
        <v>0</v>
      </c>
      <c r="O67" s="69"/>
      <c r="P67" s="69"/>
      <c r="Q67" s="13">
        <v>0</v>
      </c>
      <c r="R67" s="13"/>
      <c r="S67" s="13"/>
      <c r="T67" s="13"/>
      <c r="U67" s="13"/>
    </row>
    <row r="68" spans="1:21">
      <c r="A68" s="10"/>
      <c r="B68" s="69"/>
      <c r="C68" s="102"/>
      <c r="D68" s="106" t="str">
        <f>IF(ISBLANK(C68),"",IFERROR(VLOOKUP(C68,param!A$4:B$30,2,FALSE),"Param Not Recognised"))</f>
        <v/>
      </c>
      <c r="E68" s="107">
        <f>INDEX(Q68:U68,,MATCH(E61,Q62:U62,0))</f>
        <v>0</v>
      </c>
      <c r="F68" s="107">
        <f>INDEX(Q68:U68,,MATCH(F61,Q62:U62,0))</f>
        <v>0</v>
      </c>
      <c r="G68" s="107">
        <f>INDEX(Q68:U68,,MATCH(G61,Q62:U62,0))</f>
        <v>0</v>
      </c>
      <c r="H68" s="107">
        <f>INDEX(Q68:U68,,MATCH(H61,Q62:U62,0))</f>
        <v>0</v>
      </c>
      <c r="I68" s="107">
        <f>INDEX(Q68:U68,,MATCH(I61,Q62:U62,0))</f>
        <v>0</v>
      </c>
      <c r="J68" s="107">
        <f>INDEX(Q68:U68,,MATCH(J61,Q62:U62,0))</f>
        <v>0</v>
      </c>
      <c r="K68" s="107">
        <f>INDEX(Q68:U68,,MATCH(K61,Q62:U62,0))</f>
        <v>0</v>
      </c>
      <c r="L68" s="107">
        <f>INDEX(Q68:U68,,MATCH(L61,Q62:U62,0))</f>
        <v>0</v>
      </c>
      <c r="M68" s="107">
        <f>INDEX(Q68:U68,,MATCH(M61,Q62:U62,0))</f>
        <v>0</v>
      </c>
      <c r="N68" s="107">
        <f>INDEX(Q68:U68,,MATCH(N61,Q62:U62,0))</f>
        <v>0</v>
      </c>
      <c r="O68" s="69"/>
      <c r="P68" s="69"/>
      <c r="Q68" s="13">
        <v>0</v>
      </c>
      <c r="R68" s="13"/>
      <c r="S68" s="13"/>
      <c r="T68" s="13"/>
      <c r="U68" s="13"/>
    </row>
    <row r="69" spans="1:21">
      <c r="A69" s="10"/>
      <c r="B69" s="69"/>
      <c r="C69" s="102"/>
      <c r="D69" s="106" t="str">
        <f>IF(ISBLANK(C69),"",IFERROR(VLOOKUP(C69,param!A$4:B$30,2,FALSE),"Param Not Recognised"))</f>
        <v/>
      </c>
      <c r="E69" s="107">
        <f>INDEX(Q69:U69,,MATCH(E61,Q62:U62,0))</f>
        <v>0</v>
      </c>
      <c r="F69" s="107">
        <f>INDEX(Q69:U69,,MATCH(F61,Q62:U62,0))</f>
        <v>0</v>
      </c>
      <c r="G69" s="107">
        <f>INDEX(Q69:U69,,MATCH(G61,Q62:U62,0))</f>
        <v>0</v>
      </c>
      <c r="H69" s="107">
        <f>INDEX(Q69:U69,,MATCH(H61,Q62:U62,0))</f>
        <v>0</v>
      </c>
      <c r="I69" s="107">
        <f>INDEX(Q69:U69,,MATCH(I61,Q62:U62,0))</f>
        <v>0</v>
      </c>
      <c r="J69" s="107">
        <f>INDEX(Q69:U69,,MATCH(J61,Q62:U62,0))</f>
        <v>0</v>
      </c>
      <c r="K69" s="107">
        <f>INDEX(Q69:U69,,MATCH(K61,Q62:U62,0))</f>
        <v>0</v>
      </c>
      <c r="L69" s="107">
        <f>INDEX(Q69:U69,,MATCH(L61,Q62:U62,0))</f>
        <v>0</v>
      </c>
      <c r="M69" s="107">
        <f>INDEX(Q69:U69,,MATCH(M61,Q62:U62,0))</f>
        <v>0</v>
      </c>
      <c r="N69" s="107">
        <f>INDEX(Q69:U69,,MATCH(N61,Q62:U62,0))</f>
        <v>0</v>
      </c>
      <c r="O69" s="69"/>
      <c r="P69" s="69"/>
      <c r="Q69" s="13">
        <v>0</v>
      </c>
      <c r="R69" s="13"/>
      <c r="S69" s="13"/>
      <c r="T69" s="13"/>
      <c r="U69" s="13"/>
    </row>
    <row r="70" spans="1:21">
      <c r="A70" s="10"/>
      <c r="B70" s="69"/>
      <c r="C70" s="102"/>
      <c r="D70" s="106" t="str">
        <f>IF(ISBLANK(C70),"",IFERROR(VLOOKUP(C70,param!A$4:B$30,2,FALSE),"Param Not Recognised"))</f>
        <v/>
      </c>
      <c r="E70" s="107">
        <f>INDEX(Q70:U70,,MATCH(E61,Q62:U62,0))</f>
        <v>0</v>
      </c>
      <c r="F70" s="107">
        <f>INDEX(Q70:U70,,MATCH(F61,Q62:U62,0))</f>
        <v>0</v>
      </c>
      <c r="G70" s="107">
        <f>INDEX(Q70:U70,,MATCH(G61,Q62:U62,0))</f>
        <v>0</v>
      </c>
      <c r="H70" s="107">
        <f>INDEX(Q70:U70,,MATCH(H61,Q62:U62,0))</f>
        <v>0</v>
      </c>
      <c r="I70" s="107">
        <f>INDEX(Q70:U70,,MATCH(I61,Q62:U62,0))</f>
        <v>0</v>
      </c>
      <c r="J70" s="107">
        <f>INDEX(Q70:U70,,MATCH(J61,Q62:U62,0))</f>
        <v>0</v>
      </c>
      <c r="K70" s="107">
        <f>INDEX(Q70:U70,,MATCH(K61,Q62:U62,0))</f>
        <v>0</v>
      </c>
      <c r="L70" s="107">
        <f>INDEX(Q70:U70,,MATCH(L61,Q62:U62,0))</f>
        <v>0</v>
      </c>
      <c r="M70" s="107">
        <f>INDEX(Q70:U70,,MATCH(M61,Q62:U62,0))</f>
        <v>0</v>
      </c>
      <c r="N70" s="107">
        <f>INDEX(Q70:U70,,MATCH(N61,Q62:U62,0))</f>
        <v>0</v>
      </c>
      <c r="O70" s="69"/>
      <c r="P70" s="69"/>
      <c r="Q70" s="13">
        <v>0</v>
      </c>
      <c r="R70" s="13"/>
      <c r="S70" s="13"/>
      <c r="T70" s="13"/>
      <c r="U70" s="13"/>
    </row>
    <row r="71" spans="1:21">
      <c r="A71" s="10"/>
      <c r="B71" s="69"/>
      <c r="C71" s="102"/>
      <c r="D71" s="106" t="str">
        <f>IF(ISBLANK(C71),"",IFERROR(VLOOKUP(C71,param!A$4:B$30,2,FALSE),"Param Not Recognised"))</f>
        <v/>
      </c>
      <c r="E71" s="107">
        <f>INDEX(Q71:U71,,MATCH(E61,Q62:U62,0))</f>
        <v>0</v>
      </c>
      <c r="F71" s="107">
        <f>INDEX(Q71:U71,,MATCH(F61,Q62:U62,0))</f>
        <v>0</v>
      </c>
      <c r="G71" s="107">
        <f>INDEX(Q71:U71,,MATCH(G61,Q62:U62,0))</f>
        <v>0</v>
      </c>
      <c r="H71" s="107">
        <f>INDEX(Q71:U71,,MATCH(H61,Q62:U62,0))</f>
        <v>0</v>
      </c>
      <c r="I71" s="107">
        <f>INDEX(Q71:U71,,MATCH(I61,Q62:U62,0))</f>
        <v>0</v>
      </c>
      <c r="J71" s="107">
        <f>INDEX(Q71:U71,,MATCH(J61,Q62:U62,0))</f>
        <v>0</v>
      </c>
      <c r="K71" s="107">
        <f>INDEX(Q71:U71,,MATCH(K61,Q62:U62,0))</f>
        <v>0</v>
      </c>
      <c r="L71" s="107">
        <f>INDEX(Q71:U71,,MATCH(L61,Q62:U62,0))</f>
        <v>0</v>
      </c>
      <c r="M71" s="107">
        <f>INDEX(Q71:U71,,MATCH(M61,Q62:U62,0))</f>
        <v>0</v>
      </c>
      <c r="N71" s="107">
        <f>INDEX(Q71:U71,,MATCH(N61,Q62:U62,0))</f>
        <v>0</v>
      </c>
      <c r="O71" s="69"/>
      <c r="P71" s="69"/>
      <c r="Q71" s="13">
        <v>0</v>
      </c>
      <c r="R71" s="13"/>
      <c r="S71" s="13"/>
      <c r="T71" s="13"/>
      <c r="U71" s="13"/>
    </row>
    <row r="72" spans="1:21">
      <c r="A72" s="10"/>
      <c r="B72" s="69"/>
      <c r="C72" s="102"/>
      <c r="D72" s="106" t="str">
        <f>IF(ISBLANK(C72),"",IFERROR(VLOOKUP(C72,param!A$4:B$30,2,FALSE),"Param Not Recognised"))</f>
        <v/>
      </c>
      <c r="E72" s="107">
        <f>INDEX(Q72:U72,,MATCH(E61,Q62:U62,0))</f>
        <v>0</v>
      </c>
      <c r="F72" s="107">
        <f>INDEX(Q72:U72,,MATCH(F61,Q62:U62,0))</f>
        <v>0</v>
      </c>
      <c r="G72" s="107">
        <f>INDEX(Q72:U72,,MATCH(G61,Q62:U62,0))</f>
        <v>0</v>
      </c>
      <c r="H72" s="107">
        <f>INDEX(Q72:U72,,MATCH(H61,Q62:U62,0))</f>
        <v>0</v>
      </c>
      <c r="I72" s="107">
        <f>INDEX(Q72:U72,,MATCH(I61,Q62:U62,0))</f>
        <v>0</v>
      </c>
      <c r="J72" s="107">
        <f>INDEX(Q72:U72,,MATCH(J61,Q62:U62,0))</f>
        <v>0</v>
      </c>
      <c r="K72" s="107">
        <f>INDEX(Q72:U72,,MATCH(K61,Q62:U62,0))</f>
        <v>0</v>
      </c>
      <c r="L72" s="107">
        <f>INDEX(Q72:U72,,MATCH(L61,Q62:U62,0))</f>
        <v>0</v>
      </c>
      <c r="M72" s="107">
        <f>INDEX(Q72:U72,,MATCH(M61,Q62:U62,0))</f>
        <v>0</v>
      </c>
      <c r="N72" s="107">
        <f>INDEX(Q72:U72,,MATCH(N61,Q62:U62,0))</f>
        <v>0</v>
      </c>
      <c r="O72" s="69"/>
      <c r="P72" s="69"/>
      <c r="Q72" s="13">
        <v>0</v>
      </c>
      <c r="R72" s="13"/>
      <c r="S72" s="13"/>
      <c r="T72" s="13"/>
      <c r="U72" s="13"/>
    </row>
    <row r="73" spans="1:21">
      <c r="A73" s="26"/>
    </row>
    <row r="74" spans="1:21">
      <c r="A74" s="110">
        <v>6</v>
      </c>
      <c r="B74" s="74" t="str">
        <f>Wobbler!D30</f>
        <v>Executive Sponsor Change of Heart</v>
      </c>
      <c r="C74" s="68" t="s">
        <v>300</v>
      </c>
      <c r="D74" s="68"/>
      <c r="E74" s="70">
        <f t="shared" ref="E74:N74" si="5">IF(decWobbler6=6,IF(OR(decGTMOrg62Timeline="Q1",decGTMOrg62Timeline="Q2"),2,1),2)</f>
        <v>2</v>
      </c>
      <c r="F74" s="70">
        <f t="shared" si="5"/>
        <v>2</v>
      </c>
      <c r="G74" s="70">
        <f t="shared" si="5"/>
        <v>2</v>
      </c>
      <c r="H74" s="70">
        <f t="shared" si="5"/>
        <v>2</v>
      </c>
      <c r="I74" s="70">
        <f t="shared" si="5"/>
        <v>2</v>
      </c>
      <c r="J74" s="70">
        <f t="shared" si="5"/>
        <v>2</v>
      </c>
      <c r="K74" s="70">
        <f t="shared" si="5"/>
        <v>2</v>
      </c>
      <c r="L74" s="70">
        <f t="shared" si="5"/>
        <v>2</v>
      </c>
      <c r="M74" s="70">
        <f t="shared" si="5"/>
        <v>2</v>
      </c>
      <c r="N74" s="70">
        <f t="shared" si="5"/>
        <v>2</v>
      </c>
      <c r="O74" s="15"/>
      <c r="P74" s="15"/>
      <c r="Q74" s="68"/>
      <c r="R74" s="68"/>
      <c r="S74" s="68"/>
      <c r="T74" s="68"/>
      <c r="U74" s="68"/>
    </row>
    <row r="75" spans="1:21">
      <c r="A75" s="10"/>
      <c r="B75" s="69"/>
      <c r="C75" s="69" t="s">
        <v>301</v>
      </c>
      <c r="D75" s="69"/>
      <c r="E75" s="70"/>
      <c r="F75" s="70"/>
      <c r="G75" s="70"/>
      <c r="H75" s="70"/>
      <c r="I75" s="70"/>
      <c r="J75" s="70"/>
      <c r="K75" s="70"/>
      <c r="L75" s="70"/>
      <c r="M75" s="70"/>
      <c r="N75" s="70"/>
      <c r="O75" s="69"/>
      <c r="P75" s="69"/>
      <c r="Q75" s="69">
        <v>1</v>
      </c>
      <c r="R75" s="69">
        <v>2</v>
      </c>
      <c r="S75" s="69">
        <v>3</v>
      </c>
      <c r="T75" s="69">
        <v>4</v>
      </c>
      <c r="U75" s="69">
        <v>0</v>
      </c>
    </row>
    <row r="76" spans="1:21">
      <c r="A76" s="10"/>
      <c r="B76" s="69"/>
      <c r="C76" s="102" t="s">
        <v>504</v>
      </c>
      <c r="D76" s="106" t="str">
        <f>IF(ISBLANK(C76),"",IFERROR(VLOOKUP(C76,param!A$4:B$30,2,FALSE),"Param Not Recognised"))</f>
        <v>NPS</v>
      </c>
      <c r="E76" s="107">
        <f>INDEX(Q76:U76,,MATCH(E74,Q75:U75,0))</f>
        <v>0</v>
      </c>
      <c r="F76" s="107">
        <f>INDEX(Q76:U76,,MATCH(F74,Q75:U75,0))</f>
        <v>0</v>
      </c>
      <c r="G76" s="107">
        <f>INDEX(Q76:U76,,MATCH(G74,Q75:U75,0))</f>
        <v>0</v>
      </c>
      <c r="H76" s="107">
        <f>INDEX(Q76:U76,,MATCH(H74,Q75:U75,0))</f>
        <v>0</v>
      </c>
      <c r="I76" s="107">
        <f>INDEX(Q76:U76,,MATCH(I74,Q75:U75,0))</f>
        <v>0</v>
      </c>
      <c r="J76" s="107">
        <f>INDEX(Q76:U76,,MATCH(J74,Q75:U75,0))</f>
        <v>0</v>
      </c>
      <c r="K76" s="107">
        <f>INDEX(Q76:U76,,MATCH(K74,Q75:U75,0))</f>
        <v>0</v>
      </c>
      <c r="L76" s="107">
        <f>INDEX(Q76:U76,,MATCH(L74,Q75:U75,0))</f>
        <v>0</v>
      </c>
      <c r="M76" s="107">
        <f>INDEX(Q76:U76,,MATCH(M74,Q75:U75,0))</f>
        <v>0</v>
      </c>
      <c r="N76" s="107">
        <f>INDEX(Q76:U76,,MATCH(N74,Q75:U75,0))</f>
        <v>0</v>
      </c>
      <c r="O76" s="69"/>
      <c r="P76" s="69"/>
      <c r="Q76" s="13">
        <v>-5</v>
      </c>
      <c r="R76" s="13"/>
      <c r="S76" s="13"/>
      <c r="T76" s="13"/>
      <c r="U76" s="13"/>
    </row>
    <row r="77" spans="1:21">
      <c r="A77" s="10"/>
      <c r="B77" s="69"/>
      <c r="C77" s="102" t="s">
        <v>1287</v>
      </c>
      <c r="D77" s="106" t="str">
        <f>IF(ISBLANK(C77),"",IFERROR(VLOOKUP(C77,param!A$4:B$30,2,FALSE),"Param Not Recognised"))</f>
        <v>Baseline Growth</v>
      </c>
      <c r="E77" s="204">
        <f>INDEX(Q77:U77,,MATCH(E74,Q75:U75,0))</f>
        <v>0</v>
      </c>
      <c r="F77" s="107">
        <f>INDEX(Q77:U77,,MATCH(F74,Q75:U75,0))</f>
        <v>0</v>
      </c>
      <c r="G77" s="107">
        <f>INDEX(Q77:U77,,MATCH(G74,Q75:U75,0))</f>
        <v>0</v>
      </c>
      <c r="H77" s="107">
        <f>INDEX(Q77:U77,,MATCH(H74,Q75:U75,0))</f>
        <v>0</v>
      </c>
      <c r="I77" s="107">
        <f>INDEX(Q77:U77,,MATCH(I74,Q75:U75,0))</f>
        <v>0</v>
      </c>
      <c r="J77" s="107">
        <f>INDEX(Q77:U77,,MATCH(J74,Q75:U75,0))</f>
        <v>0</v>
      </c>
      <c r="K77" s="107">
        <f>INDEX(Q77:U77,,MATCH(K74,Q75:U75,0))</f>
        <v>0</v>
      </c>
      <c r="L77" s="107">
        <f>INDEX(Q77:U77,,MATCH(L74,Q75:U75,0))</f>
        <v>0</v>
      </c>
      <c r="M77" s="107">
        <f>INDEX(Q77:U77,,MATCH(M74,Q75:U75,0))</f>
        <v>0</v>
      </c>
      <c r="N77" s="107">
        <f>INDEX(Q77:U77,,MATCH(N74,Q75:U75,0))</f>
        <v>0</v>
      </c>
      <c r="O77" s="69"/>
      <c r="P77" s="69"/>
      <c r="Q77" s="715">
        <v>-0.01</v>
      </c>
      <c r="R77" s="13"/>
      <c r="S77" s="13">
        <v>0</v>
      </c>
      <c r="T77" s="13">
        <v>0</v>
      </c>
      <c r="U77" s="13">
        <v>0</v>
      </c>
    </row>
    <row r="78" spans="1:21">
      <c r="A78" s="10"/>
      <c r="B78" s="69"/>
      <c r="C78" s="102"/>
      <c r="D78" s="106" t="str">
        <f>IF(ISBLANK(C78),"",IFERROR(VLOOKUP(C78,param!A$4:B$30,2,FALSE),"Param Not Recognised"))</f>
        <v/>
      </c>
      <c r="E78" s="107">
        <f>INDEX(Q78:U78,,MATCH(E74,Q75:U75,0))</f>
        <v>0</v>
      </c>
      <c r="F78" s="107">
        <f>INDEX(Q78:U78,,MATCH(F74,Q75:U75,0))</f>
        <v>0</v>
      </c>
      <c r="G78" s="107">
        <f>INDEX(Q78:U78,,MATCH(G74,Q75:U75,0))</f>
        <v>0</v>
      </c>
      <c r="H78" s="107">
        <f>INDEX(Q78:U78,,MATCH(H74,Q75:U75,0))</f>
        <v>0</v>
      </c>
      <c r="I78" s="107">
        <f>INDEX(Q78:U78,,MATCH(I74,Q75:U75,0))</f>
        <v>0</v>
      </c>
      <c r="J78" s="107">
        <f>INDEX(Q78:U78,,MATCH(J74,Q75:U75,0))</f>
        <v>0</v>
      </c>
      <c r="K78" s="107">
        <f>INDEX(Q78:U78,,MATCH(K74,Q75:U75,0))</f>
        <v>0</v>
      </c>
      <c r="L78" s="107">
        <f>INDEX(Q78:U78,,MATCH(L74,Q75:U75,0))</f>
        <v>0</v>
      </c>
      <c r="M78" s="107">
        <f>INDEX(Q78:U78,,MATCH(M74,Q75:U75,0))</f>
        <v>0</v>
      </c>
      <c r="N78" s="107">
        <f>INDEX(Q78:U78,,MATCH(N74,Q75:U75,0))</f>
        <v>0</v>
      </c>
      <c r="O78" s="69"/>
      <c r="P78" s="69"/>
      <c r="Q78" s="13">
        <v>0</v>
      </c>
      <c r="R78" s="13"/>
      <c r="S78" s="13"/>
      <c r="T78" s="13"/>
      <c r="U78" s="13"/>
    </row>
    <row r="79" spans="1:21">
      <c r="A79" s="10"/>
      <c r="B79" s="69"/>
      <c r="C79" s="102"/>
      <c r="D79" s="106" t="str">
        <f>IF(ISBLANK(C79),"",IFERROR(VLOOKUP(C79,param!A$4:B$30,2,FALSE),"Param Not Recognised"))</f>
        <v/>
      </c>
      <c r="E79" s="107">
        <f>INDEX(Q79:U79,,MATCH(E74,Q75:U75,0))</f>
        <v>0</v>
      </c>
      <c r="F79" s="107">
        <f>INDEX(Q79:U79,,MATCH(F74,Q75:U75,0))</f>
        <v>0</v>
      </c>
      <c r="G79" s="107">
        <f>INDEX(Q79:U79,,MATCH(G74,Q75:U75,0))</f>
        <v>0</v>
      </c>
      <c r="H79" s="107">
        <f>INDEX(Q79:U79,,MATCH(H74,Q75:U75,0))</f>
        <v>0</v>
      </c>
      <c r="I79" s="107">
        <f>INDEX(Q79:U79,,MATCH(I74,Q75:U75,0))</f>
        <v>0</v>
      </c>
      <c r="J79" s="107">
        <f>INDEX(Q79:U79,,MATCH(J74,Q75:U75,0))</f>
        <v>0</v>
      </c>
      <c r="K79" s="107">
        <f>INDEX(Q79:U79,,MATCH(K74,Q75:U75,0))</f>
        <v>0</v>
      </c>
      <c r="L79" s="107">
        <f>INDEX(Q79:U79,,MATCH(L74,Q75:U75,0))</f>
        <v>0</v>
      </c>
      <c r="M79" s="107">
        <f>INDEX(Q79:U79,,MATCH(M74,Q75:U75,0))</f>
        <v>0</v>
      </c>
      <c r="N79" s="107">
        <f>INDEX(Q79:U79,,MATCH(N74,Q75:U75,0))</f>
        <v>0</v>
      </c>
      <c r="O79" s="69"/>
      <c r="P79" s="69"/>
      <c r="Q79" s="13">
        <v>0</v>
      </c>
      <c r="R79" s="13"/>
      <c r="S79" s="13"/>
      <c r="T79" s="13"/>
      <c r="U79" s="13"/>
    </row>
    <row r="80" spans="1:21">
      <c r="A80" s="10"/>
      <c r="B80" s="69"/>
      <c r="C80" s="102"/>
      <c r="D80" s="106" t="str">
        <f>IF(ISBLANK(C80),"",IFERROR(VLOOKUP(C80,param!A$4:B$30,2,FALSE),"Param Not Recognised"))</f>
        <v/>
      </c>
      <c r="E80" s="107">
        <f>INDEX(Q80:U80,,MATCH(E74,Q75:U75,0))</f>
        <v>0</v>
      </c>
      <c r="F80" s="107">
        <f>INDEX(Q80:U80,,MATCH(F74,Q75:U75,0))</f>
        <v>0</v>
      </c>
      <c r="G80" s="107">
        <f>INDEX(Q80:U80,,MATCH(G74,Q75:U75,0))</f>
        <v>0</v>
      </c>
      <c r="H80" s="107">
        <f>INDEX(Q80:U80,,MATCH(H74,Q75:U75,0))</f>
        <v>0</v>
      </c>
      <c r="I80" s="107">
        <f>INDEX(Q80:U80,,MATCH(I74,Q75:U75,0))</f>
        <v>0</v>
      </c>
      <c r="J80" s="107">
        <f>INDEX(Q80:U80,,MATCH(J74,Q75:U75,0))</f>
        <v>0</v>
      </c>
      <c r="K80" s="107">
        <f>INDEX(Q80:U80,,MATCH(K74,Q75:U75,0))</f>
        <v>0</v>
      </c>
      <c r="L80" s="107">
        <f>INDEX(Q80:U80,,MATCH(L74,Q75:U75,0))</f>
        <v>0</v>
      </c>
      <c r="M80" s="107">
        <f>INDEX(Q80:U80,,MATCH(M74,Q75:U75,0))</f>
        <v>0</v>
      </c>
      <c r="N80" s="107">
        <f>INDEX(Q80:U80,,MATCH(N74,Q75:U75,0))</f>
        <v>0</v>
      </c>
      <c r="O80" s="69"/>
      <c r="P80" s="69"/>
      <c r="Q80" s="13">
        <v>0</v>
      </c>
      <c r="R80" s="13"/>
      <c r="S80" s="13"/>
      <c r="T80" s="13"/>
      <c r="U80" s="13"/>
    </row>
    <row r="81" spans="1:21">
      <c r="A81" s="10"/>
      <c r="B81" s="69"/>
      <c r="C81" s="102"/>
      <c r="D81" s="106" t="str">
        <f>IF(ISBLANK(C81),"",IFERROR(VLOOKUP(C81,param!A$4:B$30,2,FALSE),"Param Not Recognised"))</f>
        <v/>
      </c>
      <c r="E81" s="107">
        <f>INDEX(Q81:U81,,MATCH(E74,Q75:U75,0))</f>
        <v>0</v>
      </c>
      <c r="F81" s="107">
        <f>INDEX(Q81:U81,,MATCH(F74,Q75:U75,0))</f>
        <v>0</v>
      </c>
      <c r="G81" s="107">
        <f>INDEX(Q81:U81,,MATCH(G74,Q75:U75,0))</f>
        <v>0</v>
      </c>
      <c r="H81" s="107">
        <f>INDEX(Q81:U81,,MATCH(H74,Q75:U75,0))</f>
        <v>0</v>
      </c>
      <c r="I81" s="107">
        <f>INDEX(Q81:U81,,MATCH(I74,Q75:U75,0))</f>
        <v>0</v>
      </c>
      <c r="J81" s="107">
        <f>INDEX(Q81:U81,,MATCH(J74,Q75:U75,0))</f>
        <v>0</v>
      </c>
      <c r="K81" s="107">
        <f>INDEX(Q81:U81,,MATCH(K74,Q75:U75,0))</f>
        <v>0</v>
      </c>
      <c r="L81" s="107">
        <f>INDEX(Q81:U81,,MATCH(L74,Q75:U75,0))</f>
        <v>0</v>
      </c>
      <c r="M81" s="107">
        <f>INDEX(Q81:U81,,MATCH(M74,Q75:U75,0))</f>
        <v>0</v>
      </c>
      <c r="N81" s="107">
        <f>INDEX(Q81:U81,,MATCH(N74,Q75:U75,0))</f>
        <v>0</v>
      </c>
      <c r="O81" s="69"/>
      <c r="P81" s="69"/>
      <c r="Q81" s="13">
        <v>0</v>
      </c>
      <c r="R81" s="13"/>
      <c r="S81" s="13"/>
      <c r="T81" s="13"/>
      <c r="U81" s="13"/>
    </row>
    <row r="82" spans="1:21">
      <c r="A82" s="10"/>
      <c r="B82" s="69"/>
      <c r="C82" s="102"/>
      <c r="D82" s="106" t="str">
        <f>IF(ISBLANK(C82),"",IFERROR(VLOOKUP(C82,param!A$4:B$30,2,FALSE),"Param Not Recognised"))</f>
        <v/>
      </c>
      <c r="E82" s="107">
        <f>INDEX(Q82:U82,,MATCH(E74,Q75:U75,0))</f>
        <v>0</v>
      </c>
      <c r="F82" s="107">
        <f>INDEX(Q82:U82,,MATCH(F74,Q75:U75,0))</f>
        <v>0</v>
      </c>
      <c r="G82" s="107">
        <f>INDEX(Q82:U82,,MATCH(G74,Q75:U75,0))</f>
        <v>0</v>
      </c>
      <c r="H82" s="107">
        <f>INDEX(Q82:U82,,MATCH(H74,Q75:U75,0))</f>
        <v>0</v>
      </c>
      <c r="I82" s="107">
        <f>INDEX(Q82:U82,,MATCH(I74,Q75:U75,0))</f>
        <v>0</v>
      </c>
      <c r="J82" s="107">
        <f>INDEX(Q82:U82,,MATCH(J74,Q75:U75,0))</f>
        <v>0</v>
      </c>
      <c r="K82" s="107">
        <f>INDEX(Q82:U82,,MATCH(K74,Q75:U75,0))</f>
        <v>0</v>
      </c>
      <c r="L82" s="107">
        <f>INDEX(Q82:U82,,MATCH(L74,Q75:U75,0))</f>
        <v>0</v>
      </c>
      <c r="M82" s="107">
        <f>INDEX(Q82:U82,,MATCH(M74,Q75:U75,0))</f>
        <v>0</v>
      </c>
      <c r="N82" s="107">
        <f>INDEX(Q82:U82,,MATCH(N74,Q75:U75,0))</f>
        <v>0</v>
      </c>
      <c r="O82" s="69"/>
      <c r="P82" s="69"/>
      <c r="Q82" s="13">
        <v>0</v>
      </c>
      <c r="R82" s="13"/>
      <c r="S82" s="13"/>
      <c r="T82" s="13"/>
      <c r="U82" s="13"/>
    </row>
    <row r="83" spans="1:21">
      <c r="A83" s="10"/>
      <c r="B83" s="69"/>
      <c r="C83" s="102"/>
      <c r="D83" s="106" t="str">
        <f>IF(ISBLANK(C83),"",IFERROR(VLOOKUP(C83,param!A$4:B$30,2,FALSE),"Param Not Recognised"))</f>
        <v/>
      </c>
      <c r="E83" s="107">
        <f>INDEX(Q83:U83,,MATCH(E74,Q75:U75,0))</f>
        <v>0</v>
      </c>
      <c r="F83" s="107">
        <f>INDEX(Q83:U83,,MATCH(F74,Q75:U75,0))</f>
        <v>0</v>
      </c>
      <c r="G83" s="107">
        <f>INDEX(Q83:U83,,MATCH(G74,Q75:U75,0))</f>
        <v>0</v>
      </c>
      <c r="H83" s="107">
        <f>INDEX(Q83:U83,,MATCH(H74,Q75:U75,0))</f>
        <v>0</v>
      </c>
      <c r="I83" s="107">
        <f>INDEX(Q83:U83,,MATCH(I74,Q75:U75,0))</f>
        <v>0</v>
      </c>
      <c r="J83" s="107">
        <f>INDEX(Q83:U83,,MATCH(J74,Q75:U75,0))</f>
        <v>0</v>
      </c>
      <c r="K83" s="107">
        <f>INDEX(Q83:U83,,MATCH(K74,Q75:U75,0))</f>
        <v>0</v>
      </c>
      <c r="L83" s="107">
        <f>INDEX(Q83:U83,,MATCH(L74,Q75:U75,0))</f>
        <v>0</v>
      </c>
      <c r="M83" s="107">
        <f>INDEX(Q83:U83,,MATCH(M74,Q75:U75,0))</f>
        <v>0</v>
      </c>
      <c r="N83" s="107">
        <f>INDEX(Q83:U83,,MATCH(N74,Q75:U75,0))</f>
        <v>0</v>
      </c>
      <c r="O83" s="69"/>
      <c r="P83" s="69"/>
      <c r="Q83" s="13">
        <v>0</v>
      </c>
      <c r="R83" s="13"/>
      <c r="S83" s="13"/>
      <c r="T83" s="13"/>
      <c r="U83" s="13"/>
    </row>
    <row r="84" spans="1:21">
      <c r="A84" s="10"/>
      <c r="B84" s="69"/>
      <c r="C84" s="102"/>
      <c r="D84" s="106" t="str">
        <f>IF(ISBLANK(C84),"",IFERROR(VLOOKUP(C84,param!A$4:B$30,2,FALSE),"Param Not Recognised"))</f>
        <v/>
      </c>
      <c r="E84" s="107">
        <f>INDEX(Q84:U84,,MATCH(E74,Q75:U75,0))</f>
        <v>0</v>
      </c>
      <c r="F84" s="107">
        <f>INDEX(Q84:U84,,MATCH(F74,Q75:U75,0))</f>
        <v>0</v>
      </c>
      <c r="G84" s="107">
        <f>INDEX(Q84:U84,,MATCH(G74,Q75:U75,0))</f>
        <v>0</v>
      </c>
      <c r="H84" s="107">
        <f>INDEX(Q84:U84,,MATCH(H74,Q75:U75,0))</f>
        <v>0</v>
      </c>
      <c r="I84" s="107">
        <f>INDEX(Q84:U84,,MATCH(I74,Q75:U75,0))</f>
        <v>0</v>
      </c>
      <c r="J84" s="107">
        <f>INDEX(Q84:U84,,MATCH(J74,Q75:U75,0))</f>
        <v>0</v>
      </c>
      <c r="K84" s="107">
        <f>INDEX(Q84:U84,,MATCH(K74,Q75:U75,0))</f>
        <v>0</v>
      </c>
      <c r="L84" s="107">
        <f>INDEX(Q84:U84,,MATCH(L74,Q75:U75,0))</f>
        <v>0</v>
      </c>
      <c r="M84" s="107">
        <f>INDEX(Q84:U84,,MATCH(M74,Q75:U75,0))</f>
        <v>0</v>
      </c>
      <c r="N84" s="107">
        <f>INDEX(Q84:U84,,MATCH(N74,Q75:U75,0))</f>
        <v>0</v>
      </c>
      <c r="O84" s="69"/>
      <c r="P84" s="69"/>
      <c r="Q84" s="13">
        <v>0</v>
      </c>
      <c r="R84" s="13"/>
      <c r="S84" s="13"/>
      <c r="T84" s="13"/>
      <c r="U84" s="13"/>
    </row>
    <row r="85" spans="1:21">
      <c r="A85" s="10"/>
      <c r="B85" s="69"/>
      <c r="C85" s="102"/>
      <c r="D85" s="106" t="str">
        <f>IF(ISBLANK(C85),"",IFERROR(VLOOKUP(C85,param!A$4:B$30,2,FALSE),"Param Not Recognised"))</f>
        <v/>
      </c>
      <c r="E85" s="107">
        <f>INDEX(Q85:U85,,MATCH(E74,Q75:U75,0))</f>
        <v>0</v>
      </c>
      <c r="F85" s="107">
        <f>INDEX(Q85:U85,,MATCH(F74,Q75:U75,0))</f>
        <v>0</v>
      </c>
      <c r="G85" s="107">
        <f>INDEX(Q85:U85,,MATCH(G74,Q75:U75,0))</f>
        <v>0</v>
      </c>
      <c r="H85" s="107">
        <f>INDEX(Q85:U85,,MATCH(H74,Q75:U75,0))</f>
        <v>0</v>
      </c>
      <c r="I85" s="107">
        <f>INDEX(Q85:U85,,MATCH(I74,Q75:U75,0))</f>
        <v>0</v>
      </c>
      <c r="J85" s="107">
        <f>INDEX(Q85:U85,,MATCH(J74,Q75:U75,0))</f>
        <v>0</v>
      </c>
      <c r="K85" s="107">
        <f>INDEX(Q85:U85,,MATCH(K74,Q75:U75,0))</f>
        <v>0</v>
      </c>
      <c r="L85" s="107">
        <f>INDEX(Q85:U85,,MATCH(L74,Q75:U75,0))</f>
        <v>0</v>
      </c>
      <c r="M85" s="107">
        <f>INDEX(Q85:U85,,MATCH(M74,Q75:U75,0))</f>
        <v>0</v>
      </c>
      <c r="N85" s="107">
        <f>INDEX(Q85:U85,,MATCH(N74,Q75:U75,0))</f>
        <v>0</v>
      </c>
      <c r="O85" s="69"/>
      <c r="P85" s="69"/>
      <c r="Q85" s="13">
        <v>0</v>
      </c>
      <c r="R85" s="13"/>
      <c r="S85" s="13"/>
      <c r="T85" s="13"/>
      <c r="U85" s="13"/>
    </row>
    <row r="86" spans="1:21">
      <c r="A86" s="26"/>
    </row>
    <row r="87" spans="1:21">
      <c r="A87" s="110">
        <v>7</v>
      </c>
      <c r="B87" s="74" t="str">
        <f>Wobbler!D31</f>
        <v>Acquired CEO Goes Rogue</v>
      </c>
      <c r="C87" s="68" t="s">
        <v>300</v>
      </c>
      <c r="D87" s="68"/>
      <c r="E87" s="70">
        <f t="shared" ref="E87:N87" si="6">IF(decWobbler7=7,IF(calcESATBeforeTheoretical&gt;79,3,IF(calcESATBeforeTheoretical&gt;69,1,2)),0)</f>
        <v>0</v>
      </c>
      <c r="F87" s="70">
        <f t="shared" si="6"/>
        <v>0</v>
      </c>
      <c r="G87" s="70">
        <f t="shared" si="6"/>
        <v>0</v>
      </c>
      <c r="H87" s="70">
        <f t="shared" si="6"/>
        <v>0</v>
      </c>
      <c r="I87" s="70">
        <f t="shared" si="6"/>
        <v>0</v>
      </c>
      <c r="J87" s="70">
        <f t="shared" si="6"/>
        <v>0</v>
      </c>
      <c r="K87" s="70">
        <f t="shared" si="6"/>
        <v>0</v>
      </c>
      <c r="L87" s="70">
        <f t="shared" si="6"/>
        <v>0</v>
      </c>
      <c r="M87" s="70">
        <f t="shared" si="6"/>
        <v>0</v>
      </c>
      <c r="N87" s="70">
        <f t="shared" si="6"/>
        <v>0</v>
      </c>
      <c r="O87" s="15"/>
      <c r="P87" s="15"/>
      <c r="Q87" s="68"/>
      <c r="R87" s="68"/>
      <c r="S87" s="68"/>
      <c r="T87" s="68"/>
      <c r="U87" s="68"/>
    </row>
    <row r="88" spans="1:21">
      <c r="A88" s="10"/>
      <c r="B88" s="69"/>
      <c r="C88" s="69" t="s">
        <v>301</v>
      </c>
      <c r="D88" s="69"/>
      <c r="E88" s="70"/>
      <c r="F88" s="70"/>
      <c r="G88" s="70"/>
      <c r="H88" s="70"/>
      <c r="I88" s="70"/>
      <c r="J88" s="70"/>
      <c r="K88" s="70"/>
      <c r="L88" s="70"/>
      <c r="M88" s="70"/>
      <c r="N88" s="70"/>
      <c r="O88" s="69"/>
      <c r="P88" s="69"/>
      <c r="Q88" s="69">
        <v>1</v>
      </c>
      <c r="R88" s="69">
        <v>2</v>
      </c>
      <c r="S88" s="69">
        <v>3</v>
      </c>
      <c r="T88" s="69">
        <v>4</v>
      </c>
      <c r="U88" s="69">
        <v>0</v>
      </c>
    </row>
    <row r="89" spans="1:21">
      <c r="A89" s="10"/>
      <c r="B89" s="69"/>
      <c r="C89" s="102" t="s">
        <v>3031</v>
      </c>
      <c r="D89" s="106" t="str">
        <f>IF(ISBLANK(C89),"",IFERROR(VLOOKUP(C89,param!A$4:B$30,2,FALSE),"Param Not Recognised"))</f>
        <v>Emp Engagement Theoretical</v>
      </c>
      <c r="E89" s="798">
        <f>INDEX(Q89:U89,,MATCH(E87,Q88:U88,0))</f>
        <v>0</v>
      </c>
      <c r="F89" s="798">
        <f>INDEX(Q89:U89,,MATCH(F87,Q88:U88,0))</f>
        <v>0</v>
      </c>
      <c r="G89" s="798">
        <f>INDEX(Q89:U89,,MATCH(G87,Q88:U88,0))</f>
        <v>0</v>
      </c>
      <c r="H89" s="798">
        <f>INDEX(Q89:U89,,MATCH(H87,Q88:U88,0))</f>
        <v>0</v>
      </c>
      <c r="I89" s="798">
        <f>INDEX(Q89:U89,,MATCH(I87,Q88:U88,0))</f>
        <v>0</v>
      </c>
      <c r="J89" s="798">
        <f>INDEX(Q89:U89,,MATCH(J87,Q88:U88,0))</f>
        <v>0</v>
      </c>
      <c r="K89" s="798">
        <f>INDEX(Q89:U89,,MATCH(K87,Q88:U88,0))</f>
        <v>0</v>
      </c>
      <c r="L89" s="798">
        <f>INDEX(Q89:U89,,MATCH(L87,Q88:U88,0))</f>
        <v>0</v>
      </c>
      <c r="M89" s="798">
        <f>INDEX(Q89:U89,,MATCH(M87,Q88:U88,0))</f>
        <v>0</v>
      </c>
      <c r="N89" s="798">
        <f>INDEX(Q89:U89,,MATCH(N87,Q88:U88,0))</f>
        <v>0</v>
      </c>
      <c r="O89" s="69"/>
      <c r="P89" s="69"/>
      <c r="Q89" s="715">
        <v>-0.05</v>
      </c>
      <c r="R89" s="715">
        <v>-0.1</v>
      </c>
      <c r="S89" s="13"/>
      <c r="T89" s="13"/>
      <c r="U89" s="13"/>
    </row>
    <row r="90" spans="1:21">
      <c r="A90" s="10"/>
      <c r="B90" s="69"/>
      <c r="C90" s="102"/>
      <c r="D90" s="106" t="str">
        <f>IF(ISBLANK(C90),"",IFERROR(VLOOKUP(C90,param!A$4:B$30,2,FALSE),"Param Not Recognised"))</f>
        <v/>
      </c>
      <c r="E90" s="107">
        <f>INDEX(Q90:U90,,MATCH(E87,Q88:U88,0))</f>
        <v>0</v>
      </c>
      <c r="F90" s="107">
        <f>INDEX(Q90:U90,,MATCH(F87,Q88:U88,0))</f>
        <v>0</v>
      </c>
      <c r="G90" s="107">
        <f>INDEX(Q90:U90,,MATCH(G87,Q88:U88,0))</f>
        <v>0</v>
      </c>
      <c r="H90" s="107">
        <f>INDEX(Q90:U90,,MATCH(H87,Q88:U88,0))</f>
        <v>0</v>
      </c>
      <c r="I90" s="107">
        <f>INDEX(Q90:U90,,MATCH(I87,Q88:U88,0))</f>
        <v>0</v>
      </c>
      <c r="J90" s="107">
        <f>INDEX(Q90:U90,,MATCH(J87,Q88:U88,0))</f>
        <v>0</v>
      </c>
      <c r="K90" s="107">
        <f>INDEX(Q90:U90,,MATCH(K87,Q88:U88,0))</f>
        <v>0</v>
      </c>
      <c r="L90" s="107">
        <f>INDEX(Q90:U90,,MATCH(L87,Q88:U88,0))</f>
        <v>0</v>
      </c>
      <c r="M90" s="107">
        <f>INDEX(Q90:U90,,MATCH(M87,Q88:U88,0))</f>
        <v>0</v>
      </c>
      <c r="N90" s="107">
        <f>INDEX(Q90:U90,,MATCH(N87,Q88:U88,0))</f>
        <v>0</v>
      </c>
      <c r="O90" s="69"/>
      <c r="P90" s="69"/>
      <c r="Q90" s="13">
        <v>0</v>
      </c>
      <c r="R90" s="13"/>
      <c r="S90" s="13"/>
      <c r="T90" s="13"/>
      <c r="U90" s="13"/>
    </row>
    <row r="91" spans="1:21">
      <c r="A91" s="10"/>
      <c r="B91" s="69"/>
      <c r="C91" s="102"/>
      <c r="D91" s="106" t="str">
        <f>IF(ISBLANK(C91),"",IFERROR(VLOOKUP(C91,param!A$4:B$30,2,FALSE),"Param Not Recognised"))</f>
        <v/>
      </c>
      <c r="E91" s="107">
        <f>INDEX(Q91:U91,,MATCH(E87,Q88:U88,0))</f>
        <v>0</v>
      </c>
      <c r="F91" s="107">
        <f>INDEX(Q91:U91,,MATCH(F87,Q88:U88,0))</f>
        <v>0</v>
      </c>
      <c r="G91" s="107">
        <f>INDEX(Q91:U91,,MATCH(G87,Q88:U88,0))</f>
        <v>0</v>
      </c>
      <c r="H91" s="107">
        <f>INDEX(Q91:U91,,MATCH(H87,Q88:U88,0))</f>
        <v>0</v>
      </c>
      <c r="I91" s="107">
        <f>INDEX(Q91:U91,,MATCH(I87,Q88:U88,0))</f>
        <v>0</v>
      </c>
      <c r="J91" s="107">
        <f>INDEX(Q91:U91,,MATCH(J87,Q88:U88,0))</f>
        <v>0</v>
      </c>
      <c r="K91" s="107">
        <f>INDEX(Q91:U91,,MATCH(K87,Q88:U88,0))</f>
        <v>0</v>
      </c>
      <c r="L91" s="107">
        <f>INDEX(Q91:U91,,MATCH(L87,Q88:U88,0))</f>
        <v>0</v>
      </c>
      <c r="M91" s="107">
        <f>INDEX(Q91:U91,,MATCH(M87,Q88:U88,0))</f>
        <v>0</v>
      </c>
      <c r="N91" s="107">
        <f>INDEX(Q91:U91,,MATCH(N87,Q88:U88,0))</f>
        <v>0</v>
      </c>
      <c r="O91" s="69"/>
      <c r="P91" s="69"/>
      <c r="Q91" s="13">
        <v>0</v>
      </c>
      <c r="R91" s="13"/>
      <c r="S91" s="13"/>
      <c r="T91" s="13"/>
      <c r="U91" s="13"/>
    </row>
    <row r="92" spans="1:21">
      <c r="A92" s="10"/>
      <c r="B92" s="69"/>
      <c r="C92" s="102"/>
      <c r="D92" s="106" t="str">
        <f>IF(ISBLANK(C92),"",IFERROR(VLOOKUP(C92,param!A$4:B$30,2,FALSE),"Param Not Recognised"))</f>
        <v/>
      </c>
      <c r="E92" s="107">
        <f>INDEX(Q92:U92,,MATCH(E87,Q88:U88,0))</f>
        <v>0</v>
      </c>
      <c r="F92" s="107">
        <f>INDEX(Q92:U92,,MATCH(F87,Q88:U88,0))</f>
        <v>0</v>
      </c>
      <c r="G92" s="107">
        <f>INDEX(Q92:U92,,MATCH(G87,Q88:U88,0))</f>
        <v>0</v>
      </c>
      <c r="H92" s="107">
        <f>INDEX(Q92:U92,,MATCH(H87,Q88:U88,0))</f>
        <v>0</v>
      </c>
      <c r="I92" s="107">
        <f>INDEX(Q92:U92,,MATCH(I87,Q88:U88,0))</f>
        <v>0</v>
      </c>
      <c r="J92" s="107">
        <f>INDEX(Q92:U92,,MATCH(J87,Q88:U88,0))</f>
        <v>0</v>
      </c>
      <c r="K92" s="107">
        <f>INDEX(Q92:U92,,MATCH(K87,Q88:U88,0))</f>
        <v>0</v>
      </c>
      <c r="L92" s="107">
        <f>INDEX(Q92:U92,,MATCH(L87,Q88:U88,0))</f>
        <v>0</v>
      </c>
      <c r="M92" s="107">
        <f>INDEX(Q92:U92,,MATCH(M87,Q88:U88,0))</f>
        <v>0</v>
      </c>
      <c r="N92" s="107">
        <f>INDEX(Q92:U92,,MATCH(N87,Q88:U88,0))</f>
        <v>0</v>
      </c>
      <c r="O92" s="69"/>
      <c r="P92" s="69"/>
      <c r="Q92" s="13">
        <v>0</v>
      </c>
      <c r="R92" s="13"/>
      <c r="S92" s="13"/>
      <c r="T92" s="13"/>
      <c r="U92" s="13"/>
    </row>
    <row r="93" spans="1:21">
      <c r="A93" s="10"/>
      <c r="B93" s="69"/>
      <c r="C93" s="102"/>
      <c r="D93" s="106" t="str">
        <f>IF(ISBLANK(C93),"",IFERROR(VLOOKUP(C93,param!A$4:B$30,2,FALSE),"Param Not Recognised"))</f>
        <v/>
      </c>
      <c r="E93" s="107">
        <f>INDEX(Q93:U93,,MATCH(E87,Q88:U88,0))</f>
        <v>0</v>
      </c>
      <c r="F93" s="107">
        <f>INDEX(Q93:U93,,MATCH(F87,Q88:U88,0))</f>
        <v>0</v>
      </c>
      <c r="G93" s="107">
        <f>INDEX(Q93:U93,,MATCH(G87,Q88:U88,0))</f>
        <v>0</v>
      </c>
      <c r="H93" s="107">
        <f>INDEX(Q93:U93,,MATCH(H87,Q88:U88,0))</f>
        <v>0</v>
      </c>
      <c r="I93" s="107">
        <f>INDEX(Q93:U93,,MATCH(I87,Q88:U88,0))</f>
        <v>0</v>
      </c>
      <c r="J93" s="107">
        <f>INDEX(Q93:U93,,MATCH(J87,Q88:U88,0))</f>
        <v>0</v>
      </c>
      <c r="K93" s="107">
        <f>INDEX(Q93:U93,,MATCH(K87,Q88:U88,0))</f>
        <v>0</v>
      </c>
      <c r="L93" s="107">
        <f>INDEX(Q93:U93,,MATCH(L87,Q88:U88,0))</f>
        <v>0</v>
      </c>
      <c r="M93" s="107">
        <f>INDEX(Q93:U93,,MATCH(M87,Q88:U88,0))</f>
        <v>0</v>
      </c>
      <c r="N93" s="107">
        <f>INDEX(Q93:U93,,MATCH(N87,Q88:U88,0))</f>
        <v>0</v>
      </c>
      <c r="O93" s="69"/>
      <c r="P93" s="69"/>
      <c r="Q93" s="13">
        <v>0</v>
      </c>
      <c r="R93" s="13"/>
      <c r="S93" s="13"/>
      <c r="T93" s="13"/>
      <c r="U93" s="13"/>
    </row>
    <row r="94" spans="1:21">
      <c r="A94" s="10"/>
      <c r="B94" s="69"/>
      <c r="C94" s="102"/>
      <c r="D94" s="106" t="str">
        <f>IF(ISBLANK(C94),"",IFERROR(VLOOKUP(C94,param!A$4:B$30,2,FALSE),"Param Not Recognised"))</f>
        <v/>
      </c>
      <c r="E94" s="107">
        <f>INDEX(Q94:U94,,MATCH(E87,Q88:U88,0))</f>
        <v>0</v>
      </c>
      <c r="F94" s="107">
        <f>INDEX(Q94:U94,,MATCH(F87,Q88:U88,0))</f>
        <v>0</v>
      </c>
      <c r="G94" s="107">
        <f>INDEX(Q94:U94,,MATCH(G87,Q88:U88,0))</f>
        <v>0</v>
      </c>
      <c r="H94" s="107">
        <f>INDEX(Q94:U94,,MATCH(H87,Q88:U88,0))</f>
        <v>0</v>
      </c>
      <c r="I94" s="107">
        <f>INDEX(Q94:U94,,MATCH(I87,Q88:U88,0))</f>
        <v>0</v>
      </c>
      <c r="J94" s="107">
        <f>INDEX(Q94:U94,,MATCH(J87,Q88:U88,0))</f>
        <v>0</v>
      </c>
      <c r="K94" s="107">
        <f>INDEX(Q94:U94,,MATCH(K87,Q88:U88,0))</f>
        <v>0</v>
      </c>
      <c r="L94" s="107">
        <f>INDEX(Q94:U94,,MATCH(L87,Q88:U88,0))</f>
        <v>0</v>
      </c>
      <c r="M94" s="107">
        <f>INDEX(Q94:U94,,MATCH(M87,Q88:U88,0))</f>
        <v>0</v>
      </c>
      <c r="N94" s="107">
        <f>INDEX(Q94:U94,,MATCH(N87,Q88:U88,0))</f>
        <v>0</v>
      </c>
      <c r="O94" s="69"/>
      <c r="P94" s="69"/>
      <c r="Q94" s="13">
        <v>0</v>
      </c>
      <c r="R94" s="13"/>
      <c r="S94" s="13"/>
      <c r="T94" s="13"/>
      <c r="U94" s="13"/>
    </row>
    <row r="95" spans="1:21">
      <c r="A95" s="10"/>
      <c r="B95" s="69"/>
      <c r="C95" s="102"/>
      <c r="D95" s="106" t="str">
        <f>IF(ISBLANK(C95),"",IFERROR(VLOOKUP(C95,param!A$4:B$30,2,FALSE),"Param Not Recognised"))</f>
        <v/>
      </c>
      <c r="E95" s="107">
        <f>INDEX(Q95:U95,,MATCH(E87,Q88:U88,0))</f>
        <v>0</v>
      </c>
      <c r="F95" s="107">
        <f>INDEX(Q95:U95,,MATCH(F87,Q88:U88,0))</f>
        <v>0</v>
      </c>
      <c r="G95" s="107">
        <f>INDEX(Q95:U95,,MATCH(G87,Q88:U88,0))</f>
        <v>0</v>
      </c>
      <c r="H95" s="107">
        <f>INDEX(Q95:U95,,MATCH(H87,Q88:U88,0))</f>
        <v>0</v>
      </c>
      <c r="I95" s="107">
        <f>INDEX(Q95:U95,,MATCH(I87,Q88:U88,0))</f>
        <v>0</v>
      </c>
      <c r="J95" s="107">
        <f>INDEX(Q95:U95,,MATCH(J87,Q88:U88,0))</f>
        <v>0</v>
      </c>
      <c r="K95" s="107">
        <f>INDEX(Q95:U95,,MATCH(K87,Q88:U88,0))</f>
        <v>0</v>
      </c>
      <c r="L95" s="107">
        <f>INDEX(Q95:U95,,MATCH(L87,Q88:U88,0))</f>
        <v>0</v>
      </c>
      <c r="M95" s="107">
        <f>INDEX(Q95:U95,,MATCH(M87,Q88:U88,0))</f>
        <v>0</v>
      </c>
      <c r="N95" s="107">
        <f>INDEX(Q95:U95,,MATCH(N87,Q88:U88,0))</f>
        <v>0</v>
      </c>
      <c r="O95" s="69"/>
      <c r="P95" s="69"/>
      <c r="Q95" s="13">
        <v>0</v>
      </c>
      <c r="R95" s="13"/>
      <c r="S95" s="13"/>
      <c r="T95" s="13"/>
      <c r="U95" s="13"/>
    </row>
    <row r="96" spans="1:21">
      <c r="A96" s="10"/>
      <c r="B96" s="69"/>
      <c r="C96" s="102"/>
      <c r="D96" s="106" t="str">
        <f>IF(ISBLANK(C96),"",IFERROR(VLOOKUP(C96,param!A$4:B$30,2,FALSE),"Param Not Recognised"))</f>
        <v/>
      </c>
      <c r="E96" s="107">
        <f>INDEX(Q96:U96,,MATCH(E87,Q88:U88,0))</f>
        <v>0</v>
      </c>
      <c r="F96" s="107">
        <f>INDEX(Q96:U96,,MATCH(F87,Q88:U88,0))</f>
        <v>0</v>
      </c>
      <c r="G96" s="107">
        <f>INDEX(Q96:U96,,MATCH(G87,Q88:U88,0))</f>
        <v>0</v>
      </c>
      <c r="H96" s="107">
        <f>INDEX(Q96:U96,,MATCH(H87,Q88:U88,0))</f>
        <v>0</v>
      </c>
      <c r="I96" s="107">
        <f>INDEX(Q96:U96,,MATCH(I87,Q88:U88,0))</f>
        <v>0</v>
      </c>
      <c r="J96" s="107">
        <f>INDEX(Q96:U96,,MATCH(J87,Q88:U88,0))</f>
        <v>0</v>
      </c>
      <c r="K96" s="107">
        <f>INDEX(Q96:U96,,MATCH(K87,Q88:U88,0))</f>
        <v>0</v>
      </c>
      <c r="L96" s="107">
        <f>INDEX(Q96:U96,,MATCH(L87,Q88:U88,0))</f>
        <v>0</v>
      </c>
      <c r="M96" s="107">
        <f>INDEX(Q96:U96,,MATCH(M87,Q88:U88,0))</f>
        <v>0</v>
      </c>
      <c r="N96" s="107">
        <f>INDEX(Q96:U96,,MATCH(N87,Q88:U88,0))</f>
        <v>0</v>
      </c>
      <c r="O96" s="69"/>
      <c r="P96" s="69"/>
      <c r="Q96" s="13">
        <v>0</v>
      </c>
      <c r="R96" s="13"/>
      <c r="S96" s="13"/>
      <c r="T96" s="13"/>
      <c r="U96" s="13"/>
    </row>
    <row r="97" spans="1:21">
      <c r="A97" s="10"/>
      <c r="B97" s="69"/>
      <c r="C97" s="102"/>
      <c r="D97" s="106" t="str">
        <f>IF(ISBLANK(C97),"",IFERROR(VLOOKUP(C97,param!A$4:B$30,2,FALSE),"Param Not Recognised"))</f>
        <v/>
      </c>
      <c r="E97" s="107">
        <f>INDEX(Q97:U97,,MATCH(E87,Q88:U88,0))</f>
        <v>0</v>
      </c>
      <c r="F97" s="107">
        <f>INDEX(Q97:U97,,MATCH(F87,Q88:U88,0))</f>
        <v>0</v>
      </c>
      <c r="G97" s="107">
        <f>INDEX(Q97:U97,,MATCH(G87,Q88:U88,0))</f>
        <v>0</v>
      </c>
      <c r="H97" s="107">
        <f>INDEX(Q97:U97,,MATCH(H87,Q88:U88,0))</f>
        <v>0</v>
      </c>
      <c r="I97" s="107">
        <f>INDEX(Q97:U97,,MATCH(I87,Q88:U88,0))</f>
        <v>0</v>
      </c>
      <c r="J97" s="107">
        <f>INDEX(Q97:U97,,MATCH(J87,Q88:U88,0))</f>
        <v>0</v>
      </c>
      <c r="K97" s="107">
        <f>INDEX(Q97:U97,,MATCH(K87,Q88:U88,0))</f>
        <v>0</v>
      </c>
      <c r="L97" s="107">
        <f>INDEX(Q97:U97,,MATCH(L87,Q88:U88,0))</f>
        <v>0</v>
      </c>
      <c r="M97" s="107">
        <f>INDEX(Q97:U97,,MATCH(M87,Q88:U88,0))</f>
        <v>0</v>
      </c>
      <c r="N97" s="107">
        <f>INDEX(Q97:U97,,MATCH(N87,Q88:U88,0))</f>
        <v>0</v>
      </c>
      <c r="O97" s="69"/>
      <c r="P97" s="69"/>
      <c r="Q97" s="13">
        <v>0</v>
      </c>
      <c r="R97" s="13"/>
      <c r="S97" s="13"/>
      <c r="T97" s="13"/>
      <c r="U97" s="13"/>
    </row>
    <row r="98" spans="1:21">
      <c r="A98" s="10"/>
      <c r="B98" s="69"/>
      <c r="C98" s="102"/>
      <c r="D98" s="106" t="str">
        <f>IF(ISBLANK(C98),"",IFERROR(VLOOKUP(C98,param!A$4:B$30,2,FALSE),"Param Not Recognised"))</f>
        <v/>
      </c>
      <c r="E98" s="107">
        <f>INDEX(Q98:U98,,MATCH(E87,Q88:U88,0))</f>
        <v>0</v>
      </c>
      <c r="F98" s="107">
        <f>INDEX(Q98:U98,,MATCH(F87,Q88:U88,0))</f>
        <v>0</v>
      </c>
      <c r="G98" s="107">
        <f>INDEX(Q98:U98,,MATCH(G87,Q88:U88,0))</f>
        <v>0</v>
      </c>
      <c r="H98" s="107">
        <f>INDEX(Q98:U98,,MATCH(H87,Q88:U88,0))</f>
        <v>0</v>
      </c>
      <c r="I98" s="107">
        <f>INDEX(Q98:U98,,MATCH(I87,Q88:U88,0))</f>
        <v>0</v>
      </c>
      <c r="J98" s="107">
        <f>INDEX(Q98:U98,,MATCH(J87,Q88:U88,0))</f>
        <v>0</v>
      </c>
      <c r="K98" s="107">
        <f>INDEX(Q98:U98,,MATCH(K87,Q88:U88,0))</f>
        <v>0</v>
      </c>
      <c r="L98" s="107">
        <f>INDEX(Q98:U98,,MATCH(L87,Q88:U88,0))</f>
        <v>0</v>
      </c>
      <c r="M98" s="107">
        <f>INDEX(Q98:U98,,MATCH(M87,Q88:U88,0))</f>
        <v>0</v>
      </c>
      <c r="N98" s="107">
        <f>INDEX(Q98:U98,,MATCH(N87,Q88:U88,0))</f>
        <v>0</v>
      </c>
      <c r="O98" s="69"/>
      <c r="P98" s="69"/>
      <c r="Q98" s="13">
        <v>0</v>
      </c>
      <c r="R98" s="13"/>
      <c r="S98" s="13"/>
      <c r="T98" s="13"/>
      <c r="U98" s="13"/>
    </row>
    <row r="99" spans="1:21">
      <c r="A99" s="26"/>
    </row>
    <row r="100" spans="1:21">
      <c r="A100" s="110">
        <v>8</v>
      </c>
      <c r="B100" s="74" t="str">
        <f>Wobbler!D32</f>
        <v>Employee Experience Disruption</v>
      </c>
      <c r="C100" s="68" t="s">
        <v>300</v>
      </c>
      <c r="D100" s="68"/>
      <c r="E100" s="70">
        <f t="shared" ref="E100:N100" si="7">decWobbler8</f>
        <v>0</v>
      </c>
      <c r="F100" s="70">
        <f t="shared" si="7"/>
        <v>0</v>
      </c>
      <c r="G100" s="70">
        <f t="shared" si="7"/>
        <v>0</v>
      </c>
      <c r="H100" s="70">
        <f t="shared" si="7"/>
        <v>0</v>
      </c>
      <c r="I100" s="70">
        <f t="shared" si="7"/>
        <v>0</v>
      </c>
      <c r="J100" s="70">
        <f t="shared" si="7"/>
        <v>0</v>
      </c>
      <c r="K100" s="70">
        <f t="shared" si="7"/>
        <v>0</v>
      </c>
      <c r="L100" s="70">
        <f t="shared" si="7"/>
        <v>0</v>
      </c>
      <c r="M100" s="70">
        <f t="shared" si="7"/>
        <v>0</v>
      </c>
      <c r="N100" s="70">
        <f t="shared" si="7"/>
        <v>0</v>
      </c>
      <c r="O100" s="15"/>
      <c r="P100" s="15"/>
      <c r="Q100" s="68"/>
      <c r="R100" s="68"/>
      <c r="S100" s="68"/>
      <c r="T100" s="68"/>
      <c r="U100" s="68"/>
    </row>
    <row r="101" spans="1:21">
      <c r="A101" s="10"/>
      <c r="B101" s="69"/>
      <c r="C101" s="69" t="s">
        <v>3973</v>
      </c>
      <c r="D101" s="69"/>
      <c r="E101" s="947">
        <v>0.9</v>
      </c>
      <c r="F101" s="947">
        <v>0.9</v>
      </c>
      <c r="G101" s="947">
        <v>0.9</v>
      </c>
      <c r="H101" s="947">
        <v>0.9</v>
      </c>
      <c r="I101" s="947">
        <v>0.9</v>
      </c>
      <c r="J101" s="947">
        <v>0.9</v>
      </c>
      <c r="K101" s="947">
        <v>0.9</v>
      </c>
      <c r="L101" s="947">
        <v>0.9</v>
      </c>
      <c r="M101" s="947">
        <v>0.9</v>
      </c>
      <c r="N101" s="947">
        <v>0.9</v>
      </c>
      <c r="O101" s="69"/>
      <c r="P101" s="69"/>
      <c r="Q101" s="69" t="s">
        <v>677</v>
      </c>
      <c r="R101" s="69" t="s">
        <v>678</v>
      </c>
      <c r="S101" s="69" t="s">
        <v>679</v>
      </c>
      <c r="T101" s="69" t="s">
        <v>680</v>
      </c>
      <c r="U101" s="69">
        <v>0</v>
      </c>
    </row>
    <row r="102" spans="1:21">
      <c r="A102" s="10"/>
      <c r="B102" s="69"/>
      <c r="C102" s="69" t="s">
        <v>3974</v>
      </c>
      <c r="D102" s="69"/>
      <c r="E102" s="947" t="b">
        <f t="shared" ref="E102:N102" si="8">calcExecutionVelocity&gt;E101</f>
        <v>0</v>
      </c>
      <c r="F102" s="947" t="b">
        <f t="shared" si="8"/>
        <v>0</v>
      </c>
      <c r="G102" s="947" t="b">
        <f t="shared" si="8"/>
        <v>0</v>
      </c>
      <c r="H102" s="947" t="b">
        <f t="shared" si="8"/>
        <v>0</v>
      </c>
      <c r="I102" s="947" t="b">
        <f t="shared" si="8"/>
        <v>0</v>
      </c>
      <c r="J102" s="947" t="b">
        <f t="shared" si="8"/>
        <v>0</v>
      </c>
      <c r="K102" s="947" t="b">
        <f t="shared" si="8"/>
        <v>0</v>
      </c>
      <c r="L102" s="947" t="b">
        <f t="shared" si="8"/>
        <v>0</v>
      </c>
      <c r="M102" s="947" t="b">
        <f t="shared" si="8"/>
        <v>0</v>
      </c>
      <c r="N102" s="947" t="b">
        <f t="shared" si="8"/>
        <v>0</v>
      </c>
      <c r="O102" s="69" t="s">
        <v>3975</v>
      </c>
      <c r="P102" s="69"/>
      <c r="Q102" s="69"/>
      <c r="R102" s="69"/>
      <c r="S102" s="69"/>
      <c r="T102" s="69"/>
      <c r="U102" s="69"/>
    </row>
    <row r="103" spans="1:21">
      <c r="A103" s="10"/>
      <c r="B103" s="69"/>
      <c r="C103" s="102" t="s">
        <v>502</v>
      </c>
      <c r="D103" s="106" t="str">
        <f>IF(ISBLANK(C103),"",IFERROR(VLOOKUP(C103,param!A$4:B$30,2,FALSE),"Param Not Recognised"))</f>
        <v>Employee Engagement</v>
      </c>
      <c r="E103" s="107">
        <f t="shared" ref="E103:N112" si="9">IF(E$100=0,0,IF(adjDisruptionThresh,$Q103,$R103))</f>
        <v>0</v>
      </c>
      <c r="F103" s="107">
        <f t="shared" si="9"/>
        <v>0</v>
      </c>
      <c r="G103" s="107">
        <f t="shared" si="9"/>
        <v>0</v>
      </c>
      <c r="H103" s="107">
        <f t="shared" si="9"/>
        <v>0</v>
      </c>
      <c r="I103" s="107">
        <f t="shared" si="9"/>
        <v>0</v>
      </c>
      <c r="J103" s="107">
        <f t="shared" si="9"/>
        <v>0</v>
      </c>
      <c r="K103" s="107">
        <f t="shared" si="9"/>
        <v>0</v>
      </c>
      <c r="L103" s="107">
        <f t="shared" si="9"/>
        <v>0</v>
      </c>
      <c r="M103" s="107">
        <f t="shared" si="9"/>
        <v>0</v>
      </c>
      <c r="N103" s="107">
        <f t="shared" si="9"/>
        <v>0</v>
      </c>
      <c r="O103" s="69"/>
      <c r="P103" s="69"/>
      <c r="Q103" s="13">
        <v>-3</v>
      </c>
      <c r="R103" s="13">
        <v>0</v>
      </c>
      <c r="S103" s="13"/>
      <c r="T103" s="13"/>
      <c r="U103" s="13"/>
    </row>
    <row r="104" spans="1:21">
      <c r="A104" s="10"/>
      <c r="B104" s="69"/>
      <c r="C104" s="102"/>
      <c r="D104" s="106" t="str">
        <f>IF(ISBLANK(C104),"",IFERROR(VLOOKUP(C104,param!A$4:B$30,2,FALSE),"Param Not Recognised"))</f>
        <v/>
      </c>
      <c r="E104" s="107">
        <f t="shared" si="9"/>
        <v>0</v>
      </c>
      <c r="F104" s="107">
        <f t="shared" si="9"/>
        <v>0</v>
      </c>
      <c r="G104" s="107">
        <f t="shared" si="9"/>
        <v>0</v>
      </c>
      <c r="H104" s="107">
        <f t="shared" si="9"/>
        <v>0</v>
      </c>
      <c r="I104" s="107">
        <f t="shared" si="9"/>
        <v>0</v>
      </c>
      <c r="J104" s="107">
        <f t="shared" si="9"/>
        <v>0</v>
      </c>
      <c r="K104" s="107">
        <f t="shared" si="9"/>
        <v>0</v>
      </c>
      <c r="L104" s="107">
        <f t="shared" si="9"/>
        <v>0</v>
      </c>
      <c r="M104" s="107">
        <f t="shared" si="9"/>
        <v>0</v>
      </c>
      <c r="N104" s="107">
        <f t="shared" si="9"/>
        <v>0</v>
      </c>
      <c r="O104" s="69"/>
      <c r="P104" s="69"/>
      <c r="Q104" s="13">
        <v>0</v>
      </c>
      <c r="R104" s="13">
        <v>0</v>
      </c>
      <c r="S104" s="13">
        <v>0</v>
      </c>
      <c r="T104" s="13">
        <v>0</v>
      </c>
      <c r="U104" s="13">
        <v>0</v>
      </c>
    </row>
    <row r="105" spans="1:21">
      <c r="A105" s="10"/>
      <c r="B105" s="69"/>
      <c r="C105" s="102"/>
      <c r="D105" s="106" t="str">
        <f>IF(ISBLANK(C105),"",IFERROR(VLOOKUP(C105,param!A$4:B$30,2,FALSE),"Param Not Recognised"))</f>
        <v/>
      </c>
      <c r="E105" s="107">
        <f t="shared" si="9"/>
        <v>0</v>
      </c>
      <c r="F105" s="107">
        <f t="shared" si="9"/>
        <v>0</v>
      </c>
      <c r="G105" s="107">
        <f t="shared" si="9"/>
        <v>0</v>
      </c>
      <c r="H105" s="107">
        <f t="shared" si="9"/>
        <v>0</v>
      </c>
      <c r="I105" s="107">
        <f t="shared" si="9"/>
        <v>0</v>
      </c>
      <c r="J105" s="107">
        <f t="shared" si="9"/>
        <v>0</v>
      </c>
      <c r="K105" s="107">
        <f t="shared" si="9"/>
        <v>0</v>
      </c>
      <c r="L105" s="107">
        <f t="shared" si="9"/>
        <v>0</v>
      </c>
      <c r="M105" s="107">
        <f t="shared" si="9"/>
        <v>0</v>
      </c>
      <c r="N105" s="107">
        <f t="shared" si="9"/>
        <v>0</v>
      </c>
      <c r="O105" s="69"/>
      <c r="P105" s="69"/>
      <c r="Q105" s="13">
        <v>0</v>
      </c>
      <c r="R105" s="13"/>
      <c r="S105" s="13"/>
      <c r="T105" s="13"/>
      <c r="U105" s="13"/>
    </row>
    <row r="106" spans="1:21">
      <c r="A106" s="10"/>
      <c r="B106" s="69"/>
      <c r="C106" s="102"/>
      <c r="D106" s="106" t="str">
        <f>IF(ISBLANK(C106),"",IFERROR(VLOOKUP(C106,param!A$4:B$30,2,FALSE),"Param Not Recognised"))</f>
        <v/>
      </c>
      <c r="E106" s="107">
        <f t="shared" si="9"/>
        <v>0</v>
      </c>
      <c r="F106" s="107">
        <f t="shared" si="9"/>
        <v>0</v>
      </c>
      <c r="G106" s="107">
        <f t="shared" si="9"/>
        <v>0</v>
      </c>
      <c r="H106" s="107">
        <f t="shared" si="9"/>
        <v>0</v>
      </c>
      <c r="I106" s="107">
        <f t="shared" si="9"/>
        <v>0</v>
      </c>
      <c r="J106" s="107">
        <f t="shared" si="9"/>
        <v>0</v>
      </c>
      <c r="K106" s="107">
        <f t="shared" si="9"/>
        <v>0</v>
      </c>
      <c r="L106" s="107">
        <f t="shared" si="9"/>
        <v>0</v>
      </c>
      <c r="M106" s="107">
        <f t="shared" si="9"/>
        <v>0</v>
      </c>
      <c r="N106" s="107">
        <f t="shared" si="9"/>
        <v>0</v>
      </c>
      <c r="O106" s="69"/>
      <c r="P106" s="69"/>
      <c r="Q106" s="13">
        <v>0</v>
      </c>
      <c r="R106" s="13"/>
      <c r="S106" s="13"/>
      <c r="T106" s="13"/>
      <c r="U106" s="13"/>
    </row>
    <row r="107" spans="1:21">
      <c r="A107" s="10"/>
      <c r="B107" s="69"/>
      <c r="C107" s="102"/>
      <c r="D107" s="106" t="str">
        <f>IF(ISBLANK(C107),"",IFERROR(VLOOKUP(C107,param!A$4:B$30,2,FALSE),"Param Not Recognised"))</f>
        <v/>
      </c>
      <c r="E107" s="107">
        <f t="shared" si="9"/>
        <v>0</v>
      </c>
      <c r="F107" s="107">
        <f t="shared" si="9"/>
        <v>0</v>
      </c>
      <c r="G107" s="107">
        <f t="shared" si="9"/>
        <v>0</v>
      </c>
      <c r="H107" s="107">
        <f t="shared" si="9"/>
        <v>0</v>
      </c>
      <c r="I107" s="107">
        <f t="shared" si="9"/>
        <v>0</v>
      </c>
      <c r="J107" s="107">
        <f t="shared" si="9"/>
        <v>0</v>
      </c>
      <c r="K107" s="107">
        <f t="shared" si="9"/>
        <v>0</v>
      </c>
      <c r="L107" s="107">
        <f t="shared" si="9"/>
        <v>0</v>
      </c>
      <c r="M107" s="107">
        <f t="shared" si="9"/>
        <v>0</v>
      </c>
      <c r="N107" s="107">
        <f t="shared" si="9"/>
        <v>0</v>
      </c>
      <c r="O107" s="69"/>
      <c r="P107" s="69"/>
      <c r="Q107" s="13">
        <v>0</v>
      </c>
      <c r="R107" s="13"/>
      <c r="S107" s="13"/>
      <c r="T107" s="13"/>
      <c r="U107" s="13"/>
    </row>
    <row r="108" spans="1:21">
      <c r="A108" s="10"/>
      <c r="B108" s="69"/>
      <c r="C108" s="102"/>
      <c r="D108" s="106" t="str">
        <f>IF(ISBLANK(C108),"",IFERROR(VLOOKUP(C108,param!A$4:B$30,2,FALSE),"Param Not Recognised"))</f>
        <v/>
      </c>
      <c r="E108" s="107">
        <f t="shared" si="9"/>
        <v>0</v>
      </c>
      <c r="F108" s="107">
        <f t="shared" si="9"/>
        <v>0</v>
      </c>
      <c r="G108" s="107">
        <f t="shared" si="9"/>
        <v>0</v>
      </c>
      <c r="H108" s="107">
        <f t="shared" si="9"/>
        <v>0</v>
      </c>
      <c r="I108" s="107">
        <f t="shared" si="9"/>
        <v>0</v>
      </c>
      <c r="J108" s="107">
        <f t="shared" si="9"/>
        <v>0</v>
      </c>
      <c r="K108" s="107">
        <f t="shared" si="9"/>
        <v>0</v>
      </c>
      <c r="L108" s="107">
        <f t="shared" si="9"/>
        <v>0</v>
      </c>
      <c r="M108" s="107">
        <f t="shared" si="9"/>
        <v>0</v>
      </c>
      <c r="N108" s="107">
        <f t="shared" si="9"/>
        <v>0</v>
      </c>
      <c r="O108" s="69"/>
      <c r="P108" s="69"/>
      <c r="Q108" s="13">
        <v>0</v>
      </c>
      <c r="R108" s="13"/>
      <c r="S108" s="13"/>
      <c r="T108" s="13"/>
      <c r="U108" s="13"/>
    </row>
    <row r="109" spans="1:21">
      <c r="A109" s="10"/>
      <c r="B109" s="69"/>
      <c r="C109" s="102"/>
      <c r="D109" s="106" t="str">
        <f>IF(ISBLANK(C109),"",IFERROR(VLOOKUP(C109,param!A$4:B$30,2,FALSE),"Param Not Recognised"))</f>
        <v/>
      </c>
      <c r="E109" s="107">
        <f t="shared" si="9"/>
        <v>0</v>
      </c>
      <c r="F109" s="107">
        <f t="shared" si="9"/>
        <v>0</v>
      </c>
      <c r="G109" s="107">
        <f t="shared" si="9"/>
        <v>0</v>
      </c>
      <c r="H109" s="107">
        <f t="shared" si="9"/>
        <v>0</v>
      </c>
      <c r="I109" s="107">
        <f t="shared" si="9"/>
        <v>0</v>
      </c>
      <c r="J109" s="107">
        <f t="shared" si="9"/>
        <v>0</v>
      </c>
      <c r="K109" s="107">
        <f t="shared" si="9"/>
        <v>0</v>
      </c>
      <c r="L109" s="107">
        <f t="shared" si="9"/>
        <v>0</v>
      </c>
      <c r="M109" s="107">
        <f t="shared" si="9"/>
        <v>0</v>
      </c>
      <c r="N109" s="107">
        <f t="shared" si="9"/>
        <v>0</v>
      </c>
      <c r="O109" s="69"/>
      <c r="P109" s="69"/>
      <c r="Q109" s="13">
        <v>0</v>
      </c>
      <c r="R109" s="13"/>
      <c r="S109" s="13"/>
      <c r="T109" s="13"/>
      <c r="U109" s="13"/>
    </row>
    <row r="110" spans="1:21">
      <c r="A110" s="10"/>
      <c r="B110" s="69"/>
      <c r="C110" s="102"/>
      <c r="D110" s="106" t="str">
        <f>IF(ISBLANK(C110),"",IFERROR(VLOOKUP(C110,param!A$4:B$30,2,FALSE),"Param Not Recognised"))</f>
        <v/>
      </c>
      <c r="E110" s="107">
        <f t="shared" si="9"/>
        <v>0</v>
      </c>
      <c r="F110" s="107">
        <f t="shared" si="9"/>
        <v>0</v>
      </c>
      <c r="G110" s="107">
        <f t="shared" si="9"/>
        <v>0</v>
      </c>
      <c r="H110" s="107">
        <f t="shared" si="9"/>
        <v>0</v>
      </c>
      <c r="I110" s="107">
        <f t="shared" si="9"/>
        <v>0</v>
      </c>
      <c r="J110" s="107">
        <f t="shared" si="9"/>
        <v>0</v>
      </c>
      <c r="K110" s="107">
        <f t="shared" si="9"/>
        <v>0</v>
      </c>
      <c r="L110" s="107">
        <f t="shared" si="9"/>
        <v>0</v>
      </c>
      <c r="M110" s="107">
        <f t="shared" si="9"/>
        <v>0</v>
      </c>
      <c r="N110" s="107">
        <f t="shared" si="9"/>
        <v>0</v>
      </c>
      <c r="O110" s="69"/>
      <c r="P110" s="69"/>
      <c r="Q110" s="13">
        <v>0</v>
      </c>
      <c r="R110" s="13"/>
      <c r="S110" s="13"/>
      <c r="T110" s="13"/>
      <c r="U110" s="13"/>
    </row>
    <row r="111" spans="1:21">
      <c r="A111" s="10"/>
      <c r="B111" s="69"/>
      <c r="C111" s="102"/>
      <c r="D111" s="106" t="str">
        <f>IF(ISBLANK(C111),"",IFERROR(VLOOKUP(C111,param!A$4:B$30,2,FALSE),"Param Not Recognised"))</f>
        <v/>
      </c>
      <c r="E111" s="107">
        <f t="shared" si="9"/>
        <v>0</v>
      </c>
      <c r="F111" s="107">
        <f t="shared" si="9"/>
        <v>0</v>
      </c>
      <c r="G111" s="107">
        <f t="shared" si="9"/>
        <v>0</v>
      </c>
      <c r="H111" s="107">
        <f t="shared" si="9"/>
        <v>0</v>
      </c>
      <c r="I111" s="107">
        <f t="shared" si="9"/>
        <v>0</v>
      </c>
      <c r="J111" s="107">
        <f t="shared" si="9"/>
        <v>0</v>
      </c>
      <c r="K111" s="107">
        <f t="shared" si="9"/>
        <v>0</v>
      </c>
      <c r="L111" s="107">
        <f t="shared" si="9"/>
        <v>0</v>
      </c>
      <c r="M111" s="107">
        <f t="shared" si="9"/>
        <v>0</v>
      </c>
      <c r="N111" s="107">
        <f t="shared" si="9"/>
        <v>0</v>
      </c>
      <c r="O111" s="69"/>
      <c r="P111" s="69"/>
      <c r="Q111" s="13">
        <v>0</v>
      </c>
      <c r="R111" s="13"/>
      <c r="S111" s="13"/>
      <c r="T111" s="13"/>
      <c r="U111" s="13"/>
    </row>
    <row r="112" spans="1:21">
      <c r="A112" s="10"/>
      <c r="B112" s="69"/>
      <c r="C112" s="102"/>
      <c r="D112" s="106" t="str">
        <f>IF(ISBLANK(C112),"",IFERROR(VLOOKUP(C112,param!A$4:B$30,2,FALSE),"Param Not Recognised"))</f>
        <v/>
      </c>
      <c r="E112" s="107">
        <f t="shared" si="9"/>
        <v>0</v>
      </c>
      <c r="F112" s="107">
        <f t="shared" si="9"/>
        <v>0</v>
      </c>
      <c r="G112" s="107">
        <f t="shared" si="9"/>
        <v>0</v>
      </c>
      <c r="H112" s="107">
        <f t="shared" si="9"/>
        <v>0</v>
      </c>
      <c r="I112" s="107">
        <f t="shared" si="9"/>
        <v>0</v>
      </c>
      <c r="J112" s="107">
        <f t="shared" si="9"/>
        <v>0</v>
      </c>
      <c r="K112" s="107">
        <f t="shared" si="9"/>
        <v>0</v>
      </c>
      <c r="L112" s="107">
        <f t="shared" si="9"/>
        <v>0</v>
      </c>
      <c r="M112" s="107">
        <f t="shared" si="9"/>
        <v>0</v>
      </c>
      <c r="N112" s="107">
        <f t="shared" si="9"/>
        <v>0</v>
      </c>
      <c r="O112" s="69"/>
      <c r="P112" s="69"/>
      <c r="Q112" s="13">
        <v>0</v>
      </c>
      <c r="R112" s="13"/>
      <c r="S112" s="13"/>
      <c r="T112" s="13"/>
      <c r="U112" s="13"/>
    </row>
    <row r="113" spans="1:1">
      <c r="A113" s="26"/>
    </row>
  </sheetData>
  <conditionalFormatting sqref="F102">
    <cfRule type="expression" dxfId="9" priority="10">
      <formula>F$102=TRUE</formula>
    </cfRule>
  </conditionalFormatting>
  <conditionalFormatting sqref="G102">
    <cfRule type="expression" dxfId="8" priority="9">
      <formula>G$102=TRUE</formula>
    </cfRule>
  </conditionalFormatting>
  <conditionalFormatting sqref="H102">
    <cfRule type="expression" dxfId="7" priority="8">
      <formula>H$102=TRUE</formula>
    </cfRule>
  </conditionalFormatting>
  <conditionalFormatting sqref="I102">
    <cfRule type="expression" dxfId="6" priority="7">
      <formula>I$102=TRUE</formula>
    </cfRule>
  </conditionalFormatting>
  <conditionalFormatting sqref="J102">
    <cfRule type="expression" dxfId="5" priority="6">
      <formula>J$102=TRUE</formula>
    </cfRule>
  </conditionalFormatting>
  <conditionalFormatting sqref="K102">
    <cfRule type="expression" dxfId="4" priority="5">
      <formula>K$102=TRUE</formula>
    </cfRule>
  </conditionalFormatting>
  <conditionalFormatting sqref="L102">
    <cfRule type="expression" dxfId="3" priority="4">
      <formula>L$102=TRUE</formula>
    </cfRule>
  </conditionalFormatting>
  <conditionalFormatting sqref="M102">
    <cfRule type="expression" dxfId="2" priority="3">
      <formula>M$102=TRUE</formula>
    </cfRule>
  </conditionalFormatting>
  <conditionalFormatting sqref="N102">
    <cfRule type="expression" dxfId="1" priority="2">
      <formula>N$102=TRUE</formula>
    </cfRule>
  </conditionalFormatting>
  <conditionalFormatting sqref="E102">
    <cfRule type="expression" dxfId="0" priority="1">
      <formula>E$102=TRUE</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X1912"/>
  <sheetViews>
    <sheetView topLeftCell="A784" workbookViewId="0">
      <selection activeCell="B788" sqref="B788"/>
    </sheetView>
  </sheetViews>
  <sheetFormatPr defaultColWidth="8.81640625" defaultRowHeight="13.8"/>
  <cols>
    <col min="1" max="1" width="4.7265625" style="69" customWidth="1"/>
    <col min="2" max="2" width="13.08984375" style="69" customWidth="1"/>
    <col min="3" max="3" width="4.7265625" style="69" customWidth="1"/>
    <col min="4" max="4" width="34.1796875" style="69" customWidth="1"/>
    <col min="5" max="14" width="18.08984375" style="69" customWidth="1"/>
    <col min="15" max="15" width="8.81640625" style="69"/>
    <col min="16" max="16" width="10.90625" style="69" bestFit="1" customWidth="1"/>
    <col min="17" max="17" width="11.26953125" style="69" bestFit="1" customWidth="1"/>
    <col min="18" max="16384" width="8.81640625" style="69"/>
  </cols>
  <sheetData>
    <row r="1" spans="1:18" s="68" customFormat="1">
      <c r="A1" s="68" t="s">
        <v>142</v>
      </c>
    </row>
    <row r="3" spans="1:18" s="108" customFormat="1">
      <c r="A3" s="108" t="s">
        <v>233</v>
      </c>
      <c r="E3" s="108" t="str">
        <f t="shared" ref="E3:N3" si="0">decTeamName</f>
        <v>Snowflake</v>
      </c>
      <c r="F3" s="108" t="str">
        <f t="shared" si="0"/>
        <v>Snowflake</v>
      </c>
      <c r="G3" s="108" t="str">
        <f t="shared" si="0"/>
        <v>Snowflake</v>
      </c>
      <c r="H3" s="108" t="str">
        <f t="shared" si="0"/>
        <v>Snowflake</v>
      </c>
      <c r="I3" s="108" t="str">
        <f t="shared" si="0"/>
        <v>Snowflake</v>
      </c>
      <c r="J3" s="108" t="str">
        <f t="shared" si="0"/>
        <v>Snowflake</v>
      </c>
      <c r="K3" s="108" t="str">
        <f t="shared" si="0"/>
        <v>Snowflake</v>
      </c>
      <c r="L3" s="108" t="str">
        <f t="shared" si="0"/>
        <v>Snowflake</v>
      </c>
      <c r="M3" s="108" t="str">
        <f t="shared" si="0"/>
        <v>Snowflake</v>
      </c>
      <c r="N3" s="108" t="str">
        <f t="shared" si="0"/>
        <v>Snowflake</v>
      </c>
    </row>
    <row r="5" spans="1:18" s="515" customFormat="1">
      <c r="A5" s="514" t="s">
        <v>488</v>
      </c>
    </row>
    <row r="6" spans="1:18">
      <c r="C6" s="217" t="s">
        <v>470</v>
      </c>
    </row>
    <row r="7" spans="1:18">
      <c r="D7" s="69" t="s">
        <v>486</v>
      </c>
      <c r="E7" s="504">
        <f t="shared" ref="E7:N7" si="1">obalESAT</f>
        <v>50</v>
      </c>
      <c r="F7" s="504">
        <f t="shared" si="1"/>
        <v>50</v>
      </c>
      <c r="G7" s="504">
        <f t="shared" si="1"/>
        <v>50</v>
      </c>
      <c r="H7" s="504">
        <f t="shared" si="1"/>
        <v>50</v>
      </c>
      <c r="I7" s="504">
        <f t="shared" si="1"/>
        <v>50</v>
      </c>
      <c r="J7" s="504">
        <f t="shared" si="1"/>
        <v>50</v>
      </c>
      <c r="K7" s="504">
        <f t="shared" si="1"/>
        <v>50</v>
      </c>
      <c r="L7" s="504">
        <f t="shared" si="1"/>
        <v>50</v>
      </c>
      <c r="M7" s="504">
        <f t="shared" si="1"/>
        <v>50</v>
      </c>
      <c r="N7" s="504">
        <f t="shared" si="1"/>
        <v>50</v>
      </c>
    </row>
    <row r="8" spans="1:18">
      <c r="D8" s="69" t="s">
        <v>1116</v>
      </c>
      <c r="E8" s="504">
        <f>INDEX(datatblKeyHarmProp,MATCH(decPeopleHarmonizationLevel,Data!$C$184:$C$191,0),2)*(1-calcDelayImpactHarm)</f>
        <v>0</v>
      </c>
      <c r="F8" s="504">
        <f>INDEX(datatblKeyHarmProp,MATCH(decPeopleHarmonizationLevel,Data!$C$184:$C$191,0),2)*(1-calcDelayImpactHarm)</f>
        <v>0</v>
      </c>
      <c r="G8" s="504">
        <f>INDEX(datatblKeyHarmProp,MATCH(decPeopleHarmonizationLevel,Data!$C$184:$C$191,0),2)*(1-calcDelayImpactHarm)</f>
        <v>0</v>
      </c>
      <c r="H8" s="504">
        <f>INDEX(datatblKeyHarmProp,MATCH(decPeopleHarmonizationLevel,Data!$C$184:$C$191,0),2)*(1-calcDelayImpactHarm)</f>
        <v>0</v>
      </c>
      <c r="I8" s="504">
        <f>INDEX(datatblKeyHarmProp,MATCH(decPeopleHarmonizationLevel,Data!$C$184:$C$191,0),2)*(1-calcDelayImpactHarm)</f>
        <v>0</v>
      </c>
      <c r="J8" s="504">
        <f>INDEX(datatblKeyHarmProp,MATCH(decPeopleHarmonizationLevel,Data!$C$184:$C$191,0),2)*(1-calcDelayImpactHarm)</f>
        <v>0</v>
      </c>
      <c r="K8" s="504">
        <f>INDEX(datatblKeyHarmProp,MATCH(decPeopleHarmonizationLevel,Data!$C$184:$C$191,0),2)*(1-calcDelayImpactHarm)</f>
        <v>0</v>
      </c>
      <c r="L8" s="504">
        <f>INDEX(datatblKeyHarmProp,MATCH(decPeopleHarmonizationLevel,Data!$C$184:$C$191,0),2)*(1-calcDelayImpactHarm)</f>
        <v>0</v>
      </c>
      <c r="M8" s="504">
        <f>INDEX(datatblKeyHarmProp,MATCH(decPeopleHarmonizationLevel,Data!$C$184:$C$191,0),2)*(1-calcDelayImpactHarm)</f>
        <v>0</v>
      </c>
      <c r="N8" s="504">
        <f>INDEX(datatblKeyHarmProp,MATCH(decPeopleHarmonizationLevel,Data!$C$184:$C$191,0),2)*(1-calcDelayImpactHarm)</f>
        <v>0</v>
      </c>
      <c r="O8" s="69" t="s">
        <v>2014</v>
      </c>
    </row>
    <row r="9" spans="1:18">
      <c r="D9" s="69" t="s">
        <v>1116</v>
      </c>
      <c r="E9" s="504">
        <f>INDEX(datatblNonKeyHarmProp,MATCH(decPeopleNonKeyHarmonizationLevel,Data!$C$194:$C$201),2)</f>
        <v>0</v>
      </c>
      <c r="F9" s="504">
        <f>INDEX(datatblNonKeyHarmProp,MATCH(decPeopleNonKeyHarmonizationLevel,Data!$C$194:$C$201),2)</f>
        <v>0</v>
      </c>
      <c r="G9" s="504">
        <f>INDEX(datatblNonKeyHarmProp,MATCH(decPeopleNonKeyHarmonizationLevel,Data!$C$194:$C$201),2)</f>
        <v>0</v>
      </c>
      <c r="H9" s="504">
        <f>INDEX(datatblNonKeyHarmProp,MATCH(decPeopleNonKeyHarmonizationLevel,Data!$C$194:$C$201),2)</f>
        <v>0</v>
      </c>
      <c r="I9" s="504">
        <f>INDEX(datatblNonKeyHarmProp,MATCH(decPeopleNonKeyHarmonizationLevel,Data!$C$194:$C$201),2)</f>
        <v>0</v>
      </c>
      <c r="J9" s="504">
        <f>INDEX(datatblNonKeyHarmProp,MATCH(decPeopleNonKeyHarmonizationLevel,Data!$C$194:$C$201),2)</f>
        <v>0</v>
      </c>
      <c r="K9" s="504">
        <f>INDEX(datatblNonKeyHarmProp,MATCH(decPeopleNonKeyHarmonizationLevel,Data!$C$194:$C$201),2)</f>
        <v>0</v>
      </c>
      <c r="L9" s="504">
        <f>INDEX(datatblNonKeyHarmProp,MATCH(decPeopleNonKeyHarmonizationLevel,Data!$C$194:$C$201),2)</f>
        <v>0</v>
      </c>
      <c r="M9" s="504">
        <f>INDEX(datatblNonKeyHarmProp,MATCH(decPeopleNonKeyHarmonizationLevel,Data!$C$194:$C$201),2)</f>
        <v>0</v>
      </c>
      <c r="N9" s="504">
        <f>INDEX(datatblNonKeyHarmProp,MATCH(decPeopleNonKeyHarmonizationLevel,Data!$C$194:$C$201),2)</f>
        <v>0</v>
      </c>
      <c r="O9" s="69" t="s">
        <v>2015</v>
      </c>
    </row>
    <row r="10" spans="1:18">
      <c r="D10" s="69" t="s">
        <v>408</v>
      </c>
      <c r="E10" s="512">
        <f>E29</f>
        <v>0</v>
      </c>
      <c r="F10" s="512">
        <f t="shared" ref="F10:I10" si="2">F29</f>
        <v>0</v>
      </c>
      <c r="G10" s="512">
        <f t="shared" si="2"/>
        <v>0</v>
      </c>
      <c r="H10" s="512">
        <f t="shared" si="2"/>
        <v>0</v>
      </c>
      <c r="I10" s="512">
        <f t="shared" si="2"/>
        <v>0</v>
      </c>
      <c r="J10" s="512">
        <f t="shared" ref="J10:N10" si="3">J29</f>
        <v>0</v>
      </c>
      <c r="K10" s="512">
        <f t="shared" si="3"/>
        <v>0</v>
      </c>
      <c r="L10" s="512">
        <f t="shared" si="3"/>
        <v>0</v>
      </c>
      <c r="M10" s="512">
        <f t="shared" si="3"/>
        <v>0</v>
      </c>
      <c r="N10" s="512">
        <f t="shared" si="3"/>
        <v>0</v>
      </c>
      <c r="O10" s="69" t="s">
        <v>2158</v>
      </c>
    </row>
    <row r="11" spans="1:18">
      <c r="D11" s="69" t="s">
        <v>408</v>
      </c>
      <c r="E11" s="512">
        <f>E30</f>
        <v>0</v>
      </c>
      <c r="F11" s="512">
        <f t="shared" ref="F11:I11" si="4">F30</f>
        <v>0</v>
      </c>
      <c r="G11" s="512">
        <f t="shared" si="4"/>
        <v>0</v>
      </c>
      <c r="H11" s="512">
        <f t="shared" si="4"/>
        <v>0</v>
      </c>
      <c r="I11" s="512">
        <f t="shared" si="4"/>
        <v>0</v>
      </c>
      <c r="J11" s="512">
        <f t="shared" ref="J11:N11" si="5">J30</f>
        <v>0</v>
      </c>
      <c r="K11" s="512">
        <f t="shared" si="5"/>
        <v>0</v>
      </c>
      <c r="L11" s="512">
        <f t="shared" si="5"/>
        <v>0</v>
      </c>
      <c r="M11" s="512">
        <f t="shared" si="5"/>
        <v>0</v>
      </c>
      <c r="N11" s="512">
        <f t="shared" si="5"/>
        <v>0</v>
      </c>
      <c r="O11" s="69" t="s">
        <v>2159</v>
      </c>
    </row>
    <row r="12" spans="1:18">
      <c r="D12" s="69" t="s">
        <v>1648</v>
      </c>
      <c r="E12" s="512">
        <f t="shared" ref="E12:N12" si="6">INDEX(datatblEmpIntegrationLevelImpact,decITIntegrationLevel+1,1)*(1-calcDelayImpactBackOffice)</f>
        <v>0</v>
      </c>
      <c r="F12" s="512">
        <f t="shared" si="6"/>
        <v>0</v>
      </c>
      <c r="G12" s="512">
        <f t="shared" si="6"/>
        <v>0</v>
      </c>
      <c r="H12" s="512">
        <f t="shared" si="6"/>
        <v>0</v>
      </c>
      <c r="I12" s="512">
        <f t="shared" si="6"/>
        <v>0</v>
      </c>
      <c r="J12" s="512">
        <f t="shared" si="6"/>
        <v>0</v>
      </c>
      <c r="K12" s="512">
        <f t="shared" si="6"/>
        <v>0</v>
      </c>
      <c r="L12" s="512">
        <f t="shared" si="6"/>
        <v>0</v>
      </c>
      <c r="M12" s="512">
        <f t="shared" si="6"/>
        <v>0</v>
      </c>
      <c r="N12" s="512">
        <f t="shared" si="6"/>
        <v>0</v>
      </c>
      <c r="O12" s="69" t="s">
        <v>2016</v>
      </c>
    </row>
    <row r="13" spans="1:18">
      <c r="D13" s="69" t="s">
        <v>3051</v>
      </c>
      <c r="E13" s="512">
        <f>INDEX(datatblBackOfficeTimeline,MATCH(decITTimeline,Data!$C$176:$C$181,0),2)</f>
        <v>0</v>
      </c>
      <c r="F13" s="512">
        <f>INDEX(datatblBackOfficeTimeline,MATCH(decITTimeline,Data!$C$176:$C$181,0),2)</f>
        <v>0</v>
      </c>
      <c r="G13" s="512">
        <f>INDEX(datatblBackOfficeTimeline,MATCH(decITTimeline,Data!$C$176:$C$181,0),2)</f>
        <v>0</v>
      </c>
      <c r="H13" s="512">
        <f>INDEX(datatblBackOfficeTimeline,MATCH(decITTimeline,Data!$C$176:$C$181,0),2)</f>
        <v>0</v>
      </c>
      <c r="I13" s="512">
        <f>INDEX(datatblBackOfficeTimeline,MATCH(decITTimeline,Data!$C$176:$C$181,0),2)</f>
        <v>0</v>
      </c>
      <c r="J13" s="512">
        <f>INDEX(datatblBackOfficeTimeline,MATCH(decITTimeline,Data!$C$176:$C$181,0),2)</f>
        <v>0</v>
      </c>
      <c r="K13" s="512">
        <f>INDEX(datatblBackOfficeTimeline,MATCH(decITTimeline,Data!$C$176:$C$181,0),2)</f>
        <v>0</v>
      </c>
      <c r="L13" s="512">
        <f>INDEX(datatblBackOfficeTimeline,MATCH(decITTimeline,Data!$C$176:$C$181,0),2)</f>
        <v>0</v>
      </c>
      <c r="M13" s="512">
        <f>INDEX(datatblBackOfficeTimeline,MATCH(decITTimeline,Data!$C$176:$C$181,0),2)</f>
        <v>0</v>
      </c>
      <c r="N13" s="512">
        <f>INDEX(datatblBackOfficeTimeline,MATCH(decITTimeline,Data!$C$176:$C$181,0),2)</f>
        <v>0</v>
      </c>
      <c r="O13" s="69" t="s">
        <v>3073</v>
      </c>
    </row>
    <row r="14" spans="1:18">
      <c r="D14" s="69" t="s">
        <v>1649</v>
      </c>
      <c r="E14" s="504">
        <f>INDEX(datatblExternalSalesImpact,MATCH(decGTMExternalSales,Data!$C$85:$C$90,0),1)</f>
        <v>0</v>
      </c>
      <c r="F14" s="504">
        <f>INDEX(datatblExternalSalesImpact,MATCH(decGTMExternalSales,Data!$C$85:$C$90,0),1)</f>
        <v>0</v>
      </c>
      <c r="G14" s="504">
        <f>INDEX(datatblExternalSalesImpact,MATCH(decGTMExternalSales,Data!$C$85:$C$90,0),1)</f>
        <v>0</v>
      </c>
      <c r="H14" s="504">
        <f>INDEX(datatblExternalSalesImpact,MATCH(decGTMExternalSales,Data!$C$85:$C$90,0),1)</f>
        <v>0</v>
      </c>
      <c r="I14" s="504">
        <f>INDEX(datatblExternalSalesImpact,MATCH(decGTMExternalSales,Data!$C$85:$C$90,0),1)</f>
        <v>0</v>
      </c>
      <c r="J14" s="504">
        <f>INDEX(datatblExternalSalesImpact,MATCH(decGTMExternalSales,Data!$C$85:$C$90,0),1)</f>
        <v>0</v>
      </c>
      <c r="K14" s="504">
        <f>INDEX(datatblExternalSalesImpact,MATCH(decGTMExternalSales,Data!$C$85:$C$90,0),1)</f>
        <v>0</v>
      </c>
      <c r="L14" s="504">
        <f>INDEX(datatblExternalSalesImpact,MATCH(decGTMExternalSales,Data!$C$85:$C$90,0),1)</f>
        <v>0</v>
      </c>
      <c r="M14" s="504">
        <f>INDEX(datatblExternalSalesImpact,MATCH(decGTMExternalSales,Data!$C$85:$C$90,0),1)</f>
        <v>0</v>
      </c>
      <c r="N14" s="504">
        <f>INDEX(datatblExternalSalesImpact,MATCH(decGTMExternalSales,Data!$C$85:$C$90,0),1)</f>
        <v>0</v>
      </c>
      <c r="O14" s="69" t="s">
        <v>2017</v>
      </c>
    </row>
    <row r="15" spans="1:18">
      <c r="D15" s="69" t="s">
        <v>1154</v>
      </c>
      <c r="E15" s="512">
        <f t="shared" ref="E15:N15" si="7">IF(decITOfficePlan="Keep Existing",$P15,IF(decITOfficePlan="Move to Cloud",$Q15,$R15))</f>
        <v>0</v>
      </c>
      <c r="F15" s="512">
        <f t="shared" si="7"/>
        <v>0</v>
      </c>
      <c r="G15" s="512">
        <f t="shared" si="7"/>
        <v>0</v>
      </c>
      <c r="H15" s="512">
        <f t="shared" si="7"/>
        <v>0</v>
      </c>
      <c r="I15" s="512">
        <f t="shared" si="7"/>
        <v>0</v>
      </c>
      <c r="J15" s="512">
        <f t="shared" si="7"/>
        <v>0</v>
      </c>
      <c r="K15" s="512">
        <f t="shared" si="7"/>
        <v>0</v>
      </c>
      <c r="L15" s="512">
        <f t="shared" si="7"/>
        <v>0</v>
      </c>
      <c r="M15" s="512">
        <f t="shared" si="7"/>
        <v>0</v>
      </c>
      <c r="N15" s="512">
        <f t="shared" si="7"/>
        <v>0</v>
      </c>
      <c r="O15" s="69" t="s">
        <v>2018</v>
      </c>
      <c r="P15" s="69">
        <v>1.5</v>
      </c>
      <c r="Q15" s="69">
        <v>-1</v>
      </c>
      <c r="R15" s="69">
        <v>0</v>
      </c>
    </row>
    <row r="16" spans="1:18">
      <c r="D16" s="69" t="s">
        <v>1663</v>
      </c>
      <c r="E16" s="512">
        <f t="shared" ref="E16:N16" si="8">IF(decITOfficePlan="Keep Existing",IF(decSecurityBuildSiteInfrastructure="Yes",$P16,IF(decSecurityBuildSiteInfrastructure="No",$Q16,$R16)),0)</f>
        <v>0</v>
      </c>
      <c r="F16" s="512">
        <f t="shared" si="8"/>
        <v>0</v>
      </c>
      <c r="G16" s="512">
        <f t="shared" si="8"/>
        <v>0</v>
      </c>
      <c r="H16" s="512">
        <f t="shared" si="8"/>
        <v>0</v>
      </c>
      <c r="I16" s="512">
        <f t="shared" si="8"/>
        <v>0</v>
      </c>
      <c r="J16" s="512">
        <f t="shared" si="8"/>
        <v>0</v>
      </c>
      <c r="K16" s="512">
        <f t="shared" si="8"/>
        <v>0</v>
      </c>
      <c r="L16" s="512">
        <f t="shared" si="8"/>
        <v>0</v>
      </c>
      <c r="M16" s="512">
        <f t="shared" si="8"/>
        <v>0</v>
      </c>
      <c r="N16" s="512">
        <f t="shared" si="8"/>
        <v>0</v>
      </c>
      <c r="O16" s="69" t="s">
        <v>2019</v>
      </c>
      <c r="P16" s="69">
        <v>-2</v>
      </c>
      <c r="Q16" s="69">
        <v>2</v>
      </c>
      <c r="R16" s="69">
        <v>0</v>
      </c>
    </row>
    <row r="17" spans="3:15">
      <c r="D17" s="69" t="s">
        <v>1962</v>
      </c>
      <c r="E17" s="512">
        <f>INDEX(datatblStackFocusImpact,MATCH(decProductStackFocus,Data!$C$96:$C$101,0),1)</f>
        <v>0</v>
      </c>
      <c r="F17" s="512">
        <f>INDEX(datatblStackFocusImpact,MATCH(decProductStackFocus,Data!$C$96:$C$101,0),1)</f>
        <v>0</v>
      </c>
      <c r="G17" s="512">
        <f>INDEX(datatblStackFocusImpact,MATCH(decProductStackFocus,Data!$C$96:$C$101,0),1)</f>
        <v>0</v>
      </c>
      <c r="H17" s="512">
        <f>INDEX(datatblStackFocusImpact,MATCH(decProductStackFocus,Data!$C$96:$C$101,0),1)</f>
        <v>0</v>
      </c>
      <c r="I17" s="512">
        <f>INDEX(datatblStackFocusImpact,MATCH(decProductStackFocus,Data!$C$96:$C$101,0),1)</f>
        <v>0</v>
      </c>
      <c r="J17" s="512">
        <f>INDEX(datatblStackFocusImpact,MATCH(decProductStackFocus,Data!$C$96:$C$101,0),1)</f>
        <v>0</v>
      </c>
      <c r="K17" s="512">
        <f>INDEX(datatblStackFocusImpact,MATCH(decProductStackFocus,Data!$C$96:$C$101,0),1)</f>
        <v>0</v>
      </c>
      <c r="L17" s="512">
        <f>INDEX(datatblStackFocusImpact,MATCH(decProductStackFocus,Data!$C$96:$C$101,0),1)</f>
        <v>0</v>
      </c>
      <c r="M17" s="512">
        <f>INDEX(datatblStackFocusImpact,MATCH(decProductStackFocus,Data!$C$96:$C$101,0),1)</f>
        <v>0</v>
      </c>
      <c r="N17" s="512">
        <f>INDEX(datatblStackFocusImpact,MATCH(decProductStackFocus,Data!$C$96:$C$101,0),1)</f>
        <v>0</v>
      </c>
      <c r="O17" s="69" t="s">
        <v>2020</v>
      </c>
    </row>
    <row r="18" spans="3:15">
      <c r="D18" s="69" t="s">
        <v>1151</v>
      </c>
      <c r="E18" s="504">
        <f>INDEX(datatblOrg62Timeline,MATCH(decGTMOrg62Timeline,Data!$C$106:$C$111,0),4)*calcDelayImpactOrg62*paramOrg62Impacts</f>
        <v>0</v>
      </c>
      <c r="F18" s="504">
        <f>INDEX(datatblOrg62Timeline,MATCH(decGTMOrg62Timeline,Data!$C$106:$C$111,0),4)*calcDelayImpactOrg62*paramOrg62Impacts</f>
        <v>0</v>
      </c>
      <c r="G18" s="504">
        <f>INDEX(datatblOrg62Timeline,MATCH(decGTMOrg62Timeline,Data!$C$106:$C$111,0),4)*calcDelayImpactOrg62*paramOrg62Impacts</f>
        <v>0</v>
      </c>
      <c r="H18" s="504">
        <f>INDEX(datatblOrg62Timeline,MATCH(decGTMOrg62Timeline,Data!$C$106:$C$111,0),4)*calcDelayImpactOrg62*paramOrg62Impacts</f>
        <v>0</v>
      </c>
      <c r="I18" s="504">
        <f>INDEX(datatblOrg62Timeline,MATCH(decGTMOrg62Timeline,Data!$C$106:$C$111,0),4)*calcDelayImpactOrg62*paramOrg62Impacts</f>
        <v>0</v>
      </c>
      <c r="J18" s="504">
        <f>INDEX(datatblOrg62Timeline,MATCH(decGTMOrg62Timeline,Data!$C$106:$C$111,0),4)*calcDelayImpactOrg62*paramOrg62Impacts</f>
        <v>0</v>
      </c>
      <c r="K18" s="504">
        <f>INDEX(datatblOrg62Timeline,MATCH(decGTMOrg62Timeline,Data!$C$106:$C$111,0),4)*calcDelayImpactOrg62*paramOrg62Impacts</f>
        <v>0</v>
      </c>
      <c r="L18" s="504">
        <f>INDEX(datatblOrg62Timeline,MATCH(decGTMOrg62Timeline,Data!$C$106:$C$111,0),4)*calcDelayImpactOrg62*paramOrg62Impacts</f>
        <v>0</v>
      </c>
      <c r="M18" s="504">
        <f>INDEX(datatblOrg62Timeline,MATCH(decGTMOrg62Timeline,Data!$C$106:$C$111,0),4)*calcDelayImpactOrg62*paramOrg62Impacts</f>
        <v>0</v>
      </c>
      <c r="N18" s="504">
        <f>INDEX(datatblOrg62Timeline,MATCH(decGTMOrg62Timeline,Data!$C$106:$C$111,0),4)*calcDelayImpactOrg62*paramOrg62Impacts</f>
        <v>0</v>
      </c>
      <c r="O18" s="69" t="s">
        <v>2021</v>
      </c>
    </row>
    <row r="19" spans="3:15">
      <c r="D19" s="69" t="s">
        <v>1944</v>
      </c>
      <c r="E19" s="512">
        <f>INDEX(datatblP0RiskMitigation,MATCH(decSecurityP0RiskMitigation,Data!$C$136:$C$141,0),2)*calcTrustIntegrationTimelineImpact*calcDelayImpactTrust</f>
        <v>0</v>
      </c>
      <c r="F19" s="512">
        <f>INDEX(datatblP0RiskMitigation,MATCH(decSecurityP0RiskMitigation,Data!$C$136:$C$141,0),2)*calcTrustIntegrationTimelineImpact*calcDelayImpactTrust</f>
        <v>0</v>
      </c>
      <c r="G19" s="512">
        <f>INDEX(datatblP0RiskMitigation,MATCH(decSecurityP0RiskMitigation,Data!$C$136:$C$141,0),2)*calcTrustIntegrationTimelineImpact*calcDelayImpactTrust</f>
        <v>0</v>
      </c>
      <c r="H19" s="512">
        <f>INDEX(datatblP0RiskMitigation,MATCH(decSecurityP0RiskMitigation,Data!$C$136:$C$141,0),2)*calcTrustIntegrationTimelineImpact*calcDelayImpactTrust</f>
        <v>0</v>
      </c>
      <c r="I19" s="512">
        <f>INDEX(datatblP0RiskMitigation,MATCH(decSecurityP0RiskMitigation,Data!$C$136:$C$141,0),2)*calcTrustIntegrationTimelineImpact*calcDelayImpactTrust</f>
        <v>0</v>
      </c>
      <c r="J19" s="512">
        <f>INDEX(datatblP0RiskMitigation,MATCH(decSecurityP0RiskMitigation,Data!$C$136:$C$141,0),2)*calcTrustIntegrationTimelineImpact*calcDelayImpactTrust</f>
        <v>0</v>
      </c>
      <c r="K19" s="512">
        <f>INDEX(datatblP0RiskMitigation,MATCH(decSecurityP0RiskMitigation,Data!$C$136:$C$141,0),2)*calcTrustIntegrationTimelineImpact*calcDelayImpactTrust</f>
        <v>0</v>
      </c>
      <c r="L19" s="512">
        <f>INDEX(datatblP0RiskMitigation,MATCH(decSecurityP0RiskMitigation,Data!$C$136:$C$141,0),2)*calcTrustIntegrationTimelineImpact*calcDelayImpactTrust</f>
        <v>0</v>
      </c>
      <c r="M19" s="512">
        <f>INDEX(datatblP0RiskMitigation,MATCH(decSecurityP0RiskMitigation,Data!$C$136:$C$141,0),2)*calcTrustIntegrationTimelineImpact*calcDelayImpactTrust</f>
        <v>0</v>
      </c>
      <c r="N19" s="512">
        <f>INDEX(datatblP0RiskMitigation,MATCH(decSecurityP0RiskMitigation,Data!$C$136:$C$141,0),2)*calcTrustIntegrationTimelineImpact*calcDelayImpactTrust</f>
        <v>0</v>
      </c>
      <c r="O19" s="69" t="s">
        <v>2022</v>
      </c>
    </row>
    <row r="20" spans="3:15">
      <c r="D20" s="69" t="s">
        <v>1951</v>
      </c>
      <c r="E20" s="512">
        <f>INDEX(datatblP1RiskMitigation,MATCH(decSecurityP1RiskMitigation,Data!$C$146:$C$151,0),2)*calcTrustIntegrationTimelineImpact*calcDelayImpactTrust</f>
        <v>0</v>
      </c>
      <c r="F20" s="512">
        <f>INDEX(datatblP1RiskMitigation,MATCH(decSecurityP1RiskMitigation,Data!$C$146:$C$151,0),2)*calcTrustIntegrationTimelineImpact*calcDelayImpactTrust</f>
        <v>0</v>
      </c>
      <c r="G20" s="512">
        <f>INDEX(datatblP1RiskMitigation,MATCH(decSecurityP1RiskMitigation,Data!$C$146:$C$151,0),2)*calcTrustIntegrationTimelineImpact*calcDelayImpactTrust</f>
        <v>0</v>
      </c>
      <c r="H20" s="512">
        <f>INDEX(datatblP1RiskMitigation,MATCH(decSecurityP1RiskMitigation,Data!$C$146:$C$151,0),2)*calcTrustIntegrationTimelineImpact*calcDelayImpactTrust</f>
        <v>0</v>
      </c>
      <c r="I20" s="512">
        <f>INDEX(datatblP1RiskMitigation,MATCH(decSecurityP1RiskMitigation,Data!$C$146:$C$151,0),2)*calcTrustIntegrationTimelineImpact*calcDelayImpactTrust</f>
        <v>0</v>
      </c>
      <c r="J20" s="512">
        <f>INDEX(datatblP1RiskMitigation,MATCH(decSecurityP1RiskMitigation,Data!$C$146:$C$151,0),2)*calcTrustIntegrationTimelineImpact*calcDelayImpactTrust</f>
        <v>0</v>
      </c>
      <c r="K20" s="512">
        <f>INDEX(datatblP1RiskMitigation,MATCH(decSecurityP1RiskMitigation,Data!$C$146:$C$151,0),2)*calcTrustIntegrationTimelineImpact*calcDelayImpactTrust</f>
        <v>0</v>
      </c>
      <c r="L20" s="512">
        <f>INDEX(datatblP1RiskMitigation,MATCH(decSecurityP1RiskMitigation,Data!$C$146:$C$151,0),2)*calcTrustIntegrationTimelineImpact*calcDelayImpactTrust</f>
        <v>0</v>
      </c>
      <c r="M20" s="512">
        <f>INDEX(datatblP1RiskMitigation,MATCH(decSecurityP1RiskMitigation,Data!$C$146:$C$151,0),2)*calcTrustIntegrationTimelineImpact*calcDelayImpactTrust</f>
        <v>0</v>
      </c>
      <c r="N20" s="512">
        <f>INDEX(datatblP1RiskMitigation,MATCH(decSecurityP1RiskMitigation,Data!$C$146:$C$151,0),2)*calcTrustIntegrationTimelineImpact*calcDelayImpactTrust</f>
        <v>0</v>
      </c>
      <c r="O20" s="69" t="s">
        <v>2023</v>
      </c>
    </row>
    <row r="21" spans="3:15">
      <c r="D21" s="69" t="s">
        <v>2087</v>
      </c>
      <c r="E21" s="512">
        <f>INDEX(datatblP2RiskMitigation,MATCH(decSecurityP2RiskMitigation,Data!$C$156:$C$161,0),2)*calcTrustIntegrationTimelineImpact*calcDelayImpactTrust</f>
        <v>0</v>
      </c>
      <c r="F21" s="512">
        <f>INDEX(datatblP2RiskMitigation,MATCH(decSecurityP2RiskMitigation,Data!$C$156:$C$161,0),2)*calcTrustIntegrationTimelineImpact*calcDelayImpactTrust</f>
        <v>0</v>
      </c>
      <c r="G21" s="512">
        <f>INDEX(datatblP2RiskMitigation,MATCH(decSecurityP2RiskMitigation,Data!$C$156:$C$161,0),2)*calcTrustIntegrationTimelineImpact*calcDelayImpactTrust</f>
        <v>0</v>
      </c>
      <c r="H21" s="512">
        <f>INDEX(datatblP2RiskMitigation,MATCH(decSecurityP2RiskMitigation,Data!$C$156:$C$161,0),2)*calcTrustIntegrationTimelineImpact*calcDelayImpactTrust</f>
        <v>0</v>
      </c>
      <c r="I21" s="512">
        <f>INDEX(datatblP2RiskMitigation,MATCH(decSecurityP2RiskMitigation,Data!$C$156:$C$161,0),2)*calcTrustIntegrationTimelineImpact*calcDelayImpactTrust</f>
        <v>0</v>
      </c>
      <c r="J21" s="512">
        <f>INDEX(datatblP2RiskMitigation,MATCH(decSecurityP2RiskMitigation,Data!$C$156:$C$161,0),2)*calcTrustIntegrationTimelineImpact*calcDelayImpactTrust</f>
        <v>0</v>
      </c>
      <c r="K21" s="512">
        <f>INDEX(datatblP2RiskMitigation,MATCH(decSecurityP2RiskMitigation,Data!$C$156:$C$161,0),2)*calcTrustIntegrationTimelineImpact*calcDelayImpactTrust</f>
        <v>0</v>
      </c>
      <c r="L21" s="512">
        <f>INDEX(datatblP2RiskMitigation,MATCH(decSecurityP2RiskMitigation,Data!$C$156:$C$161,0),2)*calcTrustIntegrationTimelineImpact*calcDelayImpactTrust</f>
        <v>0</v>
      </c>
      <c r="M21" s="512">
        <f>INDEX(datatblP2RiskMitigation,MATCH(decSecurityP2RiskMitigation,Data!$C$156:$C$161,0),2)*calcTrustIntegrationTimelineImpact*calcDelayImpactTrust</f>
        <v>0</v>
      </c>
      <c r="N21" s="512">
        <f>INDEX(datatblP2RiskMitigation,MATCH(decSecurityP2RiskMitigation,Data!$C$156:$C$161,0),2)*calcTrustIntegrationTimelineImpact*calcDelayImpactTrust</f>
        <v>0</v>
      </c>
      <c r="O21" s="69" t="s">
        <v>2024</v>
      </c>
    </row>
    <row r="22" spans="3:15">
      <c r="D22" s="69" t="s">
        <v>1655</v>
      </c>
      <c r="E22" s="512">
        <f t="shared" ref="E22:N22" si="9">paramESAT</f>
        <v>0</v>
      </c>
      <c r="F22" s="512">
        <f t="shared" si="9"/>
        <v>0</v>
      </c>
      <c r="G22" s="512">
        <f t="shared" si="9"/>
        <v>0</v>
      </c>
      <c r="H22" s="512">
        <f t="shared" si="9"/>
        <v>0</v>
      </c>
      <c r="I22" s="512">
        <f t="shared" si="9"/>
        <v>0</v>
      </c>
      <c r="J22" s="512">
        <f t="shared" si="9"/>
        <v>0</v>
      </c>
      <c r="K22" s="512">
        <f t="shared" si="9"/>
        <v>0</v>
      </c>
      <c r="L22" s="512">
        <f t="shared" si="9"/>
        <v>0</v>
      </c>
      <c r="M22" s="512">
        <f t="shared" si="9"/>
        <v>0</v>
      </c>
      <c r="N22" s="512">
        <f t="shared" si="9"/>
        <v>0</v>
      </c>
      <c r="O22" s="69" t="s">
        <v>2025</v>
      </c>
    </row>
    <row r="23" spans="3:15" ht="6" customHeight="1">
      <c r="E23" s="510"/>
      <c r="F23" s="510"/>
      <c r="G23" s="510"/>
      <c r="H23" s="510"/>
      <c r="I23" s="510"/>
      <c r="J23" s="510"/>
      <c r="K23" s="510"/>
      <c r="L23" s="510"/>
      <c r="M23" s="510"/>
      <c r="N23" s="510"/>
    </row>
    <row r="24" spans="3:15" s="217" customFormat="1">
      <c r="D24" s="217" t="s">
        <v>487</v>
      </c>
      <c r="E24" s="502">
        <f>E7+SUM(E8:E23)</f>
        <v>50</v>
      </c>
      <c r="F24" s="502">
        <f>F7+SUM(F8:F23)</f>
        <v>50</v>
      </c>
      <c r="G24" s="502">
        <f>G7+SUM(G8:G23)</f>
        <v>50</v>
      </c>
      <c r="H24" s="502">
        <f>H7+SUM(H8:H23)</f>
        <v>50</v>
      </c>
      <c r="I24" s="502">
        <f>I7+SUM(I8:I23)</f>
        <v>50</v>
      </c>
      <c r="J24" s="502">
        <f t="shared" ref="J24:N24" si="10">J7+SUM(J8:J23)</f>
        <v>50</v>
      </c>
      <c r="K24" s="502">
        <f t="shared" si="10"/>
        <v>50</v>
      </c>
      <c r="L24" s="502">
        <f t="shared" si="10"/>
        <v>50</v>
      </c>
      <c r="M24" s="502">
        <f t="shared" si="10"/>
        <v>50</v>
      </c>
      <c r="N24" s="502">
        <f t="shared" si="10"/>
        <v>50</v>
      </c>
      <c r="O24" s="217" t="s">
        <v>3034</v>
      </c>
    </row>
    <row r="25" spans="3:15" s="217" customFormat="1">
      <c r="D25" s="217" t="s">
        <v>3035</v>
      </c>
      <c r="E25" s="502">
        <f t="shared" ref="E25:N25" si="11">paramESAT_1*E24</f>
        <v>0</v>
      </c>
      <c r="F25" s="502">
        <f t="shared" si="11"/>
        <v>0</v>
      </c>
      <c r="G25" s="502">
        <f t="shared" si="11"/>
        <v>0</v>
      </c>
      <c r="H25" s="502">
        <f t="shared" si="11"/>
        <v>0</v>
      </c>
      <c r="I25" s="502">
        <f t="shared" si="11"/>
        <v>0</v>
      </c>
      <c r="J25" s="502">
        <f t="shared" si="11"/>
        <v>0</v>
      </c>
      <c r="K25" s="502">
        <f t="shared" si="11"/>
        <v>0</v>
      </c>
      <c r="L25" s="502">
        <f t="shared" si="11"/>
        <v>0</v>
      </c>
      <c r="M25" s="502">
        <f t="shared" si="11"/>
        <v>0</v>
      </c>
      <c r="N25" s="502">
        <f t="shared" si="11"/>
        <v>0</v>
      </c>
      <c r="O25" s="217" t="s">
        <v>3036</v>
      </c>
    </row>
    <row r="26" spans="3:15" s="217" customFormat="1">
      <c r="E26" s="502">
        <f>SUM(E24:E25)</f>
        <v>50</v>
      </c>
      <c r="F26" s="502">
        <f t="shared" ref="F26:I26" si="12">SUM(F24:F25)</f>
        <v>50</v>
      </c>
      <c r="G26" s="502">
        <f t="shared" si="12"/>
        <v>50</v>
      </c>
      <c r="H26" s="502">
        <f t="shared" si="12"/>
        <v>50</v>
      </c>
      <c r="I26" s="502">
        <f t="shared" si="12"/>
        <v>50</v>
      </c>
      <c r="J26" s="502">
        <f t="shared" ref="J26:N26" si="13">SUM(J24:J25)</f>
        <v>50</v>
      </c>
      <c r="K26" s="502">
        <f t="shared" si="13"/>
        <v>50</v>
      </c>
      <c r="L26" s="502">
        <f t="shared" si="13"/>
        <v>50</v>
      </c>
      <c r="M26" s="502">
        <f t="shared" si="13"/>
        <v>50</v>
      </c>
      <c r="N26" s="502">
        <f t="shared" si="13"/>
        <v>50</v>
      </c>
      <c r="O26" s="217" t="s">
        <v>3030</v>
      </c>
    </row>
    <row r="27" spans="3:15" s="217" customFormat="1">
      <c r="E27" s="502"/>
      <c r="F27" s="502"/>
      <c r="G27" s="502"/>
      <c r="H27" s="502"/>
      <c r="I27" s="502"/>
      <c r="J27" s="502"/>
      <c r="K27" s="502"/>
      <c r="L27" s="502"/>
      <c r="M27" s="502"/>
      <c r="N27" s="502"/>
    </row>
    <row r="29" spans="3:15">
      <c r="C29" s="217"/>
      <c r="D29" s="69" t="s">
        <v>2156</v>
      </c>
      <c r="E29" s="454">
        <f>IF(decPeopleHarmonizationLevel&gt;0,INDEX(datatblPeopleTimeline,MATCH(decPeopleTimeline,Data!$C$116:$C$121,0),2),0)</f>
        <v>0</v>
      </c>
      <c r="F29" s="454">
        <f>IF(decPeopleHarmonizationLevel&gt;0,INDEX(datatblPeopleTimeline,MATCH(decPeopleTimeline,Data!$C$116:$C$121,0),2),0)</f>
        <v>0</v>
      </c>
      <c r="G29" s="454">
        <f>IF(decPeopleHarmonizationLevel&gt;0,INDEX(datatblPeopleTimeline,MATCH(decPeopleTimeline,Data!$C$116:$C$121,0),2),0)</f>
        <v>0</v>
      </c>
      <c r="H29" s="454">
        <f>IF(decPeopleHarmonizationLevel&gt;0,INDEX(datatblPeopleTimeline,MATCH(decPeopleTimeline,Data!$C$116:$C$121,0),2),0)</f>
        <v>0</v>
      </c>
      <c r="I29" s="454">
        <f>IF(decPeopleHarmonizationLevel&gt;0,INDEX(datatblPeopleTimeline,MATCH(decPeopleTimeline,Data!$C$116:$C$121,0),2),0)</f>
        <v>0</v>
      </c>
      <c r="J29" s="454">
        <f>IF(decPeopleHarmonizationLevel&gt;0,INDEX(datatblPeopleTimeline,MATCH(decPeopleTimeline,Data!$C$116:$C$121,0),2),0)</f>
        <v>0</v>
      </c>
      <c r="K29" s="454">
        <f>IF(decPeopleHarmonizationLevel&gt;0,INDEX(datatblPeopleTimeline,MATCH(decPeopleTimeline,Data!$C$116:$C$121,0),2),0)</f>
        <v>0</v>
      </c>
      <c r="L29" s="454">
        <f>IF(decPeopleHarmonizationLevel&gt;0,INDEX(datatblPeopleTimeline,MATCH(decPeopleTimeline,Data!$C$116:$C$121,0),2),0)</f>
        <v>0</v>
      </c>
      <c r="M29" s="454">
        <f>IF(decPeopleHarmonizationLevel&gt;0,INDEX(datatblPeopleTimeline,MATCH(decPeopleTimeline,Data!$C$116:$C$121,0),2),0)</f>
        <v>0</v>
      </c>
      <c r="N29" s="454">
        <f>IF(decPeopleHarmonizationLevel&gt;0,INDEX(datatblPeopleTimeline,MATCH(decPeopleTimeline,Data!$C$116:$C$121,0),2),0)</f>
        <v>0</v>
      </c>
    </row>
    <row r="30" spans="3:15">
      <c r="D30" s="69" t="s">
        <v>2157</v>
      </c>
      <c r="E30" s="454">
        <f>IF(decPeopleNonKeyHarmonizationLevel&gt;0,INDEX(datatblPeopleTimeline,MATCH(decPeopleTimeline,Data!$C$116:$C$121,0),2),0)</f>
        <v>0</v>
      </c>
      <c r="F30" s="454">
        <f>IF(decPeopleNonKeyHarmonizationLevel&gt;0,INDEX(datatblPeopleTimeline,MATCH(decPeopleTimeline,Data!$C$116:$C$121,0),2),0)</f>
        <v>0</v>
      </c>
      <c r="G30" s="454">
        <f>IF(decPeopleNonKeyHarmonizationLevel&gt;0,INDEX(datatblPeopleTimeline,MATCH(decPeopleTimeline,Data!$C$116:$C$121,0),2),0)</f>
        <v>0</v>
      </c>
      <c r="H30" s="454">
        <f>IF(decPeopleNonKeyHarmonizationLevel&gt;0,INDEX(datatblPeopleTimeline,MATCH(decPeopleTimeline,Data!$C$116:$C$121,0),2),0)</f>
        <v>0</v>
      </c>
      <c r="I30" s="454">
        <f>IF(decPeopleNonKeyHarmonizationLevel&gt;0,INDEX(datatblPeopleTimeline,MATCH(decPeopleTimeline,Data!$C$116:$C$121,0),2),0)</f>
        <v>0</v>
      </c>
      <c r="J30" s="454">
        <f>IF(decPeopleNonKeyHarmonizationLevel&gt;0,INDEX(datatblPeopleTimeline,MATCH(decPeopleTimeline,Data!$C$116:$C$121,0),2),0)</f>
        <v>0</v>
      </c>
      <c r="K30" s="454">
        <f>IF(decPeopleNonKeyHarmonizationLevel&gt;0,INDEX(datatblPeopleTimeline,MATCH(decPeopleTimeline,Data!$C$116:$C$121,0),2),0)</f>
        <v>0</v>
      </c>
      <c r="L30" s="454">
        <f>IF(decPeopleNonKeyHarmonizationLevel&gt;0,INDEX(datatblPeopleTimeline,MATCH(decPeopleTimeline,Data!$C$116:$C$121,0),2),0)</f>
        <v>0</v>
      </c>
      <c r="M30" s="454">
        <f>IF(decPeopleNonKeyHarmonizationLevel&gt;0,INDEX(datatblPeopleTimeline,MATCH(decPeopleTimeline,Data!$C$116:$C$121,0),2),0)</f>
        <v>0</v>
      </c>
      <c r="N30" s="454">
        <f>IF(decPeopleNonKeyHarmonizationLevel&gt;0,INDEX(datatblPeopleTimeline,MATCH(decPeopleTimeline,Data!$C$116:$C$121,0),2),0)</f>
        <v>0</v>
      </c>
    </row>
    <row r="31" spans="3:15">
      <c r="E31" s="454"/>
    </row>
    <row r="32" spans="3:15">
      <c r="E32" s="454"/>
    </row>
    <row r="33" spans="3:20">
      <c r="C33" s="217" t="s">
        <v>406</v>
      </c>
    </row>
    <row r="34" spans="3:20">
      <c r="D34" s="69" t="s">
        <v>486</v>
      </c>
      <c r="E34" s="504">
        <f t="shared" ref="E34:N34" si="14">obalNPS</f>
        <v>50</v>
      </c>
      <c r="F34" s="504">
        <f t="shared" si="14"/>
        <v>50</v>
      </c>
      <c r="G34" s="504">
        <f t="shared" si="14"/>
        <v>50</v>
      </c>
      <c r="H34" s="504">
        <f t="shared" si="14"/>
        <v>50</v>
      </c>
      <c r="I34" s="504">
        <f t="shared" si="14"/>
        <v>50</v>
      </c>
      <c r="J34" s="504">
        <f t="shared" si="14"/>
        <v>50</v>
      </c>
      <c r="K34" s="504">
        <f t="shared" si="14"/>
        <v>50</v>
      </c>
      <c r="L34" s="504">
        <f t="shared" si="14"/>
        <v>50</v>
      </c>
      <c r="M34" s="504">
        <f t="shared" si="14"/>
        <v>50</v>
      </c>
      <c r="N34" s="504">
        <f t="shared" si="14"/>
        <v>50</v>
      </c>
    </row>
    <row r="35" spans="3:20">
      <c r="D35" s="69" t="s">
        <v>1962</v>
      </c>
      <c r="E35" s="512">
        <f>INDEX(datatblStackFocusImpact,MATCH(decProductStackFocus,Data!$C$96:$C$101,0),3)*(1-calcDelayImpactProduct)+INDEX(datatblProductTimeline,MATCH(decProductTimeline,Data!$C$166:$C$171,0),4)</f>
        <v>0</v>
      </c>
      <c r="F35" s="512">
        <f>INDEX(datatblStackFocusImpact,MATCH(decProductStackFocus,Data!$C$96:$C$101,0),3)*(1-calcDelayImpactProduct)+INDEX(datatblProductTimeline,MATCH(decProductTimeline,Data!$C$166:$C$171,0),4)</f>
        <v>0</v>
      </c>
      <c r="G35" s="512">
        <f>INDEX(datatblStackFocusImpact,MATCH(decProductStackFocus,Data!$C$96:$C$101,0),3)*(1-calcDelayImpactProduct)+INDEX(datatblProductTimeline,MATCH(decProductTimeline,Data!$C$166:$C$171,0),4)</f>
        <v>0</v>
      </c>
      <c r="H35" s="512">
        <f>INDEX(datatblStackFocusImpact,MATCH(decProductStackFocus,Data!$C$96:$C$101,0),3)*(1-calcDelayImpactProduct)+INDEX(datatblProductTimeline,MATCH(decProductTimeline,Data!$C$166:$C$171,0),4)</f>
        <v>0</v>
      </c>
      <c r="I35" s="512">
        <f>INDEX(datatblStackFocusImpact,MATCH(decProductStackFocus,Data!$C$96:$C$101,0),3)*(1-calcDelayImpactProduct)+INDEX(datatblProductTimeline,MATCH(decProductTimeline,Data!$C$166:$C$171,0),4)</f>
        <v>0</v>
      </c>
      <c r="J35" s="512">
        <f>INDEX(datatblStackFocusImpact,MATCH(decProductStackFocus,Data!$C$96:$C$101,0),3)*(1-calcDelayImpactProduct)+INDEX(datatblProductTimeline,MATCH(decProductTimeline,Data!$C$166:$C$171,0),4)</f>
        <v>0</v>
      </c>
      <c r="K35" s="512">
        <f>INDEX(datatblStackFocusImpact,MATCH(decProductStackFocus,Data!$C$96:$C$101,0),3)*(1-calcDelayImpactProduct)+INDEX(datatblProductTimeline,MATCH(decProductTimeline,Data!$C$166:$C$171,0),4)</f>
        <v>0</v>
      </c>
      <c r="L35" s="512">
        <f>INDEX(datatblStackFocusImpact,MATCH(decProductStackFocus,Data!$C$96:$C$101,0),3)*(1-calcDelayImpactProduct)+INDEX(datatblProductTimeline,MATCH(decProductTimeline,Data!$C$166:$C$171,0),4)</f>
        <v>0</v>
      </c>
      <c r="M35" s="512">
        <f>INDEX(datatblStackFocusImpact,MATCH(decProductStackFocus,Data!$C$96:$C$101,0),3)*(1-calcDelayImpactProduct)+INDEX(datatblProductTimeline,MATCH(decProductTimeline,Data!$C$166:$C$171,0),4)</f>
        <v>0</v>
      </c>
      <c r="N35" s="512">
        <f>INDEX(datatblStackFocusImpact,MATCH(decProductStackFocus,Data!$C$96:$C$101,0),3)*(1-calcDelayImpactProduct)+INDEX(datatblProductTimeline,MATCH(decProductTimeline,Data!$C$166:$C$171,0),4)</f>
        <v>0</v>
      </c>
      <c r="O35" s="69" t="s">
        <v>2033</v>
      </c>
    </row>
    <row r="36" spans="3:20">
      <c r="D36" s="69" t="s">
        <v>1649</v>
      </c>
      <c r="E36" s="504">
        <f>INDEX(datatblExternalSalesImpact,MATCH(decGTMExternalSales,Data!$C$85:$C$90,0),3)</f>
        <v>0</v>
      </c>
      <c r="F36" s="504">
        <f>INDEX(datatblExternalSalesImpact,MATCH(decGTMExternalSales,Data!$C$85:$C$90,0),3)</f>
        <v>0</v>
      </c>
      <c r="G36" s="504">
        <f>INDEX(datatblExternalSalesImpact,MATCH(decGTMExternalSales,Data!$C$85:$C$90,0),3)</f>
        <v>0</v>
      </c>
      <c r="H36" s="504">
        <f>INDEX(datatblExternalSalesImpact,MATCH(decGTMExternalSales,Data!$C$85:$C$90,0),3)</f>
        <v>0</v>
      </c>
      <c r="I36" s="504">
        <f>INDEX(datatblExternalSalesImpact,MATCH(decGTMExternalSales,Data!$C$85:$C$90,0),3)</f>
        <v>0</v>
      </c>
      <c r="J36" s="504">
        <f>INDEX(datatblExternalSalesImpact,MATCH(decGTMExternalSales,Data!$C$85:$C$90,0),3)</f>
        <v>0</v>
      </c>
      <c r="K36" s="504">
        <f>INDEX(datatblExternalSalesImpact,MATCH(decGTMExternalSales,Data!$C$85:$C$90,0),3)</f>
        <v>0</v>
      </c>
      <c r="L36" s="504">
        <f>INDEX(datatblExternalSalesImpact,MATCH(decGTMExternalSales,Data!$C$85:$C$90,0),3)</f>
        <v>0</v>
      </c>
      <c r="M36" s="504">
        <f>INDEX(datatblExternalSalesImpact,MATCH(decGTMExternalSales,Data!$C$85:$C$90,0),3)</f>
        <v>0</v>
      </c>
      <c r="N36" s="504">
        <f>INDEX(datatblExternalSalesImpact,MATCH(decGTMExternalSales,Data!$C$85:$C$90,0),3)</f>
        <v>0</v>
      </c>
      <c r="O36" s="69" t="s">
        <v>2034</v>
      </c>
    </row>
    <row r="37" spans="3:20">
      <c r="D37" s="69" t="s">
        <v>2284</v>
      </c>
      <c r="E37" s="504">
        <f>INDEX(datatblCSGPostSales,MATCH(decGTMCSGPostSales,Data!$C$204:$C$209,0),2)</f>
        <v>0</v>
      </c>
      <c r="F37" s="504">
        <f>INDEX(datatblCSGPostSales,MATCH(decGTMCSGPostSales,Data!$C$204:$C$209,0),2)</f>
        <v>0</v>
      </c>
      <c r="G37" s="504">
        <f>INDEX(datatblCSGPostSales,MATCH(decGTMCSGPostSales,Data!$C$204:$C$209,0),2)</f>
        <v>0</v>
      </c>
      <c r="H37" s="504">
        <f>INDEX(datatblCSGPostSales,MATCH(decGTMCSGPostSales,Data!$C$204:$C$209,0),2)</f>
        <v>0</v>
      </c>
      <c r="I37" s="504">
        <f>INDEX(datatblCSGPostSales,MATCH(decGTMCSGPostSales,Data!$C$204:$C$209,0),2)</f>
        <v>0</v>
      </c>
      <c r="J37" s="504">
        <f>INDEX(datatblCSGPostSales,MATCH(decGTMCSGPostSales,Data!$C$204:$C$209,0),2)</f>
        <v>0</v>
      </c>
      <c r="K37" s="504">
        <f>INDEX(datatblCSGPostSales,MATCH(decGTMCSGPostSales,Data!$C$204:$C$209,0),2)</f>
        <v>0</v>
      </c>
      <c r="L37" s="504">
        <f>INDEX(datatblCSGPostSales,MATCH(decGTMCSGPostSales,Data!$C$204:$C$209,0),2)</f>
        <v>0</v>
      </c>
      <c r="M37" s="504">
        <f>INDEX(datatblCSGPostSales,MATCH(decGTMCSGPostSales,Data!$C$204:$C$209,0),2)</f>
        <v>0</v>
      </c>
      <c r="N37" s="504">
        <f>INDEX(datatblCSGPostSales,MATCH(decGTMCSGPostSales,Data!$C$204:$C$209,0),2)</f>
        <v>0</v>
      </c>
      <c r="O37" s="69" t="s">
        <v>2345</v>
      </c>
    </row>
    <row r="38" spans="3:20">
      <c r="D38" s="69" t="s">
        <v>3079</v>
      </c>
      <c r="E38" s="504">
        <f>INDEX(datatblBrandIntegration,MATCH(decGTMBrandIntegration,Data!$C$220:$C$226,0),2)</f>
        <v>0</v>
      </c>
      <c r="F38" s="504">
        <f>INDEX(datatblBrandIntegration,MATCH(decGTMBrandIntegration,Data!$C$220:$C$226,0),2)</f>
        <v>0</v>
      </c>
      <c r="G38" s="504">
        <f>INDEX(datatblBrandIntegration,MATCH(decGTMBrandIntegration,Data!$C$220:$C$226,0),2)</f>
        <v>0</v>
      </c>
      <c r="H38" s="504">
        <f>INDEX(datatblBrandIntegration,MATCH(decGTMBrandIntegration,Data!$C$220:$C$226,0),2)</f>
        <v>0</v>
      </c>
      <c r="I38" s="504">
        <f>INDEX(datatblBrandIntegration,MATCH(decGTMBrandIntegration,Data!$C$220:$C$226,0),2)</f>
        <v>0</v>
      </c>
      <c r="J38" s="504">
        <f>INDEX(datatblBrandIntegration,MATCH(decGTMBrandIntegration,Data!$C$220:$C$226,0),2)</f>
        <v>0</v>
      </c>
      <c r="K38" s="504">
        <f>INDEX(datatblBrandIntegration,MATCH(decGTMBrandIntegration,Data!$C$220:$C$226,0),2)</f>
        <v>0</v>
      </c>
      <c r="L38" s="504">
        <f>INDEX(datatblBrandIntegration,MATCH(decGTMBrandIntegration,Data!$C$220:$C$226,0),2)</f>
        <v>0</v>
      </c>
      <c r="M38" s="504">
        <f>INDEX(datatblBrandIntegration,MATCH(decGTMBrandIntegration,Data!$C$220:$C$226,0),2)</f>
        <v>0</v>
      </c>
      <c r="N38" s="504">
        <f>INDEX(datatblBrandIntegration,MATCH(decGTMBrandIntegration,Data!$C$220:$C$226,0),2)</f>
        <v>0</v>
      </c>
      <c r="O38" s="69" t="s">
        <v>3110</v>
      </c>
    </row>
    <row r="39" spans="3:20">
      <c r="D39" s="69" t="s">
        <v>1151</v>
      </c>
      <c r="E39" s="504">
        <f>INDEX(datatblOrg62Timeline,MATCH(decGTMOrg62Timeline,Data!$C$106:$C$111,0),3)*(1-calcDelayImpactOrg62)*paramOrg62Impacts</f>
        <v>0</v>
      </c>
      <c r="F39" s="504">
        <f>INDEX(datatblOrg62Timeline,MATCH(decGTMOrg62Timeline,Data!$C$106:$C$111,0),3)*(1-calcDelayImpactOrg62)*paramOrg62Impacts</f>
        <v>0</v>
      </c>
      <c r="G39" s="504">
        <f>INDEX(datatblOrg62Timeline,MATCH(decGTMOrg62Timeline,Data!$C$106:$C$111,0),3)*(1-calcDelayImpactOrg62)*paramOrg62Impacts</f>
        <v>0</v>
      </c>
      <c r="H39" s="504">
        <f>INDEX(datatblOrg62Timeline,MATCH(decGTMOrg62Timeline,Data!$C$106:$C$111,0),3)*(1-calcDelayImpactOrg62)*paramOrg62Impacts</f>
        <v>0</v>
      </c>
      <c r="I39" s="504">
        <f>INDEX(datatblOrg62Timeline,MATCH(decGTMOrg62Timeline,Data!$C$106:$C$111,0),3)*(1-calcDelayImpactOrg62)*paramOrg62Impacts</f>
        <v>0</v>
      </c>
      <c r="J39" s="504">
        <f>INDEX(datatblOrg62Timeline,MATCH(decGTMOrg62Timeline,Data!$C$106:$C$111,0),3)*(1-calcDelayImpactOrg62)*paramOrg62Impacts</f>
        <v>0</v>
      </c>
      <c r="K39" s="504">
        <f>INDEX(datatblOrg62Timeline,MATCH(decGTMOrg62Timeline,Data!$C$106:$C$111,0),3)*(1-calcDelayImpactOrg62)*paramOrg62Impacts</f>
        <v>0</v>
      </c>
      <c r="L39" s="504">
        <f>INDEX(datatblOrg62Timeline,MATCH(decGTMOrg62Timeline,Data!$C$106:$C$111,0),3)*(1-calcDelayImpactOrg62)*paramOrg62Impacts</f>
        <v>0</v>
      </c>
      <c r="M39" s="504">
        <f>INDEX(datatblOrg62Timeline,MATCH(decGTMOrg62Timeline,Data!$C$106:$C$111,0),3)*(1-calcDelayImpactOrg62)*paramOrg62Impacts</f>
        <v>0</v>
      </c>
      <c r="N39" s="504">
        <f>INDEX(datatblOrg62Timeline,MATCH(decGTMOrg62Timeline,Data!$C$106:$C$111,0),3)*(1-calcDelayImpactOrg62)*paramOrg62Impacts</f>
        <v>0</v>
      </c>
      <c r="O39" s="69" t="s">
        <v>2035</v>
      </c>
    </row>
    <row r="40" spans="3:20">
      <c r="D40" s="69" t="s">
        <v>1655</v>
      </c>
      <c r="E40" s="504">
        <f t="shared" ref="E40:N40" si="15">paramNPS</f>
        <v>0</v>
      </c>
      <c r="F40" s="504">
        <f t="shared" si="15"/>
        <v>0</v>
      </c>
      <c r="G40" s="504">
        <f t="shared" si="15"/>
        <v>0</v>
      </c>
      <c r="H40" s="504">
        <f t="shared" si="15"/>
        <v>0</v>
      </c>
      <c r="I40" s="504">
        <f t="shared" si="15"/>
        <v>0</v>
      </c>
      <c r="J40" s="504">
        <f t="shared" si="15"/>
        <v>0</v>
      </c>
      <c r="K40" s="504">
        <f t="shared" si="15"/>
        <v>0</v>
      </c>
      <c r="L40" s="504">
        <f t="shared" si="15"/>
        <v>0</v>
      </c>
      <c r="M40" s="504">
        <f t="shared" si="15"/>
        <v>0</v>
      </c>
      <c r="N40" s="504">
        <f t="shared" si="15"/>
        <v>0</v>
      </c>
      <c r="O40" s="69" t="s">
        <v>2036</v>
      </c>
    </row>
    <row r="41" spans="3:20" ht="6" customHeight="1">
      <c r="E41" s="216"/>
      <c r="F41" s="216"/>
      <c r="G41" s="216"/>
      <c r="H41" s="216"/>
      <c r="I41" s="216"/>
      <c r="J41" s="216"/>
      <c r="K41" s="216"/>
      <c r="L41" s="216"/>
      <c r="M41" s="216"/>
      <c r="N41" s="216"/>
    </row>
    <row r="42" spans="3:20" s="217" customFormat="1">
      <c r="D42" s="217" t="s">
        <v>487</v>
      </c>
      <c r="E42" s="502">
        <f t="shared" ref="E42:F42" si="16">E34+SUM(E35:E41)</f>
        <v>50</v>
      </c>
      <c r="F42" s="502">
        <f t="shared" si="16"/>
        <v>50</v>
      </c>
      <c r="G42" s="502">
        <f>G34+SUM(G35:G41)</f>
        <v>50</v>
      </c>
      <c r="H42" s="502">
        <f>H34+SUM(H35:H41)</f>
        <v>50</v>
      </c>
      <c r="I42" s="502">
        <f>I34+SUM(I35:I41)</f>
        <v>50</v>
      </c>
      <c r="J42" s="502">
        <f t="shared" ref="J42:N42" si="17">J34+SUM(J35:J41)</f>
        <v>50</v>
      </c>
      <c r="K42" s="502">
        <f t="shared" si="17"/>
        <v>50</v>
      </c>
      <c r="L42" s="502">
        <f t="shared" si="17"/>
        <v>50</v>
      </c>
      <c r="M42" s="502">
        <f t="shared" si="17"/>
        <v>50</v>
      </c>
      <c r="N42" s="502">
        <f t="shared" si="17"/>
        <v>50</v>
      </c>
      <c r="O42" s="217" t="s">
        <v>489</v>
      </c>
    </row>
    <row r="45" spans="3:20">
      <c r="C45" s="217" t="s">
        <v>2032</v>
      </c>
    </row>
    <row r="46" spans="3:20">
      <c r="D46" s="69" t="s">
        <v>486</v>
      </c>
      <c r="E46" s="218">
        <f t="shared" ref="E46:N46" si="18">obalExecutionVelocity</f>
        <v>0.5</v>
      </c>
      <c r="F46" s="218">
        <f t="shared" si="18"/>
        <v>0.5</v>
      </c>
      <c r="G46" s="218">
        <f t="shared" si="18"/>
        <v>0.5</v>
      </c>
      <c r="H46" s="218">
        <f t="shared" si="18"/>
        <v>0.5</v>
      </c>
      <c r="I46" s="218">
        <f t="shared" si="18"/>
        <v>0.5</v>
      </c>
      <c r="J46" s="218">
        <f t="shared" si="18"/>
        <v>0.5</v>
      </c>
      <c r="K46" s="218">
        <f t="shared" si="18"/>
        <v>0.5</v>
      </c>
      <c r="L46" s="218">
        <f t="shared" si="18"/>
        <v>0.5</v>
      </c>
      <c r="M46" s="218">
        <f t="shared" si="18"/>
        <v>0.5</v>
      </c>
      <c r="N46" s="218">
        <f t="shared" si="18"/>
        <v>0.5</v>
      </c>
      <c r="P46" s="217"/>
      <c r="Q46" s="217"/>
      <c r="R46" s="217"/>
      <c r="S46" s="217"/>
      <c r="T46" s="217"/>
    </row>
    <row r="47" spans="3:20">
      <c r="D47" s="69" t="s">
        <v>2179</v>
      </c>
      <c r="E47" s="218">
        <f>(INDEX(datatblOrg62Timeline,MATCH(decGTMOrg62Timeline,Data!$C$106:$C$111,0),1)*(1-calcDelayImpactOrg62)*(1/paramOrg62Impacts))</f>
        <v>0</v>
      </c>
      <c r="F47" s="218">
        <f>(INDEX(datatblOrg62Timeline,MATCH(decGTMOrg62Timeline,Data!$C$106:$C$111,0),1)*(1-calcDelayImpactOrg62)*(1/paramOrg62Impacts))</f>
        <v>0</v>
      </c>
      <c r="G47" s="218">
        <f>(INDEX(datatblOrg62Timeline,MATCH(decGTMOrg62Timeline,Data!$C$106:$C$111,0),1)*(1-calcDelayImpactOrg62)*(1/paramOrg62Impacts))</f>
        <v>0</v>
      </c>
      <c r="H47" s="218">
        <f>(INDEX(datatblOrg62Timeline,MATCH(decGTMOrg62Timeline,Data!$C$106:$C$111,0),1)*(1-calcDelayImpactOrg62)*(1/paramOrg62Impacts))</f>
        <v>0</v>
      </c>
      <c r="I47" s="218">
        <f>(INDEX(datatblOrg62Timeline,MATCH(decGTMOrg62Timeline,Data!$C$106:$C$111,0),1)*(1-calcDelayImpactOrg62)*(1/paramOrg62Impacts))</f>
        <v>0</v>
      </c>
      <c r="J47" s="218">
        <f>(INDEX(datatblOrg62Timeline,MATCH(decGTMOrg62Timeline,Data!$C$106:$C$111,0),1)*(1-calcDelayImpactOrg62)*(1/paramOrg62Impacts))</f>
        <v>0</v>
      </c>
      <c r="K47" s="218">
        <f>(INDEX(datatblOrg62Timeline,MATCH(decGTMOrg62Timeline,Data!$C$106:$C$111,0),1)*(1-calcDelayImpactOrg62)*(1/paramOrg62Impacts))</f>
        <v>0</v>
      </c>
      <c r="L47" s="218">
        <f>(INDEX(datatblOrg62Timeline,MATCH(decGTMOrg62Timeline,Data!$C$106:$C$111,0),1)*(1-calcDelayImpactOrg62)*(1/paramOrg62Impacts))</f>
        <v>0</v>
      </c>
      <c r="M47" s="218">
        <f>(INDEX(datatblOrg62Timeline,MATCH(decGTMOrg62Timeline,Data!$C$106:$C$111,0),1)*(1-calcDelayImpactOrg62)*(1/paramOrg62Impacts))</f>
        <v>0</v>
      </c>
      <c r="N47" s="218">
        <f>(INDEX(datatblOrg62Timeline,MATCH(decGTMOrg62Timeline,Data!$C$106:$C$111,0),1)*(1-calcDelayImpactOrg62)*(1/paramOrg62Impacts))</f>
        <v>0</v>
      </c>
      <c r="O47" s="69" t="s">
        <v>2037</v>
      </c>
      <c r="P47" s="482"/>
      <c r="Q47" s="482"/>
      <c r="R47" s="482"/>
      <c r="S47" s="482"/>
      <c r="T47" s="482"/>
    </row>
    <row r="48" spans="3:20">
      <c r="D48" s="69" t="s">
        <v>408</v>
      </c>
      <c r="E48" s="218">
        <f>INDEX(datatblPeopleTimeline,MATCH(decPeopleTimeline,Data!$C$116:$C$121,0),1)*(1-calcDelayImpactHarm)</f>
        <v>0</v>
      </c>
      <c r="F48" s="218">
        <f>INDEX(datatblPeopleTimeline,MATCH(decPeopleTimeline,Data!$C$116:$C$121,0),1)*(1-calcDelayImpactHarm)</f>
        <v>0</v>
      </c>
      <c r="G48" s="218">
        <f>INDEX(datatblPeopleTimeline,MATCH(decPeopleTimeline,Data!$C$116:$C$121,0),1)*(1-calcDelayImpactHarm)</f>
        <v>0</v>
      </c>
      <c r="H48" s="218">
        <f>INDEX(datatblPeopleTimeline,MATCH(decPeopleTimeline,Data!$C$116:$C$121,0),1)*(1-calcDelayImpactHarm)</f>
        <v>0</v>
      </c>
      <c r="I48" s="218">
        <f>INDEX(datatblPeopleTimeline,MATCH(decPeopleTimeline,Data!$C$116:$C$121,0),1)*(1-calcDelayImpactHarm)</f>
        <v>0</v>
      </c>
      <c r="J48" s="218">
        <f>INDEX(datatblPeopleTimeline,MATCH(decPeopleTimeline,Data!$C$116:$C$121,0),1)*(1-calcDelayImpactHarm)</f>
        <v>0</v>
      </c>
      <c r="K48" s="218">
        <f>INDEX(datatblPeopleTimeline,MATCH(decPeopleTimeline,Data!$C$116:$C$121,0),1)*(1-calcDelayImpactHarm)</f>
        <v>0</v>
      </c>
      <c r="L48" s="218">
        <f>INDEX(datatblPeopleTimeline,MATCH(decPeopleTimeline,Data!$C$116:$C$121,0),1)*(1-calcDelayImpactHarm)</f>
        <v>0</v>
      </c>
      <c r="M48" s="218">
        <f>INDEX(datatblPeopleTimeline,MATCH(decPeopleTimeline,Data!$C$116:$C$121,0),1)*(1-calcDelayImpactHarm)</f>
        <v>0</v>
      </c>
      <c r="N48" s="218">
        <f>INDEX(datatblPeopleTimeline,MATCH(decPeopleTimeline,Data!$C$116:$C$121,0),1)*(1-calcDelayImpactHarm)</f>
        <v>0</v>
      </c>
      <c r="O48" s="69" t="s">
        <v>2038</v>
      </c>
    </row>
    <row r="49" spans="4:19" s="473" customFormat="1">
      <c r="D49" s="473" t="s">
        <v>1657</v>
      </c>
      <c r="E49" s="734">
        <f>INDEX(datatblEmpIntegrationLevelImpact,MATCH(decITIntegrationLevel,Data!$C$75:$C$79,0),2)</f>
        <v>0</v>
      </c>
      <c r="F49" s="734">
        <f>INDEX(datatblEmpIntegrationLevelImpact,MATCH(decITIntegrationLevel,Data!$C$75:$C$79,0),2)</f>
        <v>0</v>
      </c>
      <c r="G49" s="734">
        <f>INDEX(datatblEmpIntegrationLevelImpact,MATCH(decITIntegrationLevel,Data!$C$75:$C$79,0),2)</f>
        <v>0</v>
      </c>
      <c r="H49" s="734">
        <f>INDEX(datatblEmpIntegrationLevelImpact,MATCH(decITIntegrationLevel,Data!$C$75:$C$79,0),2)</f>
        <v>0</v>
      </c>
      <c r="I49" s="734">
        <f>INDEX(datatblEmpIntegrationLevelImpact,MATCH(decITIntegrationLevel,Data!$C$75:$C$79,0),2)</f>
        <v>0</v>
      </c>
      <c r="J49" s="734">
        <f>INDEX(datatblEmpIntegrationLevelImpact,MATCH(decITIntegrationLevel,Data!$C$75:$C$79,0),2)</f>
        <v>0</v>
      </c>
      <c r="K49" s="734">
        <f>INDEX(datatblEmpIntegrationLevelImpact,MATCH(decITIntegrationLevel,Data!$C$75:$C$79,0),2)</f>
        <v>0</v>
      </c>
      <c r="L49" s="734">
        <f>INDEX(datatblEmpIntegrationLevelImpact,MATCH(decITIntegrationLevel,Data!$C$75:$C$79,0),2)</f>
        <v>0</v>
      </c>
      <c r="M49" s="734">
        <f>INDEX(datatblEmpIntegrationLevelImpact,MATCH(decITIntegrationLevel,Data!$C$75:$C$79,0),2)</f>
        <v>0</v>
      </c>
      <c r="N49" s="734">
        <f>INDEX(datatblEmpIntegrationLevelImpact,MATCH(decITIntegrationLevel,Data!$C$75:$C$79,0),2)</f>
        <v>0</v>
      </c>
      <c r="O49" s="473" t="s">
        <v>3054</v>
      </c>
    </row>
    <row r="50" spans="4:19" s="473" customFormat="1">
      <c r="D50" s="473" t="s">
        <v>3051</v>
      </c>
      <c r="E50" s="734">
        <f>INDEX(datatblBackOfficeTimeline,MATCH(decITTimeline,Data!$C$176:$C$181,0),1)</f>
        <v>0</v>
      </c>
      <c r="F50" s="734">
        <f>INDEX(datatblBackOfficeTimeline,MATCH(decITTimeline,Data!$C$176:$C$181,0),1)</f>
        <v>0</v>
      </c>
      <c r="G50" s="734">
        <f>INDEX(datatblBackOfficeTimeline,MATCH(decITTimeline,Data!$C$176:$C$181,0),1)</f>
        <v>0</v>
      </c>
      <c r="H50" s="734">
        <f>INDEX(datatblBackOfficeTimeline,MATCH(decITTimeline,Data!$C$176:$C$181,0),1)</f>
        <v>0</v>
      </c>
      <c r="I50" s="734">
        <f>INDEX(datatblBackOfficeTimeline,MATCH(decITTimeline,Data!$C$176:$C$181,0),1)</f>
        <v>0</v>
      </c>
      <c r="J50" s="734">
        <f>INDEX(datatblBackOfficeTimeline,MATCH(decITTimeline,Data!$C$176:$C$181,0),1)</f>
        <v>0</v>
      </c>
      <c r="K50" s="734">
        <f>INDEX(datatblBackOfficeTimeline,MATCH(decITTimeline,Data!$C$176:$C$181,0),1)</f>
        <v>0</v>
      </c>
      <c r="L50" s="734">
        <f>INDEX(datatblBackOfficeTimeline,MATCH(decITTimeline,Data!$C$176:$C$181,0),1)</f>
        <v>0</v>
      </c>
      <c r="M50" s="734">
        <f>INDEX(datatblBackOfficeTimeline,MATCH(decITTimeline,Data!$C$176:$C$181,0),1)</f>
        <v>0</v>
      </c>
      <c r="N50" s="734">
        <f>INDEX(datatblBackOfficeTimeline,MATCH(decITTimeline,Data!$C$176:$C$181,0),1)</f>
        <v>0</v>
      </c>
      <c r="O50" s="473" t="s">
        <v>3053</v>
      </c>
    </row>
    <row r="51" spans="4:19" s="473" customFormat="1">
      <c r="D51" s="473" t="s">
        <v>1969</v>
      </c>
      <c r="E51" s="734">
        <f>INDEX(datatblSecurityTimeline,MATCH(decSecurityTimeline,Data!$C$116:$C$121,0),1)*(1-calcDelayImpactTrust)</f>
        <v>0</v>
      </c>
      <c r="F51" s="734">
        <f>INDEX(datatblSecurityTimeline,MATCH(decSecurityTimeline,Data!$C$116:$C$121,0),1)*(1-calcDelayImpactTrust)</f>
        <v>0</v>
      </c>
      <c r="G51" s="734">
        <f>INDEX(datatblSecurityTimeline,MATCH(decSecurityTimeline,Data!$C$116:$C$121,0),1)*(1-calcDelayImpactTrust)</f>
        <v>0</v>
      </c>
      <c r="H51" s="734">
        <f>INDEX(datatblSecurityTimeline,MATCH(decSecurityTimeline,Data!$C$116:$C$121,0),1)*(1-calcDelayImpactTrust)</f>
        <v>0</v>
      </c>
      <c r="I51" s="734">
        <f>INDEX(datatblSecurityTimeline,MATCH(decSecurityTimeline,Data!$C$116:$C$121,0),1)*(1-calcDelayImpactTrust)</f>
        <v>0</v>
      </c>
      <c r="J51" s="734">
        <f>INDEX(datatblSecurityTimeline,MATCH(decSecurityTimeline,Data!$C$116:$C$121,0),1)*(1-calcDelayImpactTrust)</f>
        <v>0</v>
      </c>
      <c r="K51" s="734">
        <f>INDEX(datatblSecurityTimeline,MATCH(decSecurityTimeline,Data!$C$116:$C$121,0),1)*(1-calcDelayImpactTrust)</f>
        <v>0</v>
      </c>
      <c r="L51" s="734">
        <f>INDEX(datatblSecurityTimeline,MATCH(decSecurityTimeline,Data!$C$116:$C$121,0),1)*(1-calcDelayImpactTrust)</f>
        <v>0</v>
      </c>
      <c r="M51" s="734">
        <f>INDEX(datatblSecurityTimeline,MATCH(decSecurityTimeline,Data!$C$116:$C$121,0),1)*(1-calcDelayImpactTrust)</f>
        <v>0</v>
      </c>
      <c r="N51" s="734">
        <f>INDEX(datatblSecurityTimeline,MATCH(decSecurityTimeline,Data!$C$116:$C$121,0),1)*(1-calcDelayImpactTrust)</f>
        <v>0</v>
      </c>
      <c r="O51" s="473" t="s">
        <v>2254</v>
      </c>
    </row>
    <row r="52" spans="4:19" s="473" customFormat="1">
      <c r="D52" s="473" t="s">
        <v>1967</v>
      </c>
      <c r="E52" s="734">
        <f>INDEX(datatblProductTimeline,MATCH(decProductTimeline,Data!$C$166:$C$171,0),1)*(1-calcDelayImpactTrust)</f>
        <v>0</v>
      </c>
      <c r="F52" s="734">
        <f>INDEX(datatblProductTimeline,MATCH(decProductTimeline,Data!$C$166:$C$171,0),1)*(1-calcDelayImpactTrust)</f>
        <v>0</v>
      </c>
      <c r="G52" s="734">
        <f>INDEX(datatblProductTimeline,MATCH(decProductTimeline,Data!$C$166:$C$171,0),1)*(1-calcDelayImpactTrust)</f>
        <v>0</v>
      </c>
      <c r="H52" s="734">
        <f>INDEX(datatblProductTimeline,MATCH(decProductTimeline,Data!$C$166:$C$171,0),1)*(1-calcDelayImpactTrust)</f>
        <v>0</v>
      </c>
      <c r="I52" s="734">
        <f>INDEX(datatblProductTimeline,MATCH(decProductTimeline,Data!$C$166:$C$171,0),1)*(1-calcDelayImpactTrust)</f>
        <v>0</v>
      </c>
      <c r="J52" s="734">
        <f>INDEX(datatblProductTimeline,MATCH(decProductTimeline,Data!$C$166:$C$171,0),1)*(1-calcDelayImpactTrust)</f>
        <v>0</v>
      </c>
      <c r="K52" s="734">
        <f>INDEX(datatblProductTimeline,MATCH(decProductTimeline,Data!$C$166:$C$171,0),1)*(1-calcDelayImpactTrust)</f>
        <v>0</v>
      </c>
      <c r="L52" s="734">
        <f>INDEX(datatblProductTimeline,MATCH(decProductTimeline,Data!$C$166:$C$171,0),1)*(1-calcDelayImpactTrust)</f>
        <v>0</v>
      </c>
      <c r="M52" s="734">
        <f>INDEX(datatblProductTimeline,MATCH(decProductTimeline,Data!$C$166:$C$171,0),1)*(1-calcDelayImpactTrust)</f>
        <v>0</v>
      </c>
      <c r="N52" s="734">
        <f>INDEX(datatblProductTimeline,MATCH(decProductTimeline,Data!$C$166:$C$171,0),1)*(1-calcDelayImpactTrust)</f>
        <v>0</v>
      </c>
      <c r="O52" s="473" t="s">
        <v>3068</v>
      </c>
    </row>
    <row r="53" spans="4:19">
      <c r="D53" s="69" t="s">
        <v>1944</v>
      </c>
      <c r="E53" s="614">
        <f>INDEX(datatblP0RiskMitigation,MATCH(decSecurityP0RiskMitigation,Data!$C$136:$C$141,0),1)*calcTrustIntegrationTimelineImpact*(1-calcDelayImpactTrust)</f>
        <v>0</v>
      </c>
      <c r="F53" s="614">
        <f>INDEX(datatblP0RiskMitigation,MATCH(decSecurityP0RiskMitigation,Data!$C$136:$C$141,0),1)*calcTrustIntegrationTimelineImpact*(1-calcDelayImpactTrust)</f>
        <v>0</v>
      </c>
      <c r="G53" s="614">
        <f>INDEX(datatblP0RiskMitigation,MATCH(decSecurityP0RiskMitigation,Data!$C$136:$C$141,0),1)*calcTrustIntegrationTimelineImpact*(1-calcDelayImpactTrust)</f>
        <v>0</v>
      </c>
      <c r="H53" s="614">
        <f>INDEX(datatblP0RiskMitigation,MATCH(decSecurityP0RiskMitigation,Data!$C$136:$C$141,0),1)*calcTrustIntegrationTimelineImpact*(1-calcDelayImpactTrust)</f>
        <v>0</v>
      </c>
      <c r="I53" s="614">
        <f>INDEX(datatblP0RiskMitigation,MATCH(decSecurityP0RiskMitigation,Data!$C$136:$C$141,0),1)*calcTrustIntegrationTimelineImpact*(1-calcDelayImpactTrust)</f>
        <v>0</v>
      </c>
      <c r="J53" s="614">
        <f>INDEX(datatblP0RiskMitigation,MATCH(decSecurityP0RiskMitigation,Data!$C$136:$C$141,0),1)*calcTrustIntegrationTimelineImpact*(1-calcDelayImpactTrust)</f>
        <v>0</v>
      </c>
      <c r="K53" s="614">
        <f>INDEX(datatblP0RiskMitigation,MATCH(decSecurityP0RiskMitigation,Data!$C$136:$C$141,0),1)*calcTrustIntegrationTimelineImpact*(1-calcDelayImpactTrust)</f>
        <v>0</v>
      </c>
      <c r="L53" s="614">
        <f>INDEX(datatblP0RiskMitigation,MATCH(decSecurityP0RiskMitigation,Data!$C$136:$C$141,0),1)*calcTrustIntegrationTimelineImpact*(1-calcDelayImpactTrust)</f>
        <v>0</v>
      </c>
      <c r="M53" s="614">
        <f>INDEX(datatblP0RiskMitigation,MATCH(decSecurityP0RiskMitigation,Data!$C$136:$C$141,0),1)*calcTrustIntegrationTimelineImpact*(1-calcDelayImpactTrust)</f>
        <v>0</v>
      </c>
      <c r="N53" s="614">
        <f>INDEX(datatblP0RiskMitigation,MATCH(decSecurityP0RiskMitigation,Data!$C$136:$C$141,0),1)*calcTrustIntegrationTimelineImpact*(1-calcDelayImpactTrust)</f>
        <v>0</v>
      </c>
      <c r="O53" s="69" t="s">
        <v>2039</v>
      </c>
    </row>
    <row r="54" spans="4:19">
      <c r="D54" s="69" t="s">
        <v>1951</v>
      </c>
      <c r="E54" s="614">
        <f>INDEX(datatblP1RiskMitigation,MATCH(decSecurityP1RiskMitigation,Data!$C$146:$C$151,0),1)*calcTrustIntegrationTimelineImpact*(1-calcDelayImpactTrust)</f>
        <v>0</v>
      </c>
      <c r="F54" s="614">
        <f>INDEX(datatblP1RiskMitigation,MATCH(decSecurityP1RiskMitigation,Data!$C$146:$C$151,0),1)*calcTrustIntegrationTimelineImpact*(1-calcDelayImpactTrust)</f>
        <v>0</v>
      </c>
      <c r="G54" s="614">
        <f>INDEX(datatblP1RiskMitigation,MATCH(decSecurityP1RiskMitigation,Data!$C$146:$C$151,0),1)*calcTrustIntegrationTimelineImpact*(1-calcDelayImpactTrust)</f>
        <v>0</v>
      </c>
      <c r="H54" s="614">
        <f>INDEX(datatblP1RiskMitigation,MATCH(decSecurityP1RiskMitigation,Data!$C$146:$C$151,0),1)*calcTrustIntegrationTimelineImpact*(1-calcDelayImpactTrust)</f>
        <v>0</v>
      </c>
      <c r="I54" s="614">
        <f>INDEX(datatblP1RiskMitigation,MATCH(decSecurityP1RiskMitigation,Data!$C$146:$C$151,0),1)*calcTrustIntegrationTimelineImpact*(1-calcDelayImpactTrust)</f>
        <v>0</v>
      </c>
      <c r="J54" s="614">
        <f>INDEX(datatblP1RiskMitigation,MATCH(decSecurityP1RiskMitigation,Data!$C$146:$C$151,0),1)*calcTrustIntegrationTimelineImpact*(1-calcDelayImpactTrust)</f>
        <v>0</v>
      </c>
      <c r="K54" s="614">
        <f>INDEX(datatblP1RiskMitigation,MATCH(decSecurityP1RiskMitigation,Data!$C$146:$C$151,0),1)*calcTrustIntegrationTimelineImpact*(1-calcDelayImpactTrust)</f>
        <v>0</v>
      </c>
      <c r="L54" s="614">
        <f>INDEX(datatblP1RiskMitigation,MATCH(decSecurityP1RiskMitigation,Data!$C$146:$C$151,0),1)*calcTrustIntegrationTimelineImpact*(1-calcDelayImpactTrust)</f>
        <v>0</v>
      </c>
      <c r="M54" s="614">
        <f>INDEX(datatblP1RiskMitigation,MATCH(decSecurityP1RiskMitigation,Data!$C$146:$C$151,0),1)*calcTrustIntegrationTimelineImpact*(1-calcDelayImpactTrust)</f>
        <v>0</v>
      </c>
      <c r="N54" s="614">
        <f>INDEX(datatblP1RiskMitigation,MATCH(decSecurityP1RiskMitigation,Data!$C$146:$C$151,0),1)*calcTrustIntegrationTimelineImpact*(1-calcDelayImpactTrust)</f>
        <v>0</v>
      </c>
      <c r="O54" s="69" t="s">
        <v>2040</v>
      </c>
    </row>
    <row r="55" spans="4:19">
      <c r="D55" s="69" t="s">
        <v>2087</v>
      </c>
      <c r="E55" s="614">
        <f>INDEX(datatblP2RiskMitigation,MATCH(decSecurityP2RiskMitigation,Data!$C$156:$C$161,0),1)*calcTrustIntegrationTimelineImpact*(1-calcDelayImpactTrust)</f>
        <v>0</v>
      </c>
      <c r="F55" s="614">
        <f>INDEX(datatblP2RiskMitigation,MATCH(decSecurityP2RiskMitigation,Data!$C$156:$C$161,0),1)*calcTrustIntegrationTimelineImpact*(1-calcDelayImpactTrust)</f>
        <v>0</v>
      </c>
      <c r="G55" s="614">
        <f>INDEX(datatblP2RiskMitigation,MATCH(decSecurityP2RiskMitigation,Data!$C$156:$C$161,0),1)*calcTrustIntegrationTimelineImpact*(1-calcDelayImpactTrust)</f>
        <v>0</v>
      </c>
      <c r="H55" s="614">
        <f>INDEX(datatblP2RiskMitigation,MATCH(decSecurityP2RiskMitigation,Data!$C$156:$C$161,0),1)*calcTrustIntegrationTimelineImpact*(1-calcDelayImpactTrust)</f>
        <v>0</v>
      </c>
      <c r="I55" s="614">
        <f>INDEX(datatblP2RiskMitigation,MATCH(decSecurityP2RiskMitigation,Data!$C$156:$C$161,0),1)*calcTrustIntegrationTimelineImpact*(1-calcDelayImpactTrust)</f>
        <v>0</v>
      </c>
      <c r="J55" s="614">
        <f>INDEX(datatblP2RiskMitigation,MATCH(decSecurityP2RiskMitigation,Data!$C$156:$C$161,0),1)*calcTrustIntegrationTimelineImpact*(1-calcDelayImpactTrust)</f>
        <v>0</v>
      </c>
      <c r="K55" s="614">
        <f>INDEX(datatblP2RiskMitigation,MATCH(decSecurityP2RiskMitigation,Data!$C$156:$C$161,0),1)*calcTrustIntegrationTimelineImpact*(1-calcDelayImpactTrust)</f>
        <v>0</v>
      </c>
      <c r="L55" s="614">
        <f>INDEX(datatblP2RiskMitigation,MATCH(decSecurityP2RiskMitigation,Data!$C$156:$C$161,0),1)*calcTrustIntegrationTimelineImpact*(1-calcDelayImpactTrust)</f>
        <v>0</v>
      </c>
      <c r="M55" s="614">
        <f>INDEX(datatblP2RiskMitigation,MATCH(decSecurityP2RiskMitigation,Data!$C$156:$C$161,0),1)*calcTrustIntegrationTimelineImpact*(1-calcDelayImpactTrust)</f>
        <v>0</v>
      </c>
      <c r="N55" s="614">
        <f>INDEX(datatblP2RiskMitigation,MATCH(decSecurityP2RiskMitigation,Data!$C$156:$C$161,0),1)*calcTrustIntegrationTimelineImpact*(1-calcDelayImpactTrust)</f>
        <v>0</v>
      </c>
      <c r="O55" s="69" t="s">
        <v>2041</v>
      </c>
    </row>
    <row r="56" spans="4:19">
      <c r="D56" s="69" t="s">
        <v>1154</v>
      </c>
      <c r="E56" s="425">
        <f t="shared" ref="E56:N56" si="19">IF(decITOfficePlan="Move to Cloud",$Q56,IF(decITOfficePlan="Keep Existing",$R56,$S56))</f>
        <v>0</v>
      </c>
      <c r="F56" s="425">
        <f t="shared" si="19"/>
        <v>0</v>
      </c>
      <c r="G56" s="425">
        <f t="shared" si="19"/>
        <v>0</v>
      </c>
      <c r="H56" s="425">
        <f t="shared" si="19"/>
        <v>0</v>
      </c>
      <c r="I56" s="425">
        <f t="shared" si="19"/>
        <v>0</v>
      </c>
      <c r="J56" s="425">
        <f t="shared" si="19"/>
        <v>0</v>
      </c>
      <c r="K56" s="425">
        <f t="shared" si="19"/>
        <v>0</v>
      </c>
      <c r="L56" s="425">
        <f t="shared" si="19"/>
        <v>0</v>
      </c>
      <c r="M56" s="425">
        <f t="shared" si="19"/>
        <v>0</v>
      </c>
      <c r="N56" s="425">
        <f t="shared" si="19"/>
        <v>0</v>
      </c>
      <c r="O56" s="69" t="s">
        <v>2043</v>
      </c>
      <c r="Q56" s="482">
        <v>0.05</v>
      </c>
      <c r="R56" s="482">
        <v>-0.05</v>
      </c>
      <c r="S56" s="482">
        <v>0</v>
      </c>
    </row>
    <row r="57" spans="4:19">
      <c r="D57" s="69" t="s">
        <v>2282</v>
      </c>
      <c r="E57" s="425">
        <f>INDEX(datatblCSGPostSales,MATCH(decGTMCSGPostSales,Data!$C$204:$C$209,0),1)</f>
        <v>0</v>
      </c>
      <c r="F57" s="425">
        <f>INDEX(datatblCSGPostSales,MATCH(decGTMCSGPostSales,Data!$C$204:$C$209,0),1)</f>
        <v>0</v>
      </c>
      <c r="G57" s="425">
        <f>INDEX(datatblCSGPostSales,MATCH(decGTMCSGPostSales,Data!$C$204:$C$209,0),1)</f>
        <v>0</v>
      </c>
      <c r="H57" s="425">
        <f>INDEX(datatblCSGPostSales,MATCH(decGTMCSGPostSales,Data!$C$204:$C$209,0),1)</f>
        <v>0</v>
      </c>
      <c r="I57" s="425">
        <f>INDEX(datatblCSGPostSales,MATCH(decGTMCSGPostSales,Data!$C$204:$C$209,0),1)</f>
        <v>0</v>
      </c>
      <c r="J57" s="425">
        <f>INDEX(datatblCSGPostSales,MATCH(decGTMCSGPostSales,Data!$C$204:$C$209,0),1)</f>
        <v>0</v>
      </c>
      <c r="K57" s="425">
        <f>INDEX(datatblCSGPostSales,MATCH(decGTMCSGPostSales,Data!$C$204:$C$209,0),1)</f>
        <v>0</v>
      </c>
      <c r="L57" s="425">
        <f>INDEX(datatblCSGPostSales,MATCH(decGTMCSGPostSales,Data!$C$204:$C$209,0),1)</f>
        <v>0</v>
      </c>
      <c r="M57" s="425">
        <f>INDEX(datatblCSGPostSales,MATCH(decGTMCSGPostSales,Data!$C$204:$C$209,0),1)</f>
        <v>0</v>
      </c>
      <c r="N57" s="425">
        <f>INDEX(datatblCSGPostSales,MATCH(decGTMCSGPostSales,Data!$C$204:$C$209,0),1)</f>
        <v>0</v>
      </c>
      <c r="O57" s="69" t="s">
        <v>2346</v>
      </c>
      <c r="Q57" s="482"/>
      <c r="R57" s="482"/>
      <c r="S57" s="482"/>
    </row>
    <row r="58" spans="4:19">
      <c r="D58" s="69" t="s">
        <v>3079</v>
      </c>
      <c r="E58" s="504">
        <f>INDEX(datatblBrandIntegration,MATCH(decGTMBrandIntegration,Data!$C$220:$C$226,0),1)</f>
        <v>0</v>
      </c>
      <c r="F58" s="504">
        <f>INDEX(datatblBrandIntegration,MATCH(decGTMBrandIntegration,Data!$C$220:$C$226,0),1)</f>
        <v>0</v>
      </c>
      <c r="G58" s="504">
        <f>INDEX(datatblBrandIntegration,MATCH(decGTMBrandIntegration,Data!$C$220:$C$226,0),1)</f>
        <v>0</v>
      </c>
      <c r="H58" s="504">
        <f>INDEX(datatblBrandIntegration,MATCH(decGTMBrandIntegration,Data!$C$220:$C$226,0),1)</f>
        <v>0</v>
      </c>
      <c r="I58" s="504">
        <f>INDEX(datatblBrandIntegration,MATCH(decGTMBrandIntegration,Data!$C$220:$C$226,0),1)</f>
        <v>0</v>
      </c>
      <c r="J58" s="504">
        <f>INDEX(datatblBrandIntegration,MATCH(decGTMBrandIntegration,Data!$C$220:$C$226,0),1)</f>
        <v>0</v>
      </c>
      <c r="K58" s="504">
        <f>INDEX(datatblBrandIntegration,MATCH(decGTMBrandIntegration,Data!$C$220:$C$226,0),1)</f>
        <v>0</v>
      </c>
      <c r="L58" s="504">
        <f>INDEX(datatblBrandIntegration,MATCH(decGTMBrandIntegration,Data!$C$220:$C$226,0),1)</f>
        <v>0</v>
      </c>
      <c r="M58" s="504">
        <f>INDEX(datatblBrandIntegration,MATCH(decGTMBrandIntegration,Data!$C$220:$C$226,0),1)</f>
        <v>0</v>
      </c>
      <c r="N58" s="504">
        <f>INDEX(datatblBrandIntegration,MATCH(decGTMBrandIntegration,Data!$C$220:$C$226,0),1)</f>
        <v>0</v>
      </c>
      <c r="O58" s="69" t="s">
        <v>3111</v>
      </c>
    </row>
    <row r="59" spans="4:19">
      <c r="D59" s="69" t="s">
        <v>2277</v>
      </c>
      <c r="E59" s="425">
        <f>INDEX(datatblLeadPass,MATCH(decGTMLeadPass,Data!$C$212:$C$217,0),1)*calcLeadPassActivate</f>
        <v>0</v>
      </c>
      <c r="F59" s="425">
        <f>INDEX(datatblLeadPass,MATCH(decGTMLeadPass,Data!$C$212:$C$217,0),1)*calcLeadPassActivate</f>
        <v>0</v>
      </c>
      <c r="G59" s="425">
        <f>INDEX(datatblLeadPass,MATCH(decGTMLeadPass,Data!$C$212:$C$217,0),1)*calcLeadPassActivate</f>
        <v>0</v>
      </c>
      <c r="H59" s="425">
        <f>INDEX(datatblLeadPass,MATCH(decGTMLeadPass,Data!$C$212:$C$217,0),1)*calcLeadPassActivate</f>
        <v>0</v>
      </c>
      <c r="I59" s="425">
        <f>INDEX(datatblLeadPass,MATCH(decGTMLeadPass,Data!$C$212:$C$217,0),1)*calcLeadPassActivate</f>
        <v>0</v>
      </c>
      <c r="J59" s="425">
        <f>INDEX(datatblLeadPass,MATCH(decGTMLeadPass,Data!$C$212:$C$217,0),1)*calcLeadPassActivate</f>
        <v>0</v>
      </c>
      <c r="K59" s="425">
        <f>INDEX(datatblLeadPass,MATCH(decGTMLeadPass,Data!$C$212:$C$217,0),1)*calcLeadPassActivate</f>
        <v>0</v>
      </c>
      <c r="L59" s="425">
        <f>INDEX(datatblLeadPass,MATCH(decGTMLeadPass,Data!$C$212:$C$217,0),1)*calcLeadPassActivate</f>
        <v>0</v>
      </c>
      <c r="M59" s="425">
        <f>INDEX(datatblLeadPass,MATCH(decGTMLeadPass,Data!$C$212:$C$217,0),1)*calcLeadPassActivate</f>
        <v>0</v>
      </c>
      <c r="N59" s="425">
        <f>INDEX(datatblLeadPass,MATCH(decGTMLeadPass,Data!$C$212:$C$217,0),1)*calcLeadPassActivate</f>
        <v>0</v>
      </c>
      <c r="O59" s="69" t="s">
        <v>2347</v>
      </c>
      <c r="Q59" s="482"/>
      <c r="R59" s="482"/>
      <c r="S59" s="482"/>
    </row>
    <row r="60" spans="4:19">
      <c r="D60" s="69" t="s">
        <v>974</v>
      </c>
      <c r="E60" s="425">
        <f t="shared" ref="E60:N60" si="20">calcDisruptionTimelineImpact</f>
        <v>0</v>
      </c>
      <c r="F60" s="425">
        <f t="shared" si="20"/>
        <v>0</v>
      </c>
      <c r="G60" s="425">
        <f t="shared" si="20"/>
        <v>0</v>
      </c>
      <c r="H60" s="425">
        <f t="shared" si="20"/>
        <v>0</v>
      </c>
      <c r="I60" s="425">
        <f t="shared" si="20"/>
        <v>0</v>
      </c>
      <c r="J60" s="425">
        <f t="shared" si="20"/>
        <v>0</v>
      </c>
      <c r="K60" s="425">
        <f t="shared" si="20"/>
        <v>0</v>
      </c>
      <c r="L60" s="425">
        <f t="shared" si="20"/>
        <v>0</v>
      </c>
      <c r="M60" s="425">
        <f t="shared" si="20"/>
        <v>0</v>
      </c>
      <c r="N60" s="425">
        <f t="shared" si="20"/>
        <v>0</v>
      </c>
      <c r="O60" s="69" t="s">
        <v>2348</v>
      </c>
      <c r="Q60" s="482"/>
      <c r="R60" s="482"/>
      <c r="S60" s="482"/>
    </row>
    <row r="61" spans="4:19">
      <c r="D61" s="69" t="s">
        <v>1655</v>
      </c>
      <c r="E61" s="425">
        <f t="shared" ref="E61:N61" si="21">paramDisruption</f>
        <v>0</v>
      </c>
      <c r="F61" s="425">
        <f t="shared" si="21"/>
        <v>0</v>
      </c>
      <c r="G61" s="425">
        <f t="shared" si="21"/>
        <v>0</v>
      </c>
      <c r="H61" s="425">
        <f t="shared" si="21"/>
        <v>0</v>
      </c>
      <c r="I61" s="425">
        <f t="shared" si="21"/>
        <v>0</v>
      </c>
      <c r="J61" s="425">
        <f t="shared" si="21"/>
        <v>0</v>
      </c>
      <c r="K61" s="425">
        <f t="shared" si="21"/>
        <v>0</v>
      </c>
      <c r="L61" s="425">
        <f t="shared" si="21"/>
        <v>0</v>
      </c>
      <c r="M61" s="425">
        <f t="shared" si="21"/>
        <v>0</v>
      </c>
      <c r="N61" s="425">
        <f t="shared" si="21"/>
        <v>0</v>
      </c>
      <c r="O61" s="69" t="s">
        <v>2042</v>
      </c>
    </row>
    <row r="62" spans="4:19" ht="6" customHeight="1">
      <c r="E62" s="216"/>
      <c r="F62" s="216"/>
      <c r="G62" s="216"/>
      <c r="H62" s="216"/>
      <c r="I62" s="216"/>
      <c r="J62" s="216"/>
      <c r="K62" s="216"/>
      <c r="L62" s="216"/>
      <c r="M62" s="216"/>
      <c r="N62" s="216"/>
    </row>
    <row r="63" spans="4:19" s="217" customFormat="1">
      <c r="D63" s="217" t="s">
        <v>487</v>
      </c>
      <c r="E63" s="411">
        <f>E46+SUM(E47:E62)</f>
        <v>0.5</v>
      </c>
      <c r="F63" s="411">
        <f>F46+SUM(F47:F62)</f>
        <v>0.5</v>
      </c>
      <c r="G63" s="411">
        <f>G46+SUM(G47:G62)</f>
        <v>0.5</v>
      </c>
      <c r="H63" s="411">
        <f>H46+SUM(H47:H62)</f>
        <v>0.5</v>
      </c>
      <c r="I63" s="411">
        <f>I46+SUM(I47:I62)</f>
        <v>0.5</v>
      </c>
      <c r="J63" s="411">
        <f t="shared" ref="J63:N63" si="22">J46+SUM(J47:J62)</f>
        <v>0.5</v>
      </c>
      <c r="K63" s="411">
        <f t="shared" si="22"/>
        <v>0.5</v>
      </c>
      <c r="L63" s="411">
        <f t="shared" si="22"/>
        <v>0.5</v>
      </c>
      <c r="M63" s="411">
        <f t="shared" si="22"/>
        <v>0.5</v>
      </c>
      <c r="N63" s="411">
        <f t="shared" si="22"/>
        <v>0.5</v>
      </c>
      <c r="O63" s="217" t="s">
        <v>490</v>
      </c>
    </row>
    <row r="65" spans="3:15">
      <c r="D65" s="69" t="s">
        <v>2349</v>
      </c>
      <c r="E65" s="69">
        <f t="shared" ref="E65:N65" si="23">IF(decGTMOrg62Timeline="Q1",0,1)</f>
        <v>1</v>
      </c>
      <c r="F65" s="69">
        <f t="shared" si="23"/>
        <v>1</v>
      </c>
      <c r="G65" s="69">
        <f t="shared" si="23"/>
        <v>1</v>
      </c>
      <c r="H65" s="69">
        <f t="shared" si="23"/>
        <v>1</v>
      </c>
      <c r="I65" s="69">
        <f t="shared" si="23"/>
        <v>1</v>
      </c>
      <c r="J65" s="69">
        <f t="shared" si="23"/>
        <v>1</v>
      </c>
      <c r="K65" s="69">
        <f t="shared" si="23"/>
        <v>1</v>
      </c>
      <c r="L65" s="69">
        <f t="shared" si="23"/>
        <v>1</v>
      </c>
      <c r="M65" s="69">
        <f t="shared" si="23"/>
        <v>1</v>
      </c>
      <c r="N65" s="69">
        <f t="shared" si="23"/>
        <v>1</v>
      </c>
      <c r="O65" s="69" t="s">
        <v>2350</v>
      </c>
    </row>
    <row r="66" spans="3:15">
      <c r="C66" s="217" t="s">
        <v>2138</v>
      </c>
    </row>
    <row r="67" spans="3:15">
      <c r="D67" s="69" t="s">
        <v>2131</v>
      </c>
      <c r="E67" s="69" t="str">
        <f t="shared" ref="E67:N67" si="24">decSecurityTimeline</f>
        <v>Choose</v>
      </c>
      <c r="F67" s="69" t="str">
        <f t="shared" si="24"/>
        <v>Choose</v>
      </c>
      <c r="G67" s="69" t="str">
        <f t="shared" si="24"/>
        <v>Choose</v>
      </c>
      <c r="H67" s="69" t="str">
        <f t="shared" si="24"/>
        <v>Choose</v>
      </c>
      <c r="I67" s="69" t="str">
        <f t="shared" si="24"/>
        <v>Choose</v>
      </c>
      <c r="J67" s="69" t="str">
        <f t="shared" si="24"/>
        <v>Choose</v>
      </c>
      <c r="K67" s="69" t="str">
        <f t="shared" si="24"/>
        <v>Choose</v>
      </c>
      <c r="L67" s="69" t="str">
        <f t="shared" si="24"/>
        <v>Choose</v>
      </c>
      <c r="M67" s="69" t="str">
        <f t="shared" si="24"/>
        <v>Choose</v>
      </c>
      <c r="N67" s="69" t="str">
        <f t="shared" si="24"/>
        <v>Choose</v>
      </c>
    </row>
    <row r="68" spans="3:15">
      <c r="D68" s="69" t="s">
        <v>2133</v>
      </c>
      <c r="E68" s="69" t="str">
        <f t="shared" ref="E68:N68" si="25">decITTimeline</f>
        <v>Choose</v>
      </c>
      <c r="F68" s="69" t="str">
        <f t="shared" si="25"/>
        <v>Choose</v>
      </c>
      <c r="G68" s="69" t="str">
        <f t="shared" si="25"/>
        <v>Choose</v>
      </c>
      <c r="H68" s="69" t="str">
        <f t="shared" si="25"/>
        <v>Choose</v>
      </c>
      <c r="I68" s="69" t="str">
        <f t="shared" si="25"/>
        <v>Choose</v>
      </c>
      <c r="J68" s="69" t="str">
        <f t="shared" si="25"/>
        <v>Choose</v>
      </c>
      <c r="K68" s="69" t="str">
        <f t="shared" si="25"/>
        <v>Choose</v>
      </c>
      <c r="L68" s="69" t="str">
        <f t="shared" si="25"/>
        <v>Choose</v>
      </c>
      <c r="M68" s="69" t="str">
        <f t="shared" si="25"/>
        <v>Choose</v>
      </c>
      <c r="N68" s="69" t="str">
        <f t="shared" si="25"/>
        <v>Choose</v>
      </c>
    </row>
    <row r="69" spans="3:15">
      <c r="D69" s="69" t="s">
        <v>2135</v>
      </c>
      <c r="E69" s="69" t="str">
        <f t="shared" ref="E69:N69" si="26">decProductTimeline</f>
        <v>Choose</v>
      </c>
      <c r="F69" s="69" t="str">
        <f t="shared" si="26"/>
        <v>Choose</v>
      </c>
      <c r="G69" s="69" t="str">
        <f t="shared" si="26"/>
        <v>Choose</v>
      </c>
      <c r="H69" s="69" t="str">
        <f t="shared" si="26"/>
        <v>Choose</v>
      </c>
      <c r="I69" s="69" t="str">
        <f t="shared" si="26"/>
        <v>Choose</v>
      </c>
      <c r="J69" s="69" t="str">
        <f t="shared" si="26"/>
        <v>Choose</v>
      </c>
      <c r="K69" s="69" t="str">
        <f t="shared" si="26"/>
        <v>Choose</v>
      </c>
      <c r="L69" s="69" t="str">
        <f t="shared" si="26"/>
        <v>Choose</v>
      </c>
      <c r="M69" s="69" t="str">
        <f t="shared" si="26"/>
        <v>Choose</v>
      </c>
      <c r="N69" s="69" t="str">
        <f t="shared" si="26"/>
        <v>Choose</v>
      </c>
    </row>
    <row r="70" spans="3:15">
      <c r="D70" s="69" t="s">
        <v>408</v>
      </c>
      <c r="E70" s="69" t="str">
        <f t="shared" ref="E70:N70" si="27">decPeopleTimeline</f>
        <v>Choose</v>
      </c>
      <c r="F70" s="69" t="str">
        <f t="shared" si="27"/>
        <v>Choose</v>
      </c>
      <c r="G70" s="69" t="str">
        <f t="shared" si="27"/>
        <v>Choose</v>
      </c>
      <c r="H70" s="69" t="str">
        <f t="shared" si="27"/>
        <v>Choose</v>
      </c>
      <c r="I70" s="69" t="str">
        <f t="shared" si="27"/>
        <v>Choose</v>
      </c>
      <c r="J70" s="69" t="str">
        <f t="shared" si="27"/>
        <v>Choose</v>
      </c>
      <c r="K70" s="69" t="str">
        <f t="shared" si="27"/>
        <v>Choose</v>
      </c>
      <c r="L70" s="69" t="str">
        <f t="shared" si="27"/>
        <v>Choose</v>
      </c>
      <c r="M70" s="69" t="str">
        <f t="shared" si="27"/>
        <v>Choose</v>
      </c>
      <c r="N70" s="69" t="str">
        <f t="shared" si="27"/>
        <v>Choose</v>
      </c>
    </row>
    <row r="71" spans="3:15">
      <c r="D71" s="69" t="s">
        <v>2089</v>
      </c>
      <c r="E71" s="69" t="str">
        <f t="shared" ref="E71:N71" si="28">decGTMOrg62Timeline</f>
        <v>Choose</v>
      </c>
      <c r="F71" s="69" t="str">
        <f t="shared" si="28"/>
        <v>Choose</v>
      </c>
      <c r="G71" s="69" t="str">
        <f t="shared" si="28"/>
        <v>Choose</v>
      </c>
      <c r="H71" s="69" t="str">
        <f t="shared" si="28"/>
        <v>Choose</v>
      </c>
      <c r="I71" s="69" t="str">
        <f t="shared" si="28"/>
        <v>Choose</v>
      </c>
      <c r="J71" s="69" t="str">
        <f t="shared" si="28"/>
        <v>Choose</v>
      </c>
      <c r="K71" s="69" t="str">
        <f t="shared" si="28"/>
        <v>Choose</v>
      </c>
      <c r="L71" s="69" t="str">
        <f t="shared" si="28"/>
        <v>Choose</v>
      </c>
      <c r="M71" s="69" t="str">
        <f t="shared" si="28"/>
        <v>Choose</v>
      </c>
      <c r="N71" s="69" t="str">
        <f t="shared" si="28"/>
        <v>Choose</v>
      </c>
    </row>
    <row r="72" spans="3:15">
      <c r="D72" s="69" t="s">
        <v>2284</v>
      </c>
      <c r="E72" s="69" t="str">
        <f t="shared" ref="E72:N72" si="29">decGTMCSGPostSales</f>
        <v>Choose</v>
      </c>
      <c r="F72" s="69" t="str">
        <f t="shared" si="29"/>
        <v>Choose</v>
      </c>
      <c r="G72" s="69" t="str">
        <f t="shared" si="29"/>
        <v>Choose</v>
      </c>
      <c r="H72" s="69" t="str">
        <f t="shared" si="29"/>
        <v>Choose</v>
      </c>
      <c r="I72" s="69" t="str">
        <f t="shared" si="29"/>
        <v>Choose</v>
      </c>
      <c r="J72" s="69" t="str">
        <f t="shared" si="29"/>
        <v>Choose</v>
      </c>
      <c r="K72" s="69" t="str">
        <f t="shared" si="29"/>
        <v>Choose</v>
      </c>
      <c r="L72" s="69" t="str">
        <f t="shared" si="29"/>
        <v>Choose</v>
      </c>
      <c r="M72" s="69" t="str">
        <f t="shared" si="29"/>
        <v>Choose</v>
      </c>
      <c r="N72" s="69" t="str">
        <f t="shared" si="29"/>
        <v>Choose</v>
      </c>
    </row>
    <row r="73" spans="3:15">
      <c r="D73" s="69" t="s">
        <v>3079</v>
      </c>
      <c r="E73" s="69" t="str">
        <f t="shared" ref="E73:N73" si="30">decGTMBrandIntegration</f>
        <v>Choose</v>
      </c>
      <c r="F73" s="69" t="str">
        <f t="shared" si="30"/>
        <v>Choose</v>
      </c>
      <c r="G73" s="69" t="str">
        <f t="shared" si="30"/>
        <v>Choose</v>
      </c>
      <c r="H73" s="69" t="str">
        <f t="shared" si="30"/>
        <v>Choose</v>
      </c>
      <c r="I73" s="69" t="str">
        <f t="shared" si="30"/>
        <v>Choose</v>
      </c>
      <c r="J73" s="69" t="str">
        <f t="shared" si="30"/>
        <v>Choose</v>
      </c>
      <c r="K73" s="69" t="str">
        <f t="shared" si="30"/>
        <v>Choose</v>
      </c>
      <c r="L73" s="69" t="str">
        <f t="shared" si="30"/>
        <v>Choose</v>
      </c>
      <c r="M73" s="69" t="str">
        <f t="shared" si="30"/>
        <v>Choose</v>
      </c>
      <c r="N73" s="69" t="str">
        <f t="shared" si="30"/>
        <v>Choose</v>
      </c>
    </row>
    <row r="74" spans="3:15">
      <c r="D74" s="69" t="s">
        <v>2237</v>
      </c>
      <c r="E74" s="69" t="str">
        <f t="shared" ref="E74:N74" si="31">IF(calcExternalSalesTimeline=27,"Choose","Q1")</f>
        <v>Choose</v>
      </c>
      <c r="F74" s="69" t="str">
        <f t="shared" si="31"/>
        <v>Choose</v>
      </c>
      <c r="G74" s="69" t="str">
        <f t="shared" si="31"/>
        <v>Choose</v>
      </c>
      <c r="H74" s="69" t="str">
        <f t="shared" si="31"/>
        <v>Choose</v>
      </c>
      <c r="I74" s="69" t="str">
        <f t="shared" si="31"/>
        <v>Choose</v>
      </c>
      <c r="J74" s="69" t="str">
        <f t="shared" si="31"/>
        <v>Choose</v>
      </c>
      <c r="K74" s="69" t="str">
        <f t="shared" si="31"/>
        <v>Choose</v>
      </c>
      <c r="L74" s="69" t="str">
        <f t="shared" si="31"/>
        <v>Choose</v>
      </c>
      <c r="M74" s="69" t="str">
        <f t="shared" si="31"/>
        <v>Choose</v>
      </c>
      <c r="N74" s="69" t="str">
        <f t="shared" si="31"/>
        <v>Choose</v>
      </c>
    </row>
    <row r="76" spans="3:15">
      <c r="D76" s="217" t="s">
        <v>1665</v>
      </c>
      <c r="E76" s="69">
        <f t="shared" ref="E76:N81" si="32">COUNTIF(E$67:E$74,$D76)</f>
        <v>8</v>
      </c>
      <c r="F76" s="69">
        <f t="shared" si="32"/>
        <v>8</v>
      </c>
      <c r="G76" s="69">
        <f t="shared" si="32"/>
        <v>8</v>
      </c>
      <c r="H76" s="69">
        <f t="shared" si="32"/>
        <v>8</v>
      </c>
      <c r="I76" s="69">
        <f t="shared" si="32"/>
        <v>8</v>
      </c>
      <c r="J76" s="69">
        <f t="shared" si="32"/>
        <v>8</v>
      </c>
      <c r="K76" s="69">
        <f t="shared" si="32"/>
        <v>8</v>
      </c>
      <c r="L76" s="69">
        <f t="shared" si="32"/>
        <v>8</v>
      </c>
      <c r="M76" s="69">
        <f t="shared" si="32"/>
        <v>8</v>
      </c>
      <c r="N76" s="69">
        <f t="shared" si="32"/>
        <v>8</v>
      </c>
    </row>
    <row r="77" spans="3:15">
      <c r="D77" s="69" t="s">
        <v>899</v>
      </c>
      <c r="E77" s="69">
        <f t="shared" si="32"/>
        <v>0</v>
      </c>
      <c r="F77" s="69">
        <f t="shared" si="32"/>
        <v>0</v>
      </c>
      <c r="G77" s="69">
        <f t="shared" si="32"/>
        <v>0</v>
      </c>
      <c r="H77" s="69">
        <f t="shared" si="32"/>
        <v>0</v>
      </c>
      <c r="I77" s="69">
        <f t="shared" si="32"/>
        <v>0</v>
      </c>
      <c r="J77" s="69">
        <f t="shared" si="32"/>
        <v>0</v>
      </c>
      <c r="K77" s="69">
        <f t="shared" si="32"/>
        <v>0</v>
      </c>
      <c r="L77" s="69">
        <f t="shared" si="32"/>
        <v>0</v>
      </c>
      <c r="M77" s="69">
        <f t="shared" si="32"/>
        <v>0</v>
      </c>
      <c r="N77" s="69">
        <f t="shared" si="32"/>
        <v>0</v>
      </c>
    </row>
    <row r="78" spans="3:15">
      <c r="D78" s="69" t="s">
        <v>900</v>
      </c>
      <c r="E78" s="69">
        <f t="shared" si="32"/>
        <v>0</v>
      </c>
      <c r="F78" s="69">
        <f t="shared" si="32"/>
        <v>0</v>
      </c>
      <c r="G78" s="69">
        <f t="shared" si="32"/>
        <v>0</v>
      </c>
      <c r="H78" s="69">
        <f t="shared" si="32"/>
        <v>0</v>
      </c>
      <c r="I78" s="69">
        <f t="shared" si="32"/>
        <v>0</v>
      </c>
      <c r="J78" s="69">
        <f t="shared" si="32"/>
        <v>0</v>
      </c>
      <c r="K78" s="69">
        <f t="shared" si="32"/>
        <v>0</v>
      </c>
      <c r="L78" s="69">
        <f t="shared" si="32"/>
        <v>0</v>
      </c>
      <c r="M78" s="69">
        <f t="shared" si="32"/>
        <v>0</v>
      </c>
      <c r="N78" s="69">
        <f t="shared" si="32"/>
        <v>0</v>
      </c>
    </row>
    <row r="79" spans="3:15">
      <c r="D79" s="69" t="s">
        <v>901</v>
      </c>
      <c r="E79" s="69">
        <f t="shared" si="32"/>
        <v>0</v>
      </c>
      <c r="F79" s="69">
        <f t="shared" si="32"/>
        <v>0</v>
      </c>
      <c r="G79" s="69">
        <f t="shared" si="32"/>
        <v>0</v>
      </c>
      <c r="H79" s="69">
        <f t="shared" si="32"/>
        <v>0</v>
      </c>
      <c r="I79" s="69">
        <f t="shared" si="32"/>
        <v>0</v>
      </c>
      <c r="J79" s="69">
        <f t="shared" si="32"/>
        <v>0</v>
      </c>
      <c r="K79" s="69">
        <f t="shared" si="32"/>
        <v>0</v>
      </c>
      <c r="L79" s="69">
        <f t="shared" si="32"/>
        <v>0</v>
      </c>
      <c r="M79" s="69">
        <f t="shared" si="32"/>
        <v>0</v>
      </c>
      <c r="N79" s="69">
        <f t="shared" si="32"/>
        <v>0</v>
      </c>
    </row>
    <row r="80" spans="3:15">
      <c r="D80" s="69" t="s">
        <v>902</v>
      </c>
      <c r="E80" s="69">
        <f t="shared" si="32"/>
        <v>0</v>
      </c>
      <c r="F80" s="69">
        <f t="shared" si="32"/>
        <v>0</v>
      </c>
      <c r="G80" s="69">
        <f t="shared" si="32"/>
        <v>0</v>
      </c>
      <c r="H80" s="69">
        <f t="shared" si="32"/>
        <v>0</v>
      </c>
      <c r="I80" s="69">
        <f t="shared" si="32"/>
        <v>0</v>
      </c>
      <c r="J80" s="69">
        <f t="shared" si="32"/>
        <v>0</v>
      </c>
      <c r="K80" s="69">
        <f t="shared" si="32"/>
        <v>0</v>
      </c>
      <c r="L80" s="69">
        <f t="shared" si="32"/>
        <v>0</v>
      </c>
      <c r="M80" s="69">
        <f t="shared" si="32"/>
        <v>0</v>
      </c>
      <c r="N80" s="69">
        <f t="shared" si="32"/>
        <v>0</v>
      </c>
    </row>
    <row r="81" spans="3:16">
      <c r="D81" s="69" t="s">
        <v>1284</v>
      </c>
      <c r="E81" s="69">
        <f t="shared" si="32"/>
        <v>0</v>
      </c>
      <c r="F81" s="69">
        <f t="shared" si="32"/>
        <v>0</v>
      </c>
      <c r="G81" s="69">
        <f t="shared" si="32"/>
        <v>0</v>
      </c>
      <c r="H81" s="69">
        <f t="shared" si="32"/>
        <v>0</v>
      </c>
      <c r="I81" s="69">
        <f t="shared" si="32"/>
        <v>0</v>
      </c>
      <c r="J81" s="69">
        <f t="shared" si="32"/>
        <v>0</v>
      </c>
      <c r="K81" s="69">
        <f t="shared" si="32"/>
        <v>0</v>
      </c>
      <c r="L81" s="69">
        <f t="shared" si="32"/>
        <v>0</v>
      </c>
      <c r="M81" s="69">
        <f t="shared" si="32"/>
        <v>0</v>
      </c>
      <c r="N81" s="69">
        <f t="shared" si="32"/>
        <v>0</v>
      </c>
    </row>
    <row r="83" spans="3:16">
      <c r="C83" s="217" t="s">
        <v>2139</v>
      </c>
    </row>
    <row r="84" spans="3:16">
      <c r="D84" s="69" t="s">
        <v>1665</v>
      </c>
      <c r="E84" s="454">
        <f t="shared" ref="E84:I89" si="33">IF(E76&gt;1,(E76*$P84),0)</f>
        <v>0</v>
      </c>
      <c r="F84" s="454">
        <f t="shared" si="33"/>
        <v>0</v>
      </c>
      <c r="G84" s="454">
        <f t="shared" si="33"/>
        <v>0</v>
      </c>
      <c r="H84" s="454">
        <f t="shared" si="33"/>
        <v>0</v>
      </c>
      <c r="I84" s="454">
        <f t="shared" si="33"/>
        <v>0</v>
      </c>
      <c r="J84" s="454">
        <f t="shared" ref="J84:N84" si="34">IF(J76&gt;1,(J76*$P84),0)</f>
        <v>0</v>
      </c>
      <c r="K84" s="454">
        <f t="shared" si="34"/>
        <v>0</v>
      </c>
      <c r="L84" s="454">
        <f t="shared" si="34"/>
        <v>0</v>
      </c>
      <c r="M84" s="454">
        <f t="shared" si="34"/>
        <v>0</v>
      </c>
      <c r="N84" s="454">
        <f t="shared" si="34"/>
        <v>0</v>
      </c>
      <c r="P84" s="482">
        <v>0</v>
      </c>
    </row>
    <row r="85" spans="3:16">
      <c r="D85" s="69" t="s">
        <v>899</v>
      </c>
      <c r="E85" s="454">
        <f t="shared" si="33"/>
        <v>0</v>
      </c>
      <c r="F85" s="454">
        <f t="shared" si="33"/>
        <v>0</v>
      </c>
      <c r="G85" s="454">
        <f t="shared" si="33"/>
        <v>0</v>
      </c>
      <c r="H85" s="454">
        <f t="shared" si="33"/>
        <v>0</v>
      </c>
      <c r="I85" s="454">
        <f t="shared" si="33"/>
        <v>0</v>
      </c>
      <c r="J85" s="454">
        <f t="shared" ref="J85:N85" si="35">IF(J77&gt;1,(J77*$P85),0)</f>
        <v>0</v>
      </c>
      <c r="K85" s="454">
        <f t="shared" si="35"/>
        <v>0</v>
      </c>
      <c r="L85" s="454">
        <f t="shared" si="35"/>
        <v>0</v>
      </c>
      <c r="M85" s="454">
        <f t="shared" si="35"/>
        <v>0</v>
      </c>
      <c r="N85" s="454">
        <f t="shared" si="35"/>
        <v>0</v>
      </c>
      <c r="P85" s="482">
        <v>0.03</v>
      </c>
    </row>
    <row r="86" spans="3:16">
      <c r="D86" s="69" t="s">
        <v>900</v>
      </c>
      <c r="E86" s="454">
        <f t="shared" si="33"/>
        <v>0</v>
      </c>
      <c r="F86" s="454">
        <f t="shared" si="33"/>
        <v>0</v>
      </c>
      <c r="G86" s="454">
        <f t="shared" si="33"/>
        <v>0</v>
      </c>
      <c r="H86" s="454">
        <f t="shared" si="33"/>
        <v>0</v>
      </c>
      <c r="I86" s="454">
        <f t="shared" si="33"/>
        <v>0</v>
      </c>
      <c r="J86" s="454">
        <f t="shared" ref="J86:N86" si="36">IF(J78&gt;1,(J78*$P86),0)</f>
        <v>0</v>
      </c>
      <c r="K86" s="454">
        <f t="shared" si="36"/>
        <v>0</v>
      </c>
      <c r="L86" s="454">
        <f t="shared" si="36"/>
        <v>0</v>
      </c>
      <c r="M86" s="454">
        <f t="shared" si="36"/>
        <v>0</v>
      </c>
      <c r="N86" s="454">
        <f t="shared" si="36"/>
        <v>0</v>
      </c>
      <c r="P86" s="482">
        <v>0.02</v>
      </c>
    </row>
    <row r="87" spans="3:16">
      <c r="D87" s="69" t="s">
        <v>901</v>
      </c>
      <c r="E87" s="454">
        <f t="shared" si="33"/>
        <v>0</v>
      </c>
      <c r="F87" s="454">
        <f t="shared" si="33"/>
        <v>0</v>
      </c>
      <c r="G87" s="454">
        <f t="shared" si="33"/>
        <v>0</v>
      </c>
      <c r="H87" s="454">
        <f t="shared" si="33"/>
        <v>0</v>
      </c>
      <c r="I87" s="454">
        <f t="shared" si="33"/>
        <v>0</v>
      </c>
      <c r="J87" s="454">
        <f t="shared" ref="J87:N87" si="37">IF(J79&gt;1,(J79*$P87),0)</f>
        <v>0</v>
      </c>
      <c r="K87" s="454">
        <f t="shared" si="37"/>
        <v>0</v>
      </c>
      <c r="L87" s="454">
        <f t="shared" si="37"/>
        <v>0</v>
      </c>
      <c r="M87" s="454">
        <f t="shared" si="37"/>
        <v>0</v>
      </c>
      <c r="N87" s="454">
        <f t="shared" si="37"/>
        <v>0</v>
      </c>
      <c r="P87" s="482">
        <v>1.4999999999999999E-2</v>
      </c>
    </row>
    <row r="88" spans="3:16">
      <c r="D88" s="69" t="s">
        <v>902</v>
      </c>
      <c r="E88" s="454">
        <f t="shared" si="33"/>
        <v>0</v>
      </c>
      <c r="F88" s="454">
        <f t="shared" si="33"/>
        <v>0</v>
      </c>
      <c r="G88" s="454">
        <f t="shared" si="33"/>
        <v>0</v>
      </c>
      <c r="H88" s="454">
        <f t="shared" si="33"/>
        <v>0</v>
      </c>
      <c r="I88" s="454">
        <f t="shared" si="33"/>
        <v>0</v>
      </c>
      <c r="J88" s="454">
        <f t="shared" ref="J88:N88" si="38">IF(J80&gt;1,(J80*$P88),0)</f>
        <v>0</v>
      </c>
      <c r="K88" s="454">
        <f t="shared" si="38"/>
        <v>0</v>
      </c>
      <c r="L88" s="454">
        <f t="shared" si="38"/>
        <v>0</v>
      </c>
      <c r="M88" s="454">
        <f t="shared" si="38"/>
        <v>0</v>
      </c>
      <c r="N88" s="454">
        <f t="shared" si="38"/>
        <v>0</v>
      </c>
      <c r="P88" s="482">
        <v>1.4999999999999999E-2</v>
      </c>
    </row>
    <row r="89" spans="3:16">
      <c r="D89" s="69" t="s">
        <v>1284</v>
      </c>
      <c r="E89" s="454">
        <f t="shared" si="33"/>
        <v>0</v>
      </c>
      <c r="F89" s="454">
        <f t="shared" si="33"/>
        <v>0</v>
      </c>
      <c r="G89" s="454">
        <f t="shared" si="33"/>
        <v>0</v>
      </c>
      <c r="H89" s="454">
        <f t="shared" si="33"/>
        <v>0</v>
      </c>
      <c r="I89" s="454">
        <f t="shared" si="33"/>
        <v>0</v>
      </c>
      <c r="J89" s="454">
        <f t="shared" ref="J89:N89" si="39">IF(J81&gt;1,(J81*$P89),0)</f>
        <v>0</v>
      </c>
      <c r="K89" s="454">
        <f t="shared" si="39"/>
        <v>0</v>
      </c>
      <c r="L89" s="454">
        <f t="shared" si="39"/>
        <v>0</v>
      </c>
      <c r="M89" s="454">
        <f t="shared" si="39"/>
        <v>0</v>
      </c>
      <c r="N89" s="454">
        <f t="shared" si="39"/>
        <v>0</v>
      </c>
      <c r="P89" s="482">
        <v>0</v>
      </c>
    </row>
    <row r="90" spans="3:16" s="217" customFormat="1">
      <c r="D90" s="217" t="s">
        <v>54</v>
      </c>
      <c r="E90" s="677">
        <f>SUM(E84:E89)</f>
        <v>0</v>
      </c>
      <c r="F90" s="677">
        <f t="shared" ref="F90:I90" si="40">SUM(F84:F89)</f>
        <v>0</v>
      </c>
      <c r="G90" s="677">
        <f t="shared" si="40"/>
        <v>0</v>
      </c>
      <c r="H90" s="677">
        <f t="shared" si="40"/>
        <v>0</v>
      </c>
      <c r="I90" s="677">
        <f t="shared" si="40"/>
        <v>0</v>
      </c>
      <c r="J90" s="677">
        <f t="shared" ref="J90:N90" si="41">SUM(J84:J89)</f>
        <v>0</v>
      </c>
      <c r="K90" s="677">
        <f t="shared" si="41"/>
        <v>0</v>
      </c>
      <c r="L90" s="677">
        <f t="shared" si="41"/>
        <v>0</v>
      </c>
      <c r="M90" s="677">
        <f t="shared" si="41"/>
        <v>0</v>
      </c>
      <c r="N90" s="677">
        <f t="shared" si="41"/>
        <v>0</v>
      </c>
      <c r="O90" s="217" t="s">
        <v>2140</v>
      </c>
    </row>
    <row r="92" spans="3:16">
      <c r="C92" s="217" t="s">
        <v>1153</v>
      </c>
    </row>
    <row r="93" spans="3:16">
      <c r="D93" s="69" t="s">
        <v>486</v>
      </c>
      <c r="E93" s="509">
        <f t="shared" ref="E93:N93" si="42">obalRiskIndex</f>
        <v>50</v>
      </c>
      <c r="F93" s="509">
        <f t="shared" si="42"/>
        <v>50</v>
      </c>
      <c r="G93" s="509">
        <f t="shared" si="42"/>
        <v>50</v>
      </c>
      <c r="H93" s="509">
        <f t="shared" si="42"/>
        <v>50</v>
      </c>
      <c r="I93" s="509">
        <f t="shared" si="42"/>
        <v>50</v>
      </c>
      <c r="J93" s="509">
        <f t="shared" si="42"/>
        <v>50</v>
      </c>
      <c r="K93" s="509">
        <f t="shared" si="42"/>
        <v>50</v>
      </c>
      <c r="L93" s="509">
        <f t="shared" si="42"/>
        <v>50</v>
      </c>
      <c r="M93" s="509">
        <f t="shared" si="42"/>
        <v>50</v>
      </c>
      <c r="N93" s="509">
        <f t="shared" si="42"/>
        <v>50</v>
      </c>
    </row>
    <row r="94" spans="3:16">
      <c r="D94" s="69" t="s">
        <v>1944</v>
      </c>
      <c r="E94" s="512">
        <f>INDEX(datatblP0RiskMitigation,MATCH(decSecurityP0RiskMitigation,Data!$C$136:$C$141,0),3)*(1-calcDelayImpactTrust)</f>
        <v>0</v>
      </c>
      <c r="F94" s="512">
        <f>INDEX(datatblP0RiskMitigation,MATCH(decSecurityP0RiskMitigation,Data!$C$136:$C$141,0),3)*(1-calcDelayImpactTrust)</f>
        <v>0</v>
      </c>
      <c r="G94" s="512">
        <f>INDEX(datatblP0RiskMitigation,MATCH(decSecurityP0RiskMitigation,Data!$C$136:$C$141,0),3)*(1-calcDelayImpactTrust)</f>
        <v>0</v>
      </c>
      <c r="H94" s="512">
        <f>INDEX(datatblP0RiskMitigation,MATCH(decSecurityP0RiskMitigation,Data!$C$136:$C$141,0),3)*(1-calcDelayImpactTrust)</f>
        <v>0</v>
      </c>
      <c r="I94" s="512">
        <f>INDEX(datatblP0RiskMitigation,MATCH(decSecurityP0RiskMitigation,Data!$C$136:$C$141,0),3)*(1-calcDelayImpactTrust)</f>
        <v>0</v>
      </c>
      <c r="J94" s="512">
        <f>INDEX(datatblP0RiskMitigation,MATCH(decSecurityP0RiskMitigation,Data!$C$136:$C$141,0),3)*(1-calcDelayImpactTrust)</f>
        <v>0</v>
      </c>
      <c r="K94" s="512">
        <f>INDEX(datatblP0RiskMitigation,MATCH(decSecurityP0RiskMitigation,Data!$C$136:$C$141,0),3)*(1-calcDelayImpactTrust)</f>
        <v>0</v>
      </c>
      <c r="L94" s="512">
        <f>INDEX(datatblP0RiskMitigation,MATCH(decSecurityP0RiskMitigation,Data!$C$136:$C$141,0),3)*(1-calcDelayImpactTrust)</f>
        <v>0</v>
      </c>
      <c r="M94" s="512">
        <f>INDEX(datatblP0RiskMitigation,MATCH(decSecurityP0RiskMitigation,Data!$C$136:$C$141,0),3)*(1-calcDelayImpactTrust)</f>
        <v>0</v>
      </c>
      <c r="N94" s="512">
        <f>INDEX(datatblP0RiskMitigation,MATCH(decSecurityP0RiskMitigation,Data!$C$136:$C$141,0),3)*(1-calcDelayImpactTrust)</f>
        <v>0</v>
      </c>
      <c r="O94" s="69" t="s">
        <v>2044</v>
      </c>
    </row>
    <row r="95" spans="3:16">
      <c r="D95" s="69" t="s">
        <v>1951</v>
      </c>
      <c r="E95" s="512">
        <f>INDEX(datatblP1RiskMitigation,MATCH(decSecurityP1RiskMitigation,Data!$C$146:$C$151,0),3)*(1-calcDelayImpactTrust)</f>
        <v>0</v>
      </c>
      <c r="F95" s="512">
        <f>INDEX(datatblP1RiskMitigation,MATCH(decSecurityP1RiskMitigation,Data!$C$146:$C$151,0),3)*(1-calcDelayImpactTrust)</f>
        <v>0</v>
      </c>
      <c r="G95" s="512">
        <f>INDEX(datatblP1RiskMitigation,MATCH(decSecurityP1RiskMitigation,Data!$C$146:$C$151,0),3)*(1-calcDelayImpactTrust)</f>
        <v>0</v>
      </c>
      <c r="H95" s="512">
        <f>INDEX(datatblP1RiskMitigation,MATCH(decSecurityP1RiskMitigation,Data!$C$146:$C$151,0),3)*(1-calcDelayImpactTrust)</f>
        <v>0</v>
      </c>
      <c r="I95" s="512">
        <f>INDEX(datatblP1RiskMitigation,MATCH(decSecurityP1RiskMitigation,Data!$C$146:$C$151,0),3)*(1-calcDelayImpactTrust)</f>
        <v>0</v>
      </c>
      <c r="J95" s="512">
        <f>INDEX(datatblP1RiskMitigation,MATCH(decSecurityP1RiskMitigation,Data!$C$146:$C$151,0),3)*(1-calcDelayImpactTrust)</f>
        <v>0</v>
      </c>
      <c r="K95" s="512">
        <f>INDEX(datatblP1RiskMitigation,MATCH(decSecurityP1RiskMitigation,Data!$C$146:$C$151,0),3)*(1-calcDelayImpactTrust)</f>
        <v>0</v>
      </c>
      <c r="L95" s="512">
        <f>INDEX(datatblP1RiskMitigation,MATCH(decSecurityP1RiskMitigation,Data!$C$146:$C$151,0),3)*(1-calcDelayImpactTrust)</f>
        <v>0</v>
      </c>
      <c r="M95" s="512">
        <f>INDEX(datatblP1RiskMitigation,MATCH(decSecurityP1RiskMitigation,Data!$C$146:$C$151,0),3)*(1-calcDelayImpactTrust)</f>
        <v>0</v>
      </c>
      <c r="N95" s="512">
        <f>INDEX(datatblP1RiskMitigation,MATCH(decSecurityP1RiskMitigation,Data!$C$146:$C$151,0),3)*(1-calcDelayImpactTrust)</f>
        <v>0</v>
      </c>
      <c r="O95" s="69" t="s">
        <v>2045</v>
      </c>
    </row>
    <row r="96" spans="3:16">
      <c r="D96" s="69" t="s">
        <v>2087</v>
      </c>
      <c r="E96" s="512">
        <f>INDEX(datatblP2RiskMitigation,MATCH(decSecurityP2RiskMitigation,Data!$C$156:$C$161,0),3)*(1-calcDelayImpactTrust)</f>
        <v>0</v>
      </c>
      <c r="F96" s="512">
        <f>INDEX(datatblP2RiskMitigation,MATCH(decSecurityP2RiskMitigation,Data!$C$156:$C$161,0),3)*(1-calcDelayImpactTrust)</f>
        <v>0</v>
      </c>
      <c r="G96" s="512">
        <f>INDEX(datatblP2RiskMitigation,MATCH(decSecurityP2RiskMitigation,Data!$C$156:$C$161,0),3)*(1-calcDelayImpactTrust)</f>
        <v>0</v>
      </c>
      <c r="H96" s="512">
        <f>INDEX(datatblP2RiskMitigation,MATCH(decSecurityP2RiskMitigation,Data!$C$156:$C$161,0),3)*(1-calcDelayImpactTrust)</f>
        <v>0</v>
      </c>
      <c r="I96" s="512">
        <f>INDEX(datatblP2RiskMitigation,MATCH(decSecurityP2RiskMitigation,Data!$C$156:$C$161,0),3)*(1-calcDelayImpactTrust)</f>
        <v>0</v>
      </c>
      <c r="J96" s="512">
        <f>INDEX(datatblP2RiskMitigation,MATCH(decSecurityP2RiskMitigation,Data!$C$156:$C$161,0),3)*(1-calcDelayImpactTrust)</f>
        <v>0</v>
      </c>
      <c r="K96" s="512">
        <f>INDEX(datatblP2RiskMitigation,MATCH(decSecurityP2RiskMitigation,Data!$C$156:$C$161,0),3)*(1-calcDelayImpactTrust)</f>
        <v>0</v>
      </c>
      <c r="L96" s="512">
        <f>INDEX(datatblP2RiskMitigation,MATCH(decSecurityP2RiskMitigation,Data!$C$156:$C$161,0),3)*(1-calcDelayImpactTrust)</f>
        <v>0</v>
      </c>
      <c r="M96" s="512">
        <f>INDEX(datatblP2RiskMitigation,MATCH(decSecurityP2RiskMitigation,Data!$C$156:$C$161,0),3)*(1-calcDelayImpactTrust)</f>
        <v>0</v>
      </c>
      <c r="N96" s="512">
        <f>INDEX(datatblP2RiskMitigation,MATCH(decSecurityP2RiskMitigation,Data!$C$156:$C$161,0),3)*(1-calcDelayImpactTrust)</f>
        <v>0</v>
      </c>
      <c r="O96" s="69" t="s">
        <v>2046</v>
      </c>
    </row>
    <row r="97" spans="4:18" s="473" customFormat="1">
      <c r="D97" s="473" t="s">
        <v>1969</v>
      </c>
      <c r="E97" s="736">
        <f>INDEX(datatblSecurityTimeline,MATCH(decSecurityTimeline,Data!$C$116:$C$121,0),3)*(1-calcDelayImpactTrust)</f>
        <v>0</v>
      </c>
      <c r="F97" s="736">
        <f>INDEX(datatblSecurityTimeline,MATCH(decSecurityTimeline,Data!$C$116:$C$121,0),3)*(1-calcDelayImpactTrust)</f>
        <v>0</v>
      </c>
      <c r="G97" s="736">
        <f>INDEX(datatblSecurityTimeline,MATCH(decSecurityTimeline,Data!$C$116:$C$121,0),3)*(1-calcDelayImpactTrust)</f>
        <v>0</v>
      </c>
      <c r="H97" s="736">
        <f>INDEX(datatblSecurityTimeline,MATCH(decSecurityTimeline,Data!$C$116:$C$121,0),3)*(1-calcDelayImpactTrust)</f>
        <v>0</v>
      </c>
      <c r="I97" s="736">
        <f>INDEX(datatblSecurityTimeline,MATCH(decSecurityTimeline,Data!$C$116:$C$121,0),3)*(1-calcDelayImpactTrust)</f>
        <v>0</v>
      </c>
      <c r="J97" s="736">
        <f>INDEX(datatblSecurityTimeline,MATCH(decSecurityTimeline,Data!$C$116:$C$121,0),3)*(1-calcDelayImpactTrust)</f>
        <v>0</v>
      </c>
      <c r="K97" s="736">
        <f>INDEX(datatblSecurityTimeline,MATCH(decSecurityTimeline,Data!$C$116:$C$121,0),3)*(1-calcDelayImpactTrust)</f>
        <v>0</v>
      </c>
      <c r="L97" s="736">
        <f>INDEX(datatblSecurityTimeline,MATCH(decSecurityTimeline,Data!$C$116:$C$121,0),3)*(1-calcDelayImpactTrust)</f>
        <v>0</v>
      </c>
      <c r="M97" s="736">
        <f>INDEX(datatblSecurityTimeline,MATCH(decSecurityTimeline,Data!$C$116:$C$121,0),3)*(1-calcDelayImpactTrust)</f>
        <v>0</v>
      </c>
      <c r="N97" s="736">
        <f>INDEX(datatblSecurityTimeline,MATCH(decSecurityTimeline,Data!$C$116:$C$121,0),3)*(1-calcDelayImpactTrust)</f>
        <v>0</v>
      </c>
      <c r="O97" s="473" t="s">
        <v>2255</v>
      </c>
    </row>
    <row r="98" spans="4:18" s="473" customFormat="1">
      <c r="D98" s="473" t="s">
        <v>3075</v>
      </c>
      <c r="E98" s="736">
        <f>INDEX(datatblBackOfficeTimeline,MATCH(decITTimeline,Data!$C$176:$C$181,0),3)*(1-calcDelayImpactTrust)</f>
        <v>0</v>
      </c>
      <c r="F98" s="736">
        <f>INDEX(datatblBackOfficeTimeline,MATCH(decITTimeline,Data!$C$176:$C$181,0),3)*(1-calcDelayImpactTrust)</f>
        <v>0</v>
      </c>
      <c r="G98" s="736">
        <f>INDEX(datatblBackOfficeTimeline,MATCH(decITTimeline,Data!$C$176:$C$181,0),3)*(1-calcDelayImpactTrust)</f>
        <v>0</v>
      </c>
      <c r="H98" s="736">
        <f>INDEX(datatblBackOfficeTimeline,MATCH(decITTimeline,Data!$C$176:$C$181,0),3)*(1-calcDelayImpactTrust)</f>
        <v>0</v>
      </c>
      <c r="I98" s="736">
        <f>INDEX(datatblBackOfficeTimeline,MATCH(decITTimeline,Data!$C$176:$C$181,0),3)*(1-calcDelayImpactTrust)</f>
        <v>0</v>
      </c>
      <c r="J98" s="736">
        <f>INDEX(datatblBackOfficeTimeline,MATCH(decITTimeline,Data!$C$176:$C$181,0),3)*(1-calcDelayImpactTrust)</f>
        <v>0</v>
      </c>
      <c r="K98" s="736">
        <f>INDEX(datatblBackOfficeTimeline,MATCH(decITTimeline,Data!$C$176:$C$181,0),3)*(1-calcDelayImpactTrust)</f>
        <v>0</v>
      </c>
      <c r="L98" s="736">
        <f>INDEX(datatblBackOfficeTimeline,MATCH(decITTimeline,Data!$C$176:$C$181,0),3)*(1-calcDelayImpactTrust)</f>
        <v>0</v>
      </c>
      <c r="M98" s="736">
        <f>INDEX(datatblBackOfficeTimeline,MATCH(decITTimeline,Data!$C$176:$C$181,0),3)*(1-calcDelayImpactTrust)</f>
        <v>0</v>
      </c>
      <c r="N98" s="736">
        <f>INDEX(datatblBackOfficeTimeline,MATCH(decITTimeline,Data!$C$176:$C$181,0),3)*(1-calcDelayImpactTrust)</f>
        <v>0</v>
      </c>
      <c r="O98" s="473" t="s">
        <v>3076</v>
      </c>
    </row>
    <row r="99" spans="4:18">
      <c r="D99" s="69" t="s">
        <v>1032</v>
      </c>
      <c r="E99" s="504">
        <f t="shared" ref="E99:N99" si="43">IF(decSecurityProductRestrictions="Yes",$Q99,IF(decSecurityProductRestrictions="No",$R99,$S99))</f>
        <v>0</v>
      </c>
      <c r="F99" s="504">
        <f t="shared" si="43"/>
        <v>0</v>
      </c>
      <c r="G99" s="504">
        <f t="shared" si="43"/>
        <v>0</v>
      </c>
      <c r="H99" s="504">
        <f t="shared" si="43"/>
        <v>0</v>
      </c>
      <c r="I99" s="504">
        <f t="shared" si="43"/>
        <v>0</v>
      </c>
      <c r="J99" s="504">
        <f t="shared" si="43"/>
        <v>0</v>
      </c>
      <c r="K99" s="504">
        <f t="shared" si="43"/>
        <v>0</v>
      </c>
      <c r="L99" s="504">
        <f t="shared" si="43"/>
        <v>0</v>
      </c>
      <c r="M99" s="504">
        <f t="shared" si="43"/>
        <v>0</v>
      </c>
      <c r="N99" s="504">
        <f t="shared" si="43"/>
        <v>0</v>
      </c>
      <c r="O99" s="69" t="s">
        <v>2047</v>
      </c>
      <c r="Q99" s="69">
        <v>5</v>
      </c>
      <c r="R99" s="69">
        <v>-4</v>
      </c>
    </row>
    <row r="100" spans="4:18">
      <c r="D100" s="69" t="s">
        <v>1962</v>
      </c>
      <c r="E100" s="512">
        <f>INDEX(datatblStackFocusImpact,MATCH(decProductStackFocus,Data!$C$96:$C$101,0),4)*(1-calcDelayImpactProduct)</f>
        <v>0</v>
      </c>
      <c r="F100" s="512">
        <f>INDEX(datatblStackFocusImpact,MATCH(decProductStackFocus,Data!$C$96:$C$101,0),4)*(1-calcDelayImpactProduct)</f>
        <v>0</v>
      </c>
      <c r="G100" s="512">
        <f>INDEX(datatblStackFocusImpact,MATCH(decProductStackFocus,Data!$C$96:$C$101,0),4)*(1-calcDelayImpactProduct)</f>
        <v>0</v>
      </c>
      <c r="H100" s="512">
        <f>INDEX(datatblStackFocusImpact,MATCH(decProductStackFocus,Data!$C$96:$C$101,0),4)*(1-calcDelayImpactProduct)</f>
        <v>0</v>
      </c>
      <c r="I100" s="512">
        <f>INDEX(datatblStackFocusImpact,MATCH(decProductStackFocus,Data!$C$96:$C$101,0),4)*(1-calcDelayImpactProduct)</f>
        <v>0</v>
      </c>
      <c r="J100" s="512">
        <f>INDEX(datatblStackFocusImpact,MATCH(decProductStackFocus,Data!$C$96:$C$101,0),4)*(1-calcDelayImpactProduct)</f>
        <v>0</v>
      </c>
      <c r="K100" s="512">
        <f>INDEX(datatblStackFocusImpact,MATCH(decProductStackFocus,Data!$C$96:$C$101,0),4)*(1-calcDelayImpactProduct)</f>
        <v>0</v>
      </c>
      <c r="L100" s="512">
        <f>INDEX(datatblStackFocusImpact,MATCH(decProductStackFocus,Data!$C$96:$C$101,0),4)*(1-calcDelayImpactProduct)</f>
        <v>0</v>
      </c>
      <c r="M100" s="512">
        <f>INDEX(datatblStackFocusImpact,MATCH(decProductStackFocus,Data!$C$96:$C$101,0),4)*(1-calcDelayImpactProduct)</f>
        <v>0</v>
      </c>
      <c r="N100" s="512">
        <f>INDEX(datatblStackFocusImpact,MATCH(decProductStackFocus,Data!$C$96:$C$101,0),4)*(1-calcDelayImpactProduct)</f>
        <v>0</v>
      </c>
      <c r="O100" s="69" t="s">
        <v>2048</v>
      </c>
    </row>
    <row r="101" spans="4:18" s="504" customFormat="1">
      <c r="D101" s="504" t="s">
        <v>1657</v>
      </c>
      <c r="E101" s="504">
        <f t="shared" ref="E101:N101" si="44">INDEX(datatblEmpIntegrationLevelImpact,decITIntegrationLevel+1,3)*(1-calcDelayImpactBackOffice)</f>
        <v>0</v>
      </c>
      <c r="F101" s="504">
        <f t="shared" si="44"/>
        <v>0</v>
      </c>
      <c r="G101" s="504">
        <f t="shared" si="44"/>
        <v>0</v>
      </c>
      <c r="H101" s="504">
        <f t="shared" si="44"/>
        <v>0</v>
      </c>
      <c r="I101" s="504">
        <f t="shared" si="44"/>
        <v>0</v>
      </c>
      <c r="J101" s="504">
        <f t="shared" si="44"/>
        <v>0</v>
      </c>
      <c r="K101" s="504">
        <f t="shared" si="44"/>
        <v>0</v>
      </c>
      <c r="L101" s="504">
        <f t="shared" si="44"/>
        <v>0</v>
      </c>
      <c r="M101" s="504">
        <f t="shared" si="44"/>
        <v>0</v>
      </c>
      <c r="N101" s="504">
        <f t="shared" si="44"/>
        <v>0</v>
      </c>
      <c r="O101" s="69" t="s">
        <v>2049</v>
      </c>
    </row>
    <row r="102" spans="4:18" s="504" customFormat="1">
      <c r="D102" s="504" t="s">
        <v>1666</v>
      </c>
      <c r="E102" s="504">
        <f t="shared" ref="E102:N102" si="45">IF(decITOfficePlan="Move to Cloud",$P102,IF(decITOfficePlan="Keep Existing",$Q102,$R102))</f>
        <v>0</v>
      </c>
      <c r="F102" s="504">
        <f t="shared" si="45"/>
        <v>0</v>
      </c>
      <c r="G102" s="504">
        <f t="shared" si="45"/>
        <v>0</v>
      </c>
      <c r="H102" s="504">
        <f t="shared" si="45"/>
        <v>0</v>
      </c>
      <c r="I102" s="675">
        <f t="shared" si="45"/>
        <v>0</v>
      </c>
      <c r="J102" s="675">
        <f t="shared" si="45"/>
        <v>0</v>
      </c>
      <c r="K102" s="675">
        <f t="shared" si="45"/>
        <v>0</v>
      </c>
      <c r="L102" s="675">
        <f t="shared" si="45"/>
        <v>0</v>
      </c>
      <c r="M102" s="675">
        <f t="shared" si="45"/>
        <v>0</v>
      </c>
      <c r="N102" s="675">
        <f t="shared" si="45"/>
        <v>0</v>
      </c>
      <c r="O102" s="69" t="s">
        <v>2088</v>
      </c>
      <c r="P102" s="504">
        <v>3</v>
      </c>
      <c r="Q102" s="504">
        <v>0</v>
      </c>
    </row>
    <row r="103" spans="4:18">
      <c r="D103" s="69" t="s">
        <v>1663</v>
      </c>
      <c r="E103" s="504">
        <f t="shared" ref="E103:N103" si="46">IF(decITOfficePlan="Keep Existing",IF(decSecurityBuildSiteInfrastructure="Yes",$P103,$Q103),$R103)*(1-calcDelayImpactTrust)</f>
        <v>0</v>
      </c>
      <c r="F103" s="504">
        <f t="shared" si="46"/>
        <v>0</v>
      </c>
      <c r="G103" s="504">
        <f t="shared" si="46"/>
        <v>0</v>
      </c>
      <c r="H103" s="504">
        <f t="shared" si="46"/>
        <v>0</v>
      </c>
      <c r="I103" s="504">
        <f t="shared" si="46"/>
        <v>0</v>
      </c>
      <c r="J103" s="504">
        <f t="shared" si="46"/>
        <v>0</v>
      </c>
      <c r="K103" s="504">
        <f t="shared" si="46"/>
        <v>0</v>
      </c>
      <c r="L103" s="504">
        <f t="shared" si="46"/>
        <v>0</v>
      </c>
      <c r="M103" s="504">
        <f t="shared" si="46"/>
        <v>0</v>
      </c>
      <c r="N103" s="504">
        <f t="shared" si="46"/>
        <v>0</v>
      </c>
      <c r="O103" s="69" t="s">
        <v>2050</v>
      </c>
      <c r="P103" s="674">
        <v>4</v>
      </c>
      <c r="Q103" s="674">
        <v>-4</v>
      </c>
      <c r="R103" s="674">
        <v>0</v>
      </c>
    </row>
    <row r="104" spans="4:18">
      <c r="D104" s="69" t="s">
        <v>1655</v>
      </c>
      <c r="E104" s="504">
        <f t="shared" ref="E104:N104" si="47">paramRiskIndex</f>
        <v>0</v>
      </c>
      <c r="F104" s="504">
        <f t="shared" si="47"/>
        <v>0</v>
      </c>
      <c r="G104" s="504">
        <f t="shared" si="47"/>
        <v>0</v>
      </c>
      <c r="H104" s="504">
        <f t="shared" si="47"/>
        <v>0</v>
      </c>
      <c r="I104" s="504">
        <f t="shared" si="47"/>
        <v>0</v>
      </c>
      <c r="J104" s="504">
        <f t="shared" si="47"/>
        <v>0</v>
      </c>
      <c r="K104" s="504">
        <f t="shared" si="47"/>
        <v>0</v>
      </c>
      <c r="L104" s="504">
        <f t="shared" si="47"/>
        <v>0</v>
      </c>
      <c r="M104" s="504">
        <f t="shared" si="47"/>
        <v>0</v>
      </c>
      <c r="N104" s="504">
        <f t="shared" si="47"/>
        <v>0</v>
      </c>
      <c r="O104" s="69" t="s">
        <v>2051</v>
      </c>
    </row>
    <row r="105" spans="4:18" ht="6" customHeight="1">
      <c r="E105" s="510"/>
      <c r="F105" s="510"/>
      <c r="G105" s="510"/>
      <c r="H105" s="510"/>
      <c r="I105" s="510"/>
      <c r="J105" s="510"/>
      <c r="K105" s="510"/>
      <c r="L105" s="510"/>
      <c r="M105" s="510"/>
      <c r="N105" s="510"/>
    </row>
    <row r="106" spans="4:18" s="217" customFormat="1">
      <c r="D106" s="217" t="s">
        <v>487</v>
      </c>
      <c r="E106" s="511">
        <f>E93+SUM(E94:E105)</f>
        <v>50</v>
      </c>
      <c r="F106" s="511">
        <f>F93+SUM(F94:F105)</f>
        <v>50</v>
      </c>
      <c r="G106" s="511">
        <f>G93+SUM(G94:G105)</f>
        <v>50</v>
      </c>
      <c r="H106" s="511">
        <f>H93+SUM(H94:H105)</f>
        <v>50</v>
      </c>
      <c r="I106" s="511">
        <f>I93+SUM(I94:I105)</f>
        <v>50</v>
      </c>
      <c r="J106" s="511">
        <f t="shared" ref="J106:N106" si="48">J93+SUM(J94:J105)</f>
        <v>50</v>
      </c>
      <c r="K106" s="511">
        <f t="shared" si="48"/>
        <v>50</v>
      </c>
      <c r="L106" s="511">
        <f t="shared" si="48"/>
        <v>50</v>
      </c>
      <c r="M106" s="511">
        <f t="shared" si="48"/>
        <v>50</v>
      </c>
      <c r="N106" s="511">
        <f t="shared" si="48"/>
        <v>50</v>
      </c>
      <c r="O106" s="217" t="s">
        <v>491</v>
      </c>
    </row>
    <row r="108" spans="4:18">
      <c r="D108" s="217" t="s">
        <v>2137</v>
      </c>
    </row>
    <row r="109" spans="4:18">
      <c r="D109" s="69" t="s">
        <v>2131</v>
      </c>
      <c r="E109" s="233">
        <f>INDEX(datatblSecurityTimeline,MATCH(decSecurityTimeline,Data!$C$126:$C$131,0),1)</f>
        <v>0</v>
      </c>
      <c r="F109" s="233">
        <f>INDEX(datatblSecurityTimeline,MATCH(decSecurityTimeline,Data!$C$126:$C$131,0),1)</f>
        <v>0</v>
      </c>
      <c r="G109" s="233">
        <f>INDEX(datatblSecurityTimeline,MATCH(decSecurityTimeline,Data!$C$126:$C$131,0),1)</f>
        <v>0</v>
      </c>
      <c r="H109" s="233">
        <f>INDEX(datatblSecurityTimeline,MATCH(decSecurityTimeline,Data!$C$126:$C$131,0),1)</f>
        <v>0</v>
      </c>
      <c r="I109" s="233">
        <f>INDEX(datatblSecurityTimeline,MATCH(decSecurityTimeline,Data!$C$126:$C$131,0),1)</f>
        <v>0</v>
      </c>
      <c r="J109" s="233">
        <f>INDEX(datatblSecurityTimeline,MATCH(decSecurityTimeline,Data!$C$126:$C$131,0),1)</f>
        <v>0</v>
      </c>
      <c r="K109" s="233">
        <f>INDEX(datatblSecurityTimeline,MATCH(decSecurityTimeline,Data!$C$126:$C$131,0),1)</f>
        <v>0</v>
      </c>
      <c r="L109" s="233">
        <f>INDEX(datatblSecurityTimeline,MATCH(decSecurityTimeline,Data!$C$126:$C$131,0),1)</f>
        <v>0</v>
      </c>
      <c r="M109" s="233">
        <f>INDEX(datatblSecurityTimeline,MATCH(decSecurityTimeline,Data!$C$126:$C$131,0),1)</f>
        <v>0</v>
      </c>
      <c r="N109" s="233">
        <f>INDEX(datatblSecurityTimeline,MATCH(decSecurityTimeline,Data!$C$126:$C$131,0),1)</f>
        <v>0</v>
      </c>
      <c r="O109" s="69" t="s">
        <v>2132</v>
      </c>
    </row>
    <row r="110" spans="4:18">
      <c r="D110" s="69" t="s">
        <v>2133</v>
      </c>
      <c r="E110" s="233">
        <f>INDEX(datatblBackOfficeTimeline,MATCH(decITTimeline,Data!$C$176:$C$181,0),1)</f>
        <v>0</v>
      </c>
      <c r="F110" s="233">
        <f>INDEX(datatblBackOfficeTimeline,MATCH(decITTimeline,Data!$C$176:$C$181,0),1)</f>
        <v>0</v>
      </c>
      <c r="G110" s="233">
        <f>INDEX(datatblBackOfficeTimeline,MATCH(decITTimeline,Data!$C$176:$C$181,0),1)</f>
        <v>0</v>
      </c>
      <c r="H110" s="233">
        <f>INDEX(datatblBackOfficeTimeline,MATCH(decITTimeline,Data!$C$176:$C$181,0),1)</f>
        <v>0</v>
      </c>
      <c r="I110" s="233">
        <f>INDEX(datatblBackOfficeTimeline,MATCH(decITTimeline,Data!$C$176:$C$181,0),1)</f>
        <v>0</v>
      </c>
      <c r="J110" s="233">
        <f>INDEX(datatblBackOfficeTimeline,MATCH(decITTimeline,Data!$C$176:$C$181,0),1)</f>
        <v>0</v>
      </c>
      <c r="K110" s="233">
        <f>INDEX(datatblBackOfficeTimeline,MATCH(decITTimeline,Data!$C$176:$C$181,0),1)</f>
        <v>0</v>
      </c>
      <c r="L110" s="233">
        <f>INDEX(datatblBackOfficeTimeline,MATCH(decITTimeline,Data!$C$176:$C$181,0),1)</f>
        <v>0</v>
      </c>
      <c r="M110" s="233">
        <f>INDEX(datatblBackOfficeTimeline,MATCH(decITTimeline,Data!$C$176:$C$181,0),1)</f>
        <v>0</v>
      </c>
      <c r="N110" s="233">
        <f>INDEX(datatblBackOfficeTimeline,MATCH(decITTimeline,Data!$C$176:$C$181,0),1)</f>
        <v>0</v>
      </c>
      <c r="O110" s="69" t="s">
        <v>2134</v>
      </c>
    </row>
    <row r="111" spans="4:18">
      <c r="D111" s="69" t="s">
        <v>2135</v>
      </c>
      <c r="E111" s="233">
        <f>INDEX(datatblProductTimeline,MATCH(decProductTimeline,Data!$C$166:$C$171,0),1)</f>
        <v>0</v>
      </c>
      <c r="F111" s="233">
        <f>INDEX(datatblProductTimeline,MATCH(decProductTimeline,Data!$C$166:$C$171,0),1)</f>
        <v>0</v>
      </c>
      <c r="G111" s="233">
        <f>INDEX(datatblProductTimeline,MATCH(decProductTimeline,Data!$C$166:$C$171,0),1)</f>
        <v>0</v>
      </c>
      <c r="H111" s="233">
        <f>INDEX(datatblProductTimeline,MATCH(decProductTimeline,Data!$C$166:$C$171,0),1)</f>
        <v>0</v>
      </c>
      <c r="I111" s="233">
        <f>INDEX(datatblProductTimeline,MATCH(decProductTimeline,Data!$C$166:$C$171,0),1)</f>
        <v>0</v>
      </c>
      <c r="J111" s="233">
        <f>INDEX(datatblProductTimeline,MATCH(decProductTimeline,Data!$C$166:$C$171,0),1)</f>
        <v>0</v>
      </c>
      <c r="K111" s="233">
        <f>INDEX(datatblProductTimeline,MATCH(decProductTimeline,Data!$C$166:$C$171,0),1)</f>
        <v>0</v>
      </c>
      <c r="L111" s="233">
        <f>INDEX(datatblProductTimeline,MATCH(decProductTimeline,Data!$C$166:$C$171,0),1)</f>
        <v>0</v>
      </c>
      <c r="M111" s="233">
        <f>INDEX(datatblProductTimeline,MATCH(decProductTimeline,Data!$C$166:$C$171,0),1)</f>
        <v>0</v>
      </c>
      <c r="N111" s="233">
        <f>INDEX(datatblProductTimeline,MATCH(decProductTimeline,Data!$C$166:$C$171,0),1)</f>
        <v>0</v>
      </c>
      <c r="O111" s="69" t="s">
        <v>2136</v>
      </c>
    </row>
    <row r="114" spans="1:17">
      <c r="B114" s="69" t="s">
        <v>2217</v>
      </c>
    </row>
    <row r="115" spans="1:17">
      <c r="D115" s="69" t="s">
        <v>2218</v>
      </c>
      <c r="E115" s="217">
        <v>0</v>
      </c>
      <c r="F115" s="217">
        <v>0</v>
      </c>
      <c r="G115" s="217">
        <v>0</v>
      </c>
      <c r="H115" s="217">
        <v>0</v>
      </c>
      <c r="I115" s="217">
        <v>0</v>
      </c>
      <c r="J115" s="217">
        <v>0</v>
      </c>
      <c r="K115" s="217">
        <v>0</v>
      </c>
      <c r="L115" s="217">
        <v>0</v>
      </c>
      <c r="M115" s="217">
        <v>0</v>
      </c>
      <c r="N115" s="217">
        <v>0</v>
      </c>
      <c r="O115" s="217" t="s">
        <v>2220</v>
      </c>
      <c r="Q115" s="69" t="s">
        <v>3026</v>
      </c>
    </row>
    <row r="116" spans="1:17">
      <c r="D116" s="69" t="s">
        <v>2131</v>
      </c>
      <c r="E116" s="233">
        <f t="shared" ref="E116:N116" si="49">(decSecurityTimeline="Delay")*E$115</f>
        <v>0</v>
      </c>
      <c r="F116" s="233">
        <f t="shared" si="49"/>
        <v>0</v>
      </c>
      <c r="G116" s="233">
        <f t="shared" si="49"/>
        <v>0</v>
      </c>
      <c r="H116" s="233">
        <f t="shared" si="49"/>
        <v>0</v>
      </c>
      <c r="I116" s="233">
        <f t="shared" si="49"/>
        <v>0</v>
      </c>
      <c r="J116" s="233">
        <f t="shared" si="49"/>
        <v>0</v>
      </c>
      <c r="K116" s="233">
        <f t="shared" si="49"/>
        <v>0</v>
      </c>
      <c r="L116" s="233">
        <f t="shared" si="49"/>
        <v>0</v>
      </c>
      <c r="M116" s="233">
        <f t="shared" si="49"/>
        <v>0</v>
      </c>
      <c r="N116" s="233">
        <f t="shared" si="49"/>
        <v>0</v>
      </c>
      <c r="O116" s="69" t="s">
        <v>2221</v>
      </c>
    </row>
    <row r="117" spans="1:17">
      <c r="D117" s="69" t="s">
        <v>2133</v>
      </c>
      <c r="E117" s="233">
        <f t="shared" ref="E117:N117" si="50">(decITTimeline="Delay")*E$115</f>
        <v>0</v>
      </c>
      <c r="F117" s="233">
        <f t="shared" si="50"/>
        <v>0</v>
      </c>
      <c r="G117" s="233">
        <f t="shared" si="50"/>
        <v>0</v>
      </c>
      <c r="H117" s="233">
        <f t="shared" si="50"/>
        <v>0</v>
      </c>
      <c r="I117" s="233">
        <f t="shared" si="50"/>
        <v>0</v>
      </c>
      <c r="J117" s="233">
        <f t="shared" si="50"/>
        <v>0</v>
      </c>
      <c r="K117" s="233">
        <f t="shared" si="50"/>
        <v>0</v>
      </c>
      <c r="L117" s="233">
        <f t="shared" si="50"/>
        <v>0</v>
      </c>
      <c r="M117" s="233">
        <f t="shared" si="50"/>
        <v>0</v>
      </c>
      <c r="N117" s="233">
        <f t="shared" si="50"/>
        <v>0</v>
      </c>
      <c r="O117" s="69" t="s">
        <v>2222</v>
      </c>
    </row>
    <row r="118" spans="1:17">
      <c r="D118" s="69" t="s">
        <v>2135</v>
      </c>
      <c r="E118" s="233">
        <f t="shared" ref="E118:N118" si="51">(decProductTimeline="Delay")*E$115</f>
        <v>0</v>
      </c>
      <c r="F118" s="233">
        <f t="shared" si="51"/>
        <v>0</v>
      </c>
      <c r="G118" s="233">
        <f t="shared" si="51"/>
        <v>0</v>
      </c>
      <c r="H118" s="233">
        <f t="shared" si="51"/>
        <v>0</v>
      </c>
      <c r="I118" s="233">
        <f t="shared" si="51"/>
        <v>0</v>
      </c>
      <c r="J118" s="233">
        <f t="shared" si="51"/>
        <v>0</v>
      </c>
      <c r="K118" s="233">
        <f t="shared" si="51"/>
        <v>0</v>
      </c>
      <c r="L118" s="233">
        <f t="shared" si="51"/>
        <v>0</v>
      </c>
      <c r="M118" s="233">
        <f t="shared" si="51"/>
        <v>0</v>
      </c>
      <c r="N118" s="233">
        <f t="shared" si="51"/>
        <v>0</v>
      </c>
      <c r="O118" s="69" t="s">
        <v>2223</v>
      </c>
    </row>
    <row r="119" spans="1:17">
      <c r="D119" s="69" t="s">
        <v>408</v>
      </c>
      <c r="E119" s="233">
        <f t="shared" ref="E119:N119" si="52">(decPeopleTimeline="Delay")*E$115</f>
        <v>0</v>
      </c>
      <c r="F119" s="233">
        <f t="shared" si="52"/>
        <v>0</v>
      </c>
      <c r="G119" s="233">
        <f t="shared" si="52"/>
        <v>0</v>
      </c>
      <c r="H119" s="233">
        <f t="shared" si="52"/>
        <v>0</v>
      </c>
      <c r="I119" s="233">
        <f t="shared" si="52"/>
        <v>0</v>
      </c>
      <c r="J119" s="233">
        <f t="shared" si="52"/>
        <v>0</v>
      </c>
      <c r="K119" s="233">
        <f t="shared" si="52"/>
        <v>0</v>
      </c>
      <c r="L119" s="233">
        <f t="shared" si="52"/>
        <v>0</v>
      </c>
      <c r="M119" s="233">
        <f t="shared" si="52"/>
        <v>0</v>
      </c>
      <c r="N119" s="233">
        <f t="shared" si="52"/>
        <v>0</v>
      </c>
      <c r="O119" s="69" t="s">
        <v>2224</v>
      </c>
    </row>
    <row r="120" spans="1:17">
      <c r="D120" s="69" t="s">
        <v>2089</v>
      </c>
      <c r="E120" s="233">
        <f t="shared" ref="E120:N120" si="53">(decGTMOrg62Timeline="Delay")*E$115</f>
        <v>0</v>
      </c>
      <c r="F120" s="233">
        <f t="shared" si="53"/>
        <v>0</v>
      </c>
      <c r="G120" s="233">
        <f t="shared" si="53"/>
        <v>0</v>
      </c>
      <c r="H120" s="233">
        <f t="shared" si="53"/>
        <v>0</v>
      </c>
      <c r="I120" s="233">
        <f t="shared" si="53"/>
        <v>0</v>
      </c>
      <c r="J120" s="233">
        <f t="shared" si="53"/>
        <v>0</v>
      </c>
      <c r="K120" s="233">
        <f t="shared" si="53"/>
        <v>0</v>
      </c>
      <c r="L120" s="233">
        <f t="shared" si="53"/>
        <v>0</v>
      </c>
      <c r="M120" s="233">
        <f t="shared" si="53"/>
        <v>0</v>
      </c>
      <c r="N120" s="233">
        <f t="shared" si="53"/>
        <v>0</v>
      </c>
      <c r="O120" s="69" t="s">
        <v>2225</v>
      </c>
    </row>
    <row r="126" spans="1:17" s="468" customFormat="1">
      <c r="A126" s="469" t="s">
        <v>498</v>
      </c>
    </row>
    <row r="127" spans="1:17">
      <c r="D127" s="69" t="s">
        <v>486</v>
      </c>
      <c r="E127" s="69">
        <f t="shared" ref="E127:N127" si="54">obalIntegrationBudget</f>
        <v>25000000</v>
      </c>
      <c r="F127" s="69">
        <f t="shared" si="54"/>
        <v>25000000</v>
      </c>
      <c r="G127" s="69">
        <f t="shared" si="54"/>
        <v>25000000</v>
      </c>
      <c r="H127" s="69">
        <f t="shared" si="54"/>
        <v>25000000</v>
      </c>
      <c r="I127" s="69">
        <f t="shared" si="54"/>
        <v>25000000</v>
      </c>
      <c r="J127" s="69">
        <f t="shared" si="54"/>
        <v>25000000</v>
      </c>
      <c r="K127" s="69">
        <f t="shared" si="54"/>
        <v>25000000</v>
      </c>
      <c r="L127" s="69">
        <f t="shared" si="54"/>
        <v>25000000</v>
      </c>
      <c r="M127" s="69">
        <f t="shared" si="54"/>
        <v>25000000</v>
      </c>
      <c r="N127" s="69">
        <f t="shared" si="54"/>
        <v>25000000</v>
      </c>
    </row>
    <row r="128" spans="1:17">
      <c r="E128" s="644">
        <v>1</v>
      </c>
      <c r="F128" s="644">
        <v>1</v>
      </c>
      <c r="G128" s="644">
        <v>1</v>
      </c>
      <c r="H128" s="644">
        <v>1</v>
      </c>
      <c r="I128" s="644">
        <v>1</v>
      </c>
      <c r="J128" s="644">
        <v>1</v>
      </c>
      <c r="K128" s="644">
        <v>1</v>
      </c>
      <c r="L128" s="644">
        <v>1</v>
      </c>
      <c r="M128" s="644">
        <v>1</v>
      </c>
      <c r="N128" s="644">
        <v>1</v>
      </c>
    </row>
    <row r="129" spans="3:15">
      <c r="E129" s="643"/>
      <c r="F129" s="643"/>
      <c r="G129" s="643"/>
      <c r="H129" s="643"/>
      <c r="I129" s="643"/>
      <c r="J129" s="643"/>
      <c r="K129" s="643"/>
      <c r="L129" s="643"/>
      <c r="M129" s="643"/>
      <c r="N129" s="643"/>
    </row>
    <row r="130" spans="3:15">
      <c r="E130" s="233"/>
      <c r="F130" s="233"/>
      <c r="G130" s="233"/>
      <c r="H130" s="233"/>
      <c r="I130" s="233"/>
      <c r="J130" s="233"/>
      <c r="K130" s="233"/>
      <c r="L130" s="233"/>
      <c r="M130" s="233"/>
      <c r="N130" s="233"/>
    </row>
    <row r="131" spans="3:15" s="217" customFormat="1">
      <c r="C131" s="217" t="s">
        <v>1278</v>
      </c>
      <c r="D131" s="217" t="s">
        <v>487</v>
      </c>
      <c r="E131" s="409">
        <f>E127*E128-E129</f>
        <v>25000000</v>
      </c>
      <c r="F131" s="409">
        <f t="shared" ref="F131:I131" si="55">F127*F128-F129</f>
        <v>25000000</v>
      </c>
      <c r="G131" s="409">
        <f t="shared" si="55"/>
        <v>25000000</v>
      </c>
      <c r="H131" s="409">
        <f t="shared" si="55"/>
        <v>25000000</v>
      </c>
      <c r="I131" s="409">
        <f t="shared" si="55"/>
        <v>25000000</v>
      </c>
      <c r="J131" s="409">
        <f t="shared" ref="J131:N131" si="56">J127*J128-J129</f>
        <v>25000000</v>
      </c>
      <c r="K131" s="409">
        <f t="shared" si="56"/>
        <v>25000000</v>
      </c>
      <c r="L131" s="409">
        <f t="shared" si="56"/>
        <v>25000000</v>
      </c>
      <c r="M131" s="409">
        <f t="shared" si="56"/>
        <v>25000000</v>
      </c>
      <c r="N131" s="409">
        <f t="shared" si="56"/>
        <v>25000000</v>
      </c>
      <c r="O131" s="217" t="s">
        <v>517</v>
      </c>
    </row>
    <row r="132" spans="3:15" s="217" customFormat="1"/>
    <row r="133" spans="3:15" s="217" customFormat="1">
      <c r="D133" s="217" t="s">
        <v>1664</v>
      </c>
    </row>
    <row r="134" spans="3:15" s="410" customFormat="1">
      <c r="D134" s="410" t="s">
        <v>681</v>
      </c>
      <c r="E134" s="522">
        <f t="shared" ref="E134:N134" si="57">calcFullHarmExp-calcFullHarmExpY2</f>
        <v>0</v>
      </c>
      <c r="F134" s="522">
        <f t="shared" si="57"/>
        <v>0</v>
      </c>
      <c r="G134" s="522">
        <f t="shared" si="57"/>
        <v>0</v>
      </c>
      <c r="H134" s="522">
        <f t="shared" si="57"/>
        <v>0</v>
      </c>
      <c r="I134" s="522">
        <f t="shared" si="57"/>
        <v>0</v>
      </c>
      <c r="J134" s="522">
        <f t="shared" si="57"/>
        <v>0</v>
      </c>
      <c r="K134" s="522">
        <f t="shared" si="57"/>
        <v>0</v>
      </c>
      <c r="L134" s="522">
        <f t="shared" si="57"/>
        <v>0</v>
      </c>
      <c r="M134" s="522">
        <f t="shared" si="57"/>
        <v>0</v>
      </c>
      <c r="N134" s="522">
        <f t="shared" si="57"/>
        <v>0</v>
      </c>
      <c r="O134" s="410" t="s">
        <v>2001</v>
      </c>
    </row>
    <row r="135" spans="3:15" s="410" customFormat="1">
      <c r="D135" s="410" t="s">
        <v>1657</v>
      </c>
      <c r="E135" s="522">
        <f t="shared" ref="E135:N135" si="58">calcFullITExp-calcFullITExpY2</f>
        <v>0</v>
      </c>
      <c r="F135" s="522">
        <f t="shared" si="58"/>
        <v>0</v>
      </c>
      <c r="G135" s="522">
        <f t="shared" si="58"/>
        <v>0</v>
      </c>
      <c r="H135" s="522">
        <f t="shared" si="58"/>
        <v>0</v>
      </c>
      <c r="I135" s="522">
        <f t="shared" si="58"/>
        <v>0</v>
      </c>
      <c r="J135" s="522">
        <f t="shared" si="58"/>
        <v>0</v>
      </c>
      <c r="K135" s="522">
        <f t="shared" si="58"/>
        <v>0</v>
      </c>
      <c r="L135" s="522">
        <f t="shared" si="58"/>
        <v>0</v>
      </c>
      <c r="M135" s="522">
        <f t="shared" si="58"/>
        <v>0</v>
      </c>
      <c r="N135" s="522">
        <f t="shared" si="58"/>
        <v>0</v>
      </c>
      <c r="O135" s="410" t="s">
        <v>2002</v>
      </c>
    </row>
    <row r="136" spans="3:15" s="410" customFormat="1">
      <c r="D136" s="410" t="s">
        <v>1666</v>
      </c>
      <c r="E136" s="522">
        <f t="shared" ref="E136:N136" si="59">calcRealEsateCost-calcRealEsateCostY2</f>
        <v>0</v>
      </c>
      <c r="F136" s="522">
        <f t="shared" si="59"/>
        <v>0</v>
      </c>
      <c r="G136" s="522">
        <f t="shared" si="59"/>
        <v>0</v>
      </c>
      <c r="H136" s="522">
        <f t="shared" si="59"/>
        <v>0</v>
      </c>
      <c r="I136" s="522">
        <f t="shared" si="59"/>
        <v>0</v>
      </c>
      <c r="J136" s="522">
        <f t="shared" si="59"/>
        <v>0</v>
      </c>
      <c r="K136" s="522">
        <f t="shared" si="59"/>
        <v>0</v>
      </c>
      <c r="L136" s="522">
        <f t="shared" si="59"/>
        <v>0</v>
      </c>
      <c r="M136" s="522">
        <f t="shared" si="59"/>
        <v>0</v>
      </c>
      <c r="N136" s="522">
        <f t="shared" si="59"/>
        <v>0</v>
      </c>
      <c r="O136" s="410" t="s">
        <v>2003</v>
      </c>
    </row>
    <row r="137" spans="3:15" s="410" customFormat="1">
      <c r="D137" s="410" t="s">
        <v>1663</v>
      </c>
      <c r="E137" s="522">
        <f t="shared" ref="E137:N137" si="60">calcSiteInfrastructureBuildOutCost-calcSiteInfrastructureBuildOutCostY2</f>
        <v>0</v>
      </c>
      <c r="F137" s="522">
        <f t="shared" si="60"/>
        <v>0</v>
      </c>
      <c r="G137" s="522">
        <f t="shared" si="60"/>
        <v>0</v>
      </c>
      <c r="H137" s="522">
        <f t="shared" si="60"/>
        <v>0</v>
      </c>
      <c r="I137" s="522">
        <f t="shared" si="60"/>
        <v>0</v>
      </c>
      <c r="J137" s="522">
        <f t="shared" si="60"/>
        <v>0</v>
      </c>
      <c r="K137" s="522">
        <f t="shared" si="60"/>
        <v>0</v>
      </c>
      <c r="L137" s="522">
        <f t="shared" si="60"/>
        <v>0</v>
      </c>
      <c r="M137" s="522">
        <f t="shared" si="60"/>
        <v>0</v>
      </c>
      <c r="N137" s="522">
        <f t="shared" si="60"/>
        <v>0</v>
      </c>
      <c r="O137" s="410" t="s">
        <v>2004</v>
      </c>
    </row>
    <row r="138" spans="3:15" s="410" customFormat="1">
      <c r="D138" s="410" t="s">
        <v>1667</v>
      </c>
      <c r="E138" s="522">
        <f t="shared" ref="E138:N138" si="61">calcFullTrustExp-calcFullTrustExpY2</f>
        <v>0</v>
      </c>
      <c r="F138" s="522">
        <f t="shared" si="61"/>
        <v>0</v>
      </c>
      <c r="G138" s="522">
        <f t="shared" si="61"/>
        <v>0</v>
      </c>
      <c r="H138" s="522">
        <f t="shared" si="61"/>
        <v>0</v>
      </c>
      <c r="I138" s="522">
        <f t="shared" si="61"/>
        <v>0</v>
      </c>
      <c r="J138" s="522">
        <f t="shared" si="61"/>
        <v>0</v>
      </c>
      <c r="K138" s="522">
        <f t="shared" si="61"/>
        <v>0</v>
      </c>
      <c r="L138" s="522">
        <f t="shared" si="61"/>
        <v>0</v>
      </c>
      <c r="M138" s="522">
        <f t="shared" si="61"/>
        <v>0</v>
      </c>
      <c r="N138" s="522">
        <f t="shared" si="61"/>
        <v>0</v>
      </c>
      <c r="O138" s="410" t="s">
        <v>2005</v>
      </c>
    </row>
    <row r="139" spans="3:15" s="410" customFormat="1">
      <c r="D139" s="410" t="s">
        <v>1656</v>
      </c>
      <c r="E139" s="522">
        <f t="shared" ref="E139:N139" si="62">calcFullOrg62Exp-calcFullOrg62ExpY2</f>
        <v>0</v>
      </c>
      <c r="F139" s="522">
        <f t="shared" si="62"/>
        <v>0</v>
      </c>
      <c r="G139" s="522">
        <f t="shared" si="62"/>
        <v>0</v>
      </c>
      <c r="H139" s="522">
        <f t="shared" si="62"/>
        <v>0</v>
      </c>
      <c r="I139" s="522">
        <f t="shared" si="62"/>
        <v>0</v>
      </c>
      <c r="J139" s="522">
        <f t="shared" si="62"/>
        <v>0</v>
      </c>
      <c r="K139" s="522">
        <f t="shared" si="62"/>
        <v>0</v>
      </c>
      <c r="L139" s="522">
        <f t="shared" si="62"/>
        <v>0</v>
      </c>
      <c r="M139" s="522">
        <f t="shared" si="62"/>
        <v>0</v>
      </c>
      <c r="N139" s="522">
        <f t="shared" si="62"/>
        <v>0</v>
      </c>
      <c r="O139" s="410" t="s">
        <v>2006</v>
      </c>
    </row>
    <row r="140" spans="3:15" s="410" customFormat="1">
      <c r="D140" s="410" t="s">
        <v>507</v>
      </c>
      <c r="E140" s="522">
        <f t="shared" ref="E140:N140" si="63">calcFullStackExp-calcFullStackExpY2</f>
        <v>0</v>
      </c>
      <c r="F140" s="522">
        <f t="shared" si="63"/>
        <v>0</v>
      </c>
      <c r="G140" s="522">
        <f t="shared" si="63"/>
        <v>0</v>
      </c>
      <c r="H140" s="522">
        <f t="shared" si="63"/>
        <v>0</v>
      </c>
      <c r="I140" s="522">
        <f t="shared" si="63"/>
        <v>0</v>
      </c>
      <c r="J140" s="522">
        <f t="shared" si="63"/>
        <v>0</v>
      </c>
      <c r="K140" s="522">
        <f t="shared" si="63"/>
        <v>0</v>
      </c>
      <c r="L140" s="522">
        <f t="shared" si="63"/>
        <v>0</v>
      </c>
      <c r="M140" s="522">
        <f t="shared" si="63"/>
        <v>0</v>
      </c>
      <c r="N140" s="522">
        <f t="shared" si="63"/>
        <v>0</v>
      </c>
      <c r="O140" s="410" t="s">
        <v>2007</v>
      </c>
    </row>
    <row r="141" spans="3:15" s="410" customFormat="1">
      <c r="D141" s="410" t="s">
        <v>2284</v>
      </c>
      <c r="E141" s="522">
        <f t="shared" ref="E141:N141" si="64">calcFullCSGExp-calcFullCSGExpY2</f>
        <v>0</v>
      </c>
      <c r="F141" s="522">
        <f t="shared" si="64"/>
        <v>0</v>
      </c>
      <c r="G141" s="522">
        <f t="shared" si="64"/>
        <v>0</v>
      </c>
      <c r="H141" s="522">
        <f t="shared" si="64"/>
        <v>0</v>
      </c>
      <c r="I141" s="522">
        <f t="shared" si="64"/>
        <v>0</v>
      </c>
      <c r="J141" s="522">
        <f t="shared" si="64"/>
        <v>0</v>
      </c>
      <c r="K141" s="522">
        <f t="shared" si="64"/>
        <v>0</v>
      </c>
      <c r="L141" s="522">
        <f t="shared" si="64"/>
        <v>0</v>
      </c>
      <c r="M141" s="522">
        <f t="shared" si="64"/>
        <v>0</v>
      </c>
      <c r="N141" s="522">
        <f t="shared" si="64"/>
        <v>0</v>
      </c>
      <c r="O141" s="410" t="s">
        <v>2295</v>
      </c>
    </row>
    <row r="142" spans="3:15" s="410" customFormat="1">
      <c r="D142" s="410" t="s">
        <v>3131</v>
      </c>
      <c r="E142" s="522">
        <f t="shared" ref="E142:N142" si="65">calcFullBrandIntExp-calcFullBrandIntExpY2</f>
        <v>0</v>
      </c>
      <c r="F142" s="522">
        <f t="shared" si="65"/>
        <v>0</v>
      </c>
      <c r="G142" s="522">
        <f t="shared" si="65"/>
        <v>0</v>
      </c>
      <c r="H142" s="522">
        <f t="shared" si="65"/>
        <v>0</v>
      </c>
      <c r="I142" s="522">
        <f t="shared" si="65"/>
        <v>0</v>
      </c>
      <c r="J142" s="522">
        <f t="shared" si="65"/>
        <v>0</v>
      </c>
      <c r="K142" s="522">
        <f t="shared" si="65"/>
        <v>0</v>
      </c>
      <c r="L142" s="522">
        <f t="shared" si="65"/>
        <v>0</v>
      </c>
      <c r="M142" s="522">
        <f t="shared" si="65"/>
        <v>0</v>
      </c>
      <c r="N142" s="522">
        <f t="shared" si="65"/>
        <v>0</v>
      </c>
      <c r="O142" s="410" t="s">
        <v>3132</v>
      </c>
    </row>
    <row r="143" spans="3:15" s="410" customFormat="1">
      <c r="D143" s="410" t="s">
        <v>2277</v>
      </c>
      <c r="E143" s="522">
        <f t="shared" ref="E143:N143" si="66">calcFullLeadPassExp-calcFullLeadPassExpY2</f>
        <v>0</v>
      </c>
      <c r="F143" s="522">
        <f t="shared" si="66"/>
        <v>0</v>
      </c>
      <c r="G143" s="522">
        <f t="shared" si="66"/>
        <v>0</v>
      </c>
      <c r="H143" s="522">
        <f t="shared" si="66"/>
        <v>0</v>
      </c>
      <c r="I143" s="522">
        <f t="shared" si="66"/>
        <v>0</v>
      </c>
      <c r="J143" s="522">
        <f t="shared" si="66"/>
        <v>0</v>
      </c>
      <c r="K143" s="522">
        <f t="shared" si="66"/>
        <v>0</v>
      </c>
      <c r="L143" s="522">
        <f t="shared" si="66"/>
        <v>0</v>
      </c>
      <c r="M143" s="522">
        <f t="shared" si="66"/>
        <v>0</v>
      </c>
      <c r="N143" s="522">
        <f t="shared" si="66"/>
        <v>0</v>
      </c>
      <c r="O143" s="410" t="s">
        <v>2351</v>
      </c>
    </row>
    <row r="144" spans="3:15" s="410" customFormat="1">
      <c r="D144" s="410" t="s">
        <v>1036</v>
      </c>
      <c r="E144" s="522">
        <f t="shared" ref="E144:N144" si="67">calcFullExternalSalesExp-calcFullExternalSalesExpY2</f>
        <v>0</v>
      </c>
      <c r="F144" s="522">
        <f t="shared" si="67"/>
        <v>0</v>
      </c>
      <c r="G144" s="522">
        <f t="shared" si="67"/>
        <v>0</v>
      </c>
      <c r="H144" s="522">
        <f t="shared" si="67"/>
        <v>0</v>
      </c>
      <c r="I144" s="522">
        <f t="shared" si="67"/>
        <v>0</v>
      </c>
      <c r="J144" s="522">
        <f t="shared" si="67"/>
        <v>0</v>
      </c>
      <c r="K144" s="522">
        <f t="shared" si="67"/>
        <v>0</v>
      </c>
      <c r="L144" s="522">
        <f t="shared" si="67"/>
        <v>0</v>
      </c>
      <c r="M144" s="522">
        <f t="shared" si="67"/>
        <v>0</v>
      </c>
      <c r="N144" s="522">
        <f t="shared" si="67"/>
        <v>0</v>
      </c>
      <c r="O144" s="410" t="s">
        <v>2000</v>
      </c>
    </row>
    <row r="145" spans="4:15" s="410" customFormat="1">
      <c r="D145" s="410" t="s">
        <v>2211</v>
      </c>
      <c r="E145" s="522">
        <f t="shared" ref="E145:N145" si="68">paramScenarioCostY1</f>
        <v>0</v>
      </c>
      <c r="F145" s="522">
        <f t="shared" si="68"/>
        <v>0</v>
      </c>
      <c r="G145" s="522">
        <f t="shared" si="68"/>
        <v>0</v>
      </c>
      <c r="H145" s="522">
        <f t="shared" si="68"/>
        <v>0</v>
      </c>
      <c r="I145" s="522">
        <f t="shared" si="68"/>
        <v>0</v>
      </c>
      <c r="J145" s="522">
        <f t="shared" si="68"/>
        <v>0</v>
      </c>
      <c r="K145" s="522">
        <f t="shared" si="68"/>
        <v>0</v>
      </c>
      <c r="L145" s="522">
        <f t="shared" si="68"/>
        <v>0</v>
      </c>
      <c r="M145" s="522">
        <f t="shared" si="68"/>
        <v>0</v>
      </c>
      <c r="N145" s="522">
        <f t="shared" si="68"/>
        <v>0</v>
      </c>
      <c r="O145" s="410" t="s">
        <v>2008</v>
      </c>
    </row>
    <row r="146" spans="4:15" s="217" customFormat="1">
      <c r="D146" s="217" t="s">
        <v>1668</v>
      </c>
      <c r="E146" s="427">
        <f>SUM(E134:E145)</f>
        <v>0</v>
      </c>
      <c r="F146" s="427">
        <f>SUM(F134:F145)</f>
        <v>0</v>
      </c>
      <c r="G146" s="427">
        <f>SUM(G134:G145)</f>
        <v>0</v>
      </c>
      <c r="H146" s="427">
        <f>SUM(H134:H145)</f>
        <v>0</v>
      </c>
      <c r="I146" s="427">
        <f>SUM(I134:I145)</f>
        <v>0</v>
      </c>
      <c r="J146" s="427">
        <f t="shared" ref="J146:N146" si="69">SUM(J134:J145)</f>
        <v>0</v>
      </c>
      <c r="K146" s="427">
        <f t="shared" si="69"/>
        <v>0</v>
      </c>
      <c r="L146" s="427">
        <f t="shared" si="69"/>
        <v>0</v>
      </c>
      <c r="M146" s="427">
        <f t="shared" si="69"/>
        <v>0</v>
      </c>
      <c r="N146" s="427">
        <f t="shared" si="69"/>
        <v>0</v>
      </c>
      <c r="O146" s="217" t="s">
        <v>1669</v>
      </c>
    </row>
    <row r="147" spans="4:15" s="217" customFormat="1">
      <c r="D147" s="217" t="s">
        <v>1646</v>
      </c>
      <c r="E147" s="217">
        <f t="shared" ref="E147:N147" si="70">calcIntegrationBudget-calcFullIntegrationCosts</f>
        <v>25000000</v>
      </c>
      <c r="F147" s="217">
        <f t="shared" si="70"/>
        <v>25000000</v>
      </c>
      <c r="G147" s="217">
        <f t="shared" si="70"/>
        <v>25000000</v>
      </c>
      <c r="H147" s="217">
        <f t="shared" si="70"/>
        <v>25000000</v>
      </c>
      <c r="I147" s="217">
        <f t="shared" si="70"/>
        <v>25000000</v>
      </c>
      <c r="J147" s="217">
        <f t="shared" si="70"/>
        <v>25000000</v>
      </c>
      <c r="K147" s="217">
        <f t="shared" si="70"/>
        <v>25000000</v>
      </c>
      <c r="L147" s="217">
        <f t="shared" si="70"/>
        <v>25000000</v>
      </c>
      <c r="M147" s="217">
        <f t="shared" si="70"/>
        <v>25000000</v>
      </c>
      <c r="N147" s="217">
        <f t="shared" si="70"/>
        <v>25000000</v>
      </c>
      <c r="O147" s="217" t="s">
        <v>3069</v>
      </c>
    </row>
    <row r="148" spans="4:15" s="217" customFormat="1"/>
    <row r="149" spans="4:15" s="217" customFormat="1">
      <c r="D149" s="217" t="s">
        <v>2210</v>
      </c>
      <c r="E149" s="217">
        <f t="shared" ref="E149:N149" si="71">cbalIntegrationBudgetY2</f>
        <v>10000000</v>
      </c>
      <c r="F149" s="217">
        <f t="shared" si="71"/>
        <v>10000000</v>
      </c>
      <c r="G149" s="217">
        <f t="shared" si="71"/>
        <v>10000000</v>
      </c>
      <c r="H149" s="217">
        <f t="shared" si="71"/>
        <v>10000000</v>
      </c>
      <c r="I149" s="217">
        <f t="shared" si="71"/>
        <v>10000000</v>
      </c>
      <c r="J149" s="217">
        <f t="shared" si="71"/>
        <v>10000000</v>
      </c>
      <c r="K149" s="217">
        <f t="shared" si="71"/>
        <v>10000000</v>
      </c>
      <c r="L149" s="217">
        <f t="shared" si="71"/>
        <v>10000000</v>
      </c>
      <c r="M149" s="217">
        <f t="shared" si="71"/>
        <v>10000000</v>
      </c>
      <c r="N149" s="217">
        <f t="shared" si="71"/>
        <v>10000000</v>
      </c>
      <c r="O149" s="217" t="s">
        <v>3070</v>
      </c>
    </row>
    <row r="150" spans="4:15" s="217" customFormat="1">
      <c r="D150" s="217" t="s">
        <v>2192</v>
      </c>
    </row>
    <row r="151" spans="4:15" s="410" customFormat="1">
      <c r="D151" s="410" t="s">
        <v>681</v>
      </c>
      <c r="E151" s="522">
        <f t="shared" ref="E151:N151" si="72">calcFullHarmExpY2</f>
        <v>0</v>
      </c>
      <c r="F151" s="522">
        <f t="shared" si="72"/>
        <v>0</v>
      </c>
      <c r="G151" s="522">
        <f t="shared" si="72"/>
        <v>0</v>
      </c>
      <c r="H151" s="522">
        <f t="shared" si="72"/>
        <v>0</v>
      </c>
      <c r="I151" s="522">
        <f t="shared" si="72"/>
        <v>0</v>
      </c>
      <c r="J151" s="522">
        <f t="shared" si="72"/>
        <v>0</v>
      </c>
      <c r="K151" s="522">
        <f t="shared" si="72"/>
        <v>0</v>
      </c>
      <c r="L151" s="522">
        <f t="shared" si="72"/>
        <v>0</v>
      </c>
      <c r="M151" s="522">
        <f t="shared" si="72"/>
        <v>0</v>
      </c>
      <c r="N151" s="522">
        <f t="shared" si="72"/>
        <v>0</v>
      </c>
      <c r="O151" s="410" t="s">
        <v>2187</v>
      </c>
    </row>
    <row r="152" spans="4:15" s="410" customFormat="1">
      <c r="D152" s="410" t="s">
        <v>1657</v>
      </c>
      <c r="E152" s="522">
        <f t="shared" ref="E152:N152" si="73">calcFullITExpY2</f>
        <v>0</v>
      </c>
      <c r="F152" s="522">
        <f t="shared" si="73"/>
        <v>0</v>
      </c>
      <c r="G152" s="522">
        <f t="shared" si="73"/>
        <v>0</v>
      </c>
      <c r="H152" s="522">
        <f t="shared" si="73"/>
        <v>0</v>
      </c>
      <c r="I152" s="522">
        <f t="shared" si="73"/>
        <v>0</v>
      </c>
      <c r="J152" s="522">
        <f t="shared" si="73"/>
        <v>0</v>
      </c>
      <c r="K152" s="522">
        <f t="shared" si="73"/>
        <v>0</v>
      </c>
      <c r="L152" s="522">
        <f t="shared" si="73"/>
        <v>0</v>
      </c>
      <c r="M152" s="522">
        <f t="shared" si="73"/>
        <v>0</v>
      </c>
      <c r="N152" s="522">
        <f t="shared" si="73"/>
        <v>0</v>
      </c>
      <c r="O152" s="410" t="s">
        <v>2186</v>
      </c>
    </row>
    <row r="153" spans="4:15" s="410" customFormat="1">
      <c r="D153" s="410" t="s">
        <v>1666</v>
      </c>
      <c r="E153" s="522">
        <f t="shared" ref="E153:N153" si="74">calcRealEsateCostY2</f>
        <v>0</v>
      </c>
      <c r="F153" s="522">
        <f t="shared" si="74"/>
        <v>0</v>
      </c>
      <c r="G153" s="522">
        <f t="shared" si="74"/>
        <v>0</v>
      </c>
      <c r="H153" s="522">
        <f t="shared" si="74"/>
        <v>0</v>
      </c>
      <c r="I153" s="522">
        <f t="shared" si="74"/>
        <v>0</v>
      </c>
      <c r="J153" s="522">
        <f t="shared" si="74"/>
        <v>0</v>
      </c>
      <c r="K153" s="522">
        <f t="shared" si="74"/>
        <v>0</v>
      </c>
      <c r="L153" s="522">
        <f t="shared" si="74"/>
        <v>0</v>
      </c>
      <c r="M153" s="522">
        <f t="shared" si="74"/>
        <v>0</v>
      </c>
      <c r="N153" s="522">
        <f t="shared" si="74"/>
        <v>0</v>
      </c>
      <c r="O153" s="410" t="s">
        <v>2185</v>
      </c>
    </row>
    <row r="154" spans="4:15" s="410" customFormat="1">
      <c r="D154" s="410" t="s">
        <v>1663</v>
      </c>
      <c r="E154" s="522">
        <f t="shared" ref="E154:N154" si="75">calcSiteInfrastructureBuildOutCostY2</f>
        <v>0</v>
      </c>
      <c r="F154" s="522">
        <f t="shared" si="75"/>
        <v>0</v>
      </c>
      <c r="G154" s="522">
        <f t="shared" si="75"/>
        <v>0</v>
      </c>
      <c r="H154" s="522">
        <f t="shared" si="75"/>
        <v>0</v>
      </c>
      <c r="I154" s="522">
        <f t="shared" si="75"/>
        <v>0</v>
      </c>
      <c r="J154" s="522">
        <f t="shared" si="75"/>
        <v>0</v>
      </c>
      <c r="K154" s="522">
        <f t="shared" si="75"/>
        <v>0</v>
      </c>
      <c r="L154" s="522">
        <f t="shared" si="75"/>
        <v>0</v>
      </c>
      <c r="M154" s="522">
        <f t="shared" si="75"/>
        <v>0</v>
      </c>
      <c r="N154" s="522">
        <f t="shared" si="75"/>
        <v>0</v>
      </c>
      <c r="O154" s="410" t="s">
        <v>2184</v>
      </c>
    </row>
    <row r="155" spans="4:15" s="410" customFormat="1">
      <c r="D155" s="410" t="s">
        <v>1667</v>
      </c>
      <c r="E155" s="522">
        <f t="shared" ref="E155:N155" si="76">calcFullTrustExpY2</f>
        <v>0</v>
      </c>
      <c r="F155" s="522">
        <f t="shared" si="76"/>
        <v>0</v>
      </c>
      <c r="G155" s="522">
        <f t="shared" si="76"/>
        <v>0</v>
      </c>
      <c r="H155" s="522">
        <f t="shared" si="76"/>
        <v>0</v>
      </c>
      <c r="I155" s="522">
        <f t="shared" si="76"/>
        <v>0</v>
      </c>
      <c r="J155" s="522">
        <f t="shared" si="76"/>
        <v>0</v>
      </c>
      <c r="K155" s="522">
        <f t="shared" si="76"/>
        <v>0</v>
      </c>
      <c r="L155" s="522">
        <f t="shared" si="76"/>
        <v>0</v>
      </c>
      <c r="M155" s="522">
        <f t="shared" si="76"/>
        <v>0</v>
      </c>
      <c r="N155" s="522">
        <f t="shared" si="76"/>
        <v>0</v>
      </c>
      <c r="O155" s="410" t="s">
        <v>2183</v>
      </c>
    </row>
    <row r="156" spans="4:15" s="410" customFormat="1">
      <c r="D156" s="410" t="s">
        <v>1656</v>
      </c>
      <c r="E156" s="522">
        <f t="shared" ref="E156:N156" si="77">calcFullOrg62ExpY2</f>
        <v>0</v>
      </c>
      <c r="F156" s="522">
        <f t="shared" si="77"/>
        <v>0</v>
      </c>
      <c r="G156" s="522">
        <f t="shared" si="77"/>
        <v>0</v>
      </c>
      <c r="H156" s="522">
        <f t="shared" si="77"/>
        <v>0</v>
      </c>
      <c r="I156" s="522">
        <f t="shared" si="77"/>
        <v>0</v>
      </c>
      <c r="J156" s="522">
        <f t="shared" si="77"/>
        <v>0</v>
      </c>
      <c r="K156" s="522">
        <f t="shared" si="77"/>
        <v>0</v>
      </c>
      <c r="L156" s="522">
        <f t="shared" si="77"/>
        <v>0</v>
      </c>
      <c r="M156" s="522">
        <f t="shared" si="77"/>
        <v>0</v>
      </c>
      <c r="N156" s="522">
        <f t="shared" si="77"/>
        <v>0</v>
      </c>
      <c r="O156" s="410" t="s">
        <v>2182</v>
      </c>
    </row>
    <row r="157" spans="4:15" s="410" customFormat="1">
      <c r="D157" s="410" t="s">
        <v>507</v>
      </c>
      <c r="E157" s="522">
        <f t="shared" ref="E157:N157" si="78">calcFullStackExpY2</f>
        <v>0</v>
      </c>
      <c r="F157" s="522">
        <f t="shared" si="78"/>
        <v>0</v>
      </c>
      <c r="G157" s="522">
        <f t="shared" si="78"/>
        <v>0</v>
      </c>
      <c r="H157" s="522">
        <f t="shared" si="78"/>
        <v>0</v>
      </c>
      <c r="I157" s="522">
        <f t="shared" si="78"/>
        <v>0</v>
      </c>
      <c r="J157" s="522">
        <f t="shared" si="78"/>
        <v>0</v>
      </c>
      <c r="K157" s="522">
        <f t="shared" si="78"/>
        <v>0</v>
      </c>
      <c r="L157" s="522">
        <f t="shared" si="78"/>
        <v>0</v>
      </c>
      <c r="M157" s="522">
        <f t="shared" si="78"/>
        <v>0</v>
      </c>
      <c r="N157" s="522">
        <f t="shared" si="78"/>
        <v>0</v>
      </c>
      <c r="O157" s="410" t="s">
        <v>2181</v>
      </c>
    </row>
    <row r="158" spans="4:15" s="410" customFormat="1">
      <c r="D158" s="410" t="s">
        <v>1036</v>
      </c>
      <c r="E158" s="522">
        <f t="shared" ref="E158:N158" si="79">calcFullExternalSalesExpY2</f>
        <v>0</v>
      </c>
      <c r="F158" s="522">
        <f t="shared" si="79"/>
        <v>0</v>
      </c>
      <c r="G158" s="522">
        <f t="shared" si="79"/>
        <v>0</v>
      </c>
      <c r="H158" s="522">
        <f t="shared" si="79"/>
        <v>0</v>
      </c>
      <c r="I158" s="522">
        <f t="shared" si="79"/>
        <v>0</v>
      </c>
      <c r="J158" s="522">
        <f t="shared" si="79"/>
        <v>0</v>
      </c>
      <c r="K158" s="522">
        <f t="shared" si="79"/>
        <v>0</v>
      </c>
      <c r="L158" s="522">
        <f t="shared" si="79"/>
        <v>0</v>
      </c>
      <c r="M158" s="522">
        <f t="shared" si="79"/>
        <v>0</v>
      </c>
      <c r="N158" s="522">
        <f t="shared" si="79"/>
        <v>0</v>
      </c>
      <c r="O158" s="410" t="s">
        <v>2180</v>
      </c>
    </row>
    <row r="159" spans="4:15" s="410" customFormat="1">
      <c r="D159" s="410" t="s">
        <v>2284</v>
      </c>
      <c r="E159" s="522">
        <f t="shared" ref="E159:N159" si="80">calcFullCSGExpY2</f>
        <v>0</v>
      </c>
      <c r="F159" s="522">
        <f t="shared" si="80"/>
        <v>0</v>
      </c>
      <c r="G159" s="522">
        <f t="shared" si="80"/>
        <v>0</v>
      </c>
      <c r="H159" s="522">
        <f t="shared" si="80"/>
        <v>0</v>
      </c>
      <c r="I159" s="522">
        <f t="shared" si="80"/>
        <v>0</v>
      </c>
      <c r="J159" s="522">
        <f t="shared" si="80"/>
        <v>0</v>
      </c>
      <c r="K159" s="522">
        <f t="shared" si="80"/>
        <v>0</v>
      </c>
      <c r="L159" s="522">
        <f t="shared" si="80"/>
        <v>0</v>
      </c>
      <c r="M159" s="522">
        <f t="shared" si="80"/>
        <v>0</v>
      </c>
      <c r="N159" s="522">
        <f t="shared" si="80"/>
        <v>0</v>
      </c>
      <c r="O159" s="410" t="s">
        <v>2353</v>
      </c>
    </row>
    <row r="160" spans="4:15" s="410" customFormat="1">
      <c r="D160" s="410" t="s">
        <v>3134</v>
      </c>
      <c r="E160" s="522">
        <f t="shared" ref="E160:N160" si="81">calcFullBrandIntExpY2</f>
        <v>0</v>
      </c>
      <c r="F160" s="522">
        <f t="shared" si="81"/>
        <v>0</v>
      </c>
      <c r="G160" s="522">
        <f t="shared" si="81"/>
        <v>0</v>
      </c>
      <c r="H160" s="522">
        <f t="shared" si="81"/>
        <v>0</v>
      </c>
      <c r="I160" s="522">
        <f t="shared" si="81"/>
        <v>0</v>
      </c>
      <c r="J160" s="522">
        <f t="shared" si="81"/>
        <v>0</v>
      </c>
      <c r="K160" s="522">
        <f t="shared" si="81"/>
        <v>0</v>
      </c>
      <c r="L160" s="522">
        <f t="shared" si="81"/>
        <v>0</v>
      </c>
      <c r="M160" s="522">
        <f t="shared" si="81"/>
        <v>0</v>
      </c>
      <c r="N160" s="522">
        <f t="shared" si="81"/>
        <v>0</v>
      </c>
      <c r="O160" s="410" t="s">
        <v>3133</v>
      </c>
    </row>
    <row r="161" spans="1:15" s="410" customFormat="1">
      <c r="D161" s="410" t="s">
        <v>2277</v>
      </c>
      <c r="E161" s="522">
        <f t="shared" ref="E161:N161" si="82">calcFullLeadPassExpY2</f>
        <v>0</v>
      </c>
      <c r="F161" s="522">
        <f t="shared" si="82"/>
        <v>0</v>
      </c>
      <c r="G161" s="522">
        <f t="shared" si="82"/>
        <v>0</v>
      </c>
      <c r="H161" s="522">
        <f t="shared" si="82"/>
        <v>0</v>
      </c>
      <c r="I161" s="522">
        <f t="shared" si="82"/>
        <v>0</v>
      </c>
      <c r="J161" s="522">
        <f t="shared" si="82"/>
        <v>0</v>
      </c>
      <c r="K161" s="522">
        <f t="shared" si="82"/>
        <v>0</v>
      </c>
      <c r="L161" s="522">
        <f t="shared" si="82"/>
        <v>0</v>
      </c>
      <c r="M161" s="522">
        <f t="shared" si="82"/>
        <v>0</v>
      </c>
      <c r="N161" s="522">
        <f t="shared" si="82"/>
        <v>0</v>
      </c>
      <c r="O161" s="410" t="s">
        <v>2352</v>
      </c>
    </row>
    <row r="162" spans="1:15" s="410" customFormat="1">
      <c r="D162" s="410" t="s">
        <v>2211</v>
      </c>
      <c r="E162" s="522">
        <f t="shared" ref="E162:N162" si="83">paramScenarioCostY2</f>
        <v>0</v>
      </c>
      <c r="F162" s="522">
        <f t="shared" si="83"/>
        <v>0</v>
      </c>
      <c r="G162" s="522">
        <f t="shared" si="83"/>
        <v>0</v>
      </c>
      <c r="H162" s="522">
        <f t="shared" si="83"/>
        <v>0</v>
      </c>
      <c r="I162" s="522">
        <f t="shared" si="83"/>
        <v>0</v>
      </c>
      <c r="J162" s="522">
        <f t="shared" si="83"/>
        <v>0</v>
      </c>
      <c r="K162" s="522">
        <f t="shared" si="83"/>
        <v>0</v>
      </c>
      <c r="L162" s="522">
        <f t="shared" si="83"/>
        <v>0</v>
      </c>
      <c r="M162" s="522">
        <f t="shared" si="83"/>
        <v>0</v>
      </c>
      <c r="N162" s="522">
        <f t="shared" si="83"/>
        <v>0</v>
      </c>
      <c r="O162" s="410" t="s">
        <v>2188</v>
      </c>
    </row>
    <row r="163" spans="1:15" s="410" customFormat="1">
      <c r="D163" s="410" t="s">
        <v>2226</v>
      </c>
      <c r="E163" s="522">
        <f t="shared" ref="E163:N163" si="84">-(calcIntCostHarmY2Delay+calcIntCostEmpIntegrationY2Delay+calcIntCostRealEstateY2Delay+calcIntCostSiteInfraY2Delay+calcIntCostRiskMitY2Delay+calcIntCostOrg62Y2Delay+calcIntCostStackY2Delay)</f>
        <v>0</v>
      </c>
      <c r="F163" s="522">
        <f t="shared" si="84"/>
        <v>0</v>
      </c>
      <c r="G163" s="522">
        <f t="shared" si="84"/>
        <v>0</v>
      </c>
      <c r="H163" s="522">
        <f t="shared" si="84"/>
        <v>0</v>
      </c>
      <c r="I163" s="522">
        <f t="shared" si="84"/>
        <v>0</v>
      </c>
      <c r="J163" s="522">
        <f t="shared" si="84"/>
        <v>0</v>
      </c>
      <c r="K163" s="522">
        <f t="shared" si="84"/>
        <v>0</v>
      </c>
      <c r="L163" s="522">
        <f t="shared" si="84"/>
        <v>0</v>
      </c>
      <c r="M163" s="522">
        <f t="shared" si="84"/>
        <v>0</v>
      </c>
      <c r="N163" s="522">
        <f t="shared" si="84"/>
        <v>0</v>
      </c>
      <c r="O163" s="410" t="s">
        <v>2235</v>
      </c>
    </row>
    <row r="164" spans="1:15" s="217" customFormat="1">
      <c r="D164" s="217" t="s">
        <v>1668</v>
      </c>
      <c r="E164" s="427">
        <f>SUM(E151:E163)</f>
        <v>0</v>
      </c>
      <c r="F164" s="427">
        <f>SUM(F151:F162)</f>
        <v>0</v>
      </c>
      <c r="G164" s="427">
        <f>SUM(G151:G162)</f>
        <v>0</v>
      </c>
      <c r="H164" s="427">
        <f>SUM(H151:H162)</f>
        <v>0</v>
      </c>
      <c r="I164" s="427">
        <f>SUM(I151:I162)</f>
        <v>0</v>
      </c>
      <c r="J164" s="427">
        <f t="shared" ref="J164:N164" si="85">SUM(J151:J162)</f>
        <v>0</v>
      </c>
      <c r="K164" s="427">
        <f t="shared" si="85"/>
        <v>0</v>
      </c>
      <c r="L164" s="427">
        <f t="shared" si="85"/>
        <v>0</v>
      </c>
      <c r="M164" s="427">
        <f t="shared" si="85"/>
        <v>0</v>
      </c>
      <c r="N164" s="427">
        <f t="shared" si="85"/>
        <v>0</v>
      </c>
      <c r="O164" s="217" t="s">
        <v>2189</v>
      </c>
    </row>
    <row r="165" spans="1:15" s="217" customFormat="1">
      <c r="E165" s="427"/>
      <c r="F165" s="427"/>
      <c r="G165" s="427"/>
      <c r="H165" s="427"/>
      <c r="I165" s="427"/>
      <c r="J165" s="427"/>
      <c r="K165" s="427"/>
      <c r="L165" s="427"/>
      <c r="M165" s="427"/>
      <c r="N165" s="427"/>
    </row>
    <row r="166" spans="1:15" s="217" customFormat="1">
      <c r="D166" s="217" t="s">
        <v>1646</v>
      </c>
      <c r="E166" s="217">
        <f t="shared" ref="E166:N166" si="86">calcIntegrationBudgetY2-calcFullIntegrationCostsY2</f>
        <v>10000000</v>
      </c>
      <c r="F166" s="217">
        <f t="shared" si="86"/>
        <v>10000000</v>
      </c>
      <c r="G166" s="217">
        <f t="shared" si="86"/>
        <v>10000000</v>
      </c>
      <c r="H166" s="217">
        <f t="shared" si="86"/>
        <v>10000000</v>
      </c>
      <c r="I166" s="217">
        <f t="shared" si="86"/>
        <v>10000000</v>
      </c>
      <c r="J166" s="217">
        <f t="shared" si="86"/>
        <v>10000000</v>
      </c>
      <c r="K166" s="217">
        <f t="shared" si="86"/>
        <v>10000000</v>
      </c>
      <c r="L166" s="217">
        <f t="shared" si="86"/>
        <v>10000000</v>
      </c>
      <c r="M166" s="217">
        <f t="shared" si="86"/>
        <v>10000000</v>
      </c>
      <c r="N166" s="217">
        <f t="shared" si="86"/>
        <v>10000000</v>
      </c>
      <c r="O166" s="217" t="s">
        <v>3071</v>
      </c>
    </row>
    <row r="167" spans="1:15" s="217" customFormat="1">
      <c r="A167" s="410" t="s">
        <v>2227</v>
      </c>
      <c r="E167" s="427"/>
      <c r="F167" s="427"/>
      <c r="G167" s="427"/>
      <c r="H167" s="427"/>
      <c r="I167" s="427"/>
      <c r="J167" s="427"/>
      <c r="K167" s="427"/>
      <c r="L167" s="427"/>
      <c r="M167" s="427"/>
      <c r="N167" s="427"/>
    </row>
    <row r="168" spans="1:15" s="410" customFormat="1">
      <c r="D168" s="410" t="s">
        <v>681</v>
      </c>
      <c r="E168" s="522">
        <f t="shared" ref="E168:N168" si="87">calcFullHarmExpY2*calcDelayImpactHarm</f>
        <v>0</v>
      </c>
      <c r="F168" s="522">
        <f t="shared" si="87"/>
        <v>0</v>
      </c>
      <c r="G168" s="522">
        <f t="shared" si="87"/>
        <v>0</v>
      </c>
      <c r="H168" s="522">
        <f t="shared" si="87"/>
        <v>0</v>
      </c>
      <c r="I168" s="522">
        <f t="shared" si="87"/>
        <v>0</v>
      </c>
      <c r="J168" s="522">
        <f t="shared" si="87"/>
        <v>0</v>
      </c>
      <c r="K168" s="522">
        <f t="shared" si="87"/>
        <v>0</v>
      </c>
      <c r="L168" s="522">
        <f t="shared" si="87"/>
        <v>0</v>
      </c>
      <c r="M168" s="522">
        <f t="shared" si="87"/>
        <v>0</v>
      </c>
      <c r="N168" s="522">
        <f t="shared" si="87"/>
        <v>0</v>
      </c>
      <c r="O168" s="410" t="s">
        <v>2234</v>
      </c>
    </row>
    <row r="169" spans="1:15" s="410" customFormat="1">
      <c r="D169" s="410" t="s">
        <v>1657</v>
      </c>
      <c r="E169" s="522">
        <f t="shared" ref="E169:N169" si="88">calcFullITExpY2*calcDelayImpactBackOffice</f>
        <v>0</v>
      </c>
      <c r="F169" s="522">
        <f t="shared" si="88"/>
        <v>0</v>
      </c>
      <c r="G169" s="522">
        <f t="shared" si="88"/>
        <v>0</v>
      </c>
      <c r="H169" s="522">
        <f t="shared" si="88"/>
        <v>0</v>
      </c>
      <c r="I169" s="522">
        <f t="shared" si="88"/>
        <v>0</v>
      </c>
      <c r="J169" s="522">
        <f t="shared" si="88"/>
        <v>0</v>
      </c>
      <c r="K169" s="522">
        <f t="shared" si="88"/>
        <v>0</v>
      </c>
      <c r="L169" s="522">
        <f t="shared" si="88"/>
        <v>0</v>
      </c>
      <c r="M169" s="522">
        <f t="shared" si="88"/>
        <v>0</v>
      </c>
      <c r="N169" s="522">
        <f t="shared" si="88"/>
        <v>0</v>
      </c>
      <c r="O169" s="410" t="s">
        <v>2228</v>
      </c>
    </row>
    <row r="170" spans="1:15" s="410" customFormat="1">
      <c r="D170" s="410" t="s">
        <v>1666</v>
      </c>
      <c r="E170" s="522">
        <f t="shared" ref="E170:N170" si="89">calcRealEsateCostY2*calcDelayImpactBackOffice</f>
        <v>0</v>
      </c>
      <c r="F170" s="522">
        <f t="shared" si="89"/>
        <v>0</v>
      </c>
      <c r="G170" s="522">
        <f t="shared" si="89"/>
        <v>0</v>
      </c>
      <c r="H170" s="522">
        <f t="shared" si="89"/>
        <v>0</v>
      </c>
      <c r="I170" s="522">
        <f t="shared" si="89"/>
        <v>0</v>
      </c>
      <c r="J170" s="522">
        <f t="shared" si="89"/>
        <v>0</v>
      </c>
      <c r="K170" s="522">
        <f t="shared" si="89"/>
        <v>0</v>
      </c>
      <c r="L170" s="522">
        <f t="shared" si="89"/>
        <v>0</v>
      </c>
      <c r="M170" s="522">
        <f t="shared" si="89"/>
        <v>0</v>
      </c>
      <c r="N170" s="522">
        <f t="shared" si="89"/>
        <v>0</v>
      </c>
      <c r="O170" s="410" t="s">
        <v>2229</v>
      </c>
    </row>
    <row r="171" spans="1:15" s="410" customFormat="1">
      <c r="D171" s="410" t="s">
        <v>1663</v>
      </c>
      <c r="E171" s="522">
        <f t="shared" ref="E171:N171" si="90">calcSiteInfrastructureBuildOutCostY2*calcDelayImpactTrust</f>
        <v>0</v>
      </c>
      <c r="F171" s="522">
        <f t="shared" si="90"/>
        <v>0</v>
      </c>
      <c r="G171" s="522">
        <f t="shared" si="90"/>
        <v>0</v>
      </c>
      <c r="H171" s="522">
        <f t="shared" si="90"/>
        <v>0</v>
      </c>
      <c r="I171" s="522">
        <f t="shared" si="90"/>
        <v>0</v>
      </c>
      <c r="J171" s="522">
        <f t="shared" si="90"/>
        <v>0</v>
      </c>
      <c r="K171" s="522">
        <f t="shared" si="90"/>
        <v>0</v>
      </c>
      <c r="L171" s="522">
        <f t="shared" si="90"/>
        <v>0</v>
      </c>
      <c r="M171" s="522">
        <f t="shared" si="90"/>
        <v>0</v>
      </c>
      <c r="N171" s="522">
        <f t="shared" si="90"/>
        <v>0</v>
      </c>
      <c r="O171" s="410" t="s">
        <v>2230</v>
      </c>
    </row>
    <row r="172" spans="1:15" s="410" customFormat="1">
      <c r="D172" s="410" t="s">
        <v>1667</v>
      </c>
      <c r="E172" s="522">
        <f t="shared" ref="E172:N172" si="91">calcFullTrustExpY2*calcDelayImpactTrust</f>
        <v>0</v>
      </c>
      <c r="F172" s="522">
        <f t="shared" si="91"/>
        <v>0</v>
      </c>
      <c r="G172" s="522">
        <f t="shared" si="91"/>
        <v>0</v>
      </c>
      <c r="H172" s="522">
        <f t="shared" si="91"/>
        <v>0</v>
      </c>
      <c r="I172" s="522">
        <f t="shared" si="91"/>
        <v>0</v>
      </c>
      <c r="J172" s="522">
        <f t="shared" si="91"/>
        <v>0</v>
      </c>
      <c r="K172" s="522">
        <f t="shared" si="91"/>
        <v>0</v>
      </c>
      <c r="L172" s="522">
        <f t="shared" si="91"/>
        <v>0</v>
      </c>
      <c r="M172" s="522">
        <f t="shared" si="91"/>
        <v>0</v>
      </c>
      <c r="N172" s="522">
        <f t="shared" si="91"/>
        <v>0</v>
      </c>
      <c r="O172" s="410" t="s">
        <v>2231</v>
      </c>
    </row>
    <row r="173" spans="1:15" s="410" customFormat="1">
      <c r="D173" s="410" t="s">
        <v>1656</v>
      </c>
      <c r="E173" s="522">
        <f t="shared" ref="E173:N173" si="92">calcFullOrg62ExpY2*calcDelayImpactOrg62</f>
        <v>0</v>
      </c>
      <c r="F173" s="522">
        <f t="shared" si="92"/>
        <v>0</v>
      </c>
      <c r="G173" s="522">
        <f t="shared" si="92"/>
        <v>0</v>
      </c>
      <c r="H173" s="522">
        <f t="shared" si="92"/>
        <v>0</v>
      </c>
      <c r="I173" s="522">
        <f t="shared" si="92"/>
        <v>0</v>
      </c>
      <c r="J173" s="522">
        <f t="shared" si="92"/>
        <v>0</v>
      </c>
      <c r="K173" s="522">
        <f t="shared" si="92"/>
        <v>0</v>
      </c>
      <c r="L173" s="522">
        <f t="shared" si="92"/>
        <v>0</v>
      </c>
      <c r="M173" s="522">
        <f t="shared" si="92"/>
        <v>0</v>
      </c>
      <c r="N173" s="522">
        <f t="shared" si="92"/>
        <v>0</v>
      </c>
      <c r="O173" s="410" t="s">
        <v>2232</v>
      </c>
    </row>
    <row r="174" spans="1:15" s="410" customFormat="1">
      <c r="D174" s="410" t="s">
        <v>507</v>
      </c>
      <c r="E174" s="522">
        <f t="shared" ref="E174:N174" si="93">calcFullStackExpY2*calcDelayImpactProduct</f>
        <v>0</v>
      </c>
      <c r="F174" s="522">
        <f t="shared" si="93"/>
        <v>0</v>
      </c>
      <c r="G174" s="522">
        <f t="shared" si="93"/>
        <v>0</v>
      </c>
      <c r="H174" s="522">
        <f t="shared" si="93"/>
        <v>0</v>
      </c>
      <c r="I174" s="522">
        <f t="shared" si="93"/>
        <v>0</v>
      </c>
      <c r="J174" s="522">
        <f t="shared" si="93"/>
        <v>0</v>
      </c>
      <c r="K174" s="522">
        <f t="shared" si="93"/>
        <v>0</v>
      </c>
      <c r="L174" s="522">
        <f t="shared" si="93"/>
        <v>0</v>
      </c>
      <c r="M174" s="522">
        <f t="shared" si="93"/>
        <v>0</v>
      </c>
      <c r="N174" s="522">
        <f t="shared" si="93"/>
        <v>0</v>
      </c>
      <c r="O174" s="410" t="s">
        <v>2233</v>
      </c>
    </row>
    <row r="175" spans="1:15" s="410" customFormat="1">
      <c r="E175" s="522"/>
      <c r="F175" s="522"/>
      <c r="G175" s="522"/>
      <c r="H175" s="522"/>
      <c r="I175" s="522"/>
      <c r="J175" s="522"/>
      <c r="K175" s="522"/>
      <c r="L175" s="522"/>
      <c r="M175" s="522"/>
      <c r="N175" s="522"/>
    </row>
    <row r="176" spans="1:15" s="410" customFormat="1">
      <c r="A176" s="410" t="s">
        <v>3682</v>
      </c>
      <c r="D176" s="410" t="s">
        <v>3683</v>
      </c>
      <c r="E176" s="522">
        <f t="shared" ref="E176:J176" si="94">calcIntegrationBudget</f>
        <v>25000000</v>
      </c>
      <c r="F176" s="522">
        <f t="shared" si="94"/>
        <v>25000000</v>
      </c>
      <c r="G176" s="522">
        <f t="shared" si="94"/>
        <v>25000000</v>
      </c>
      <c r="H176" s="522">
        <f t="shared" si="94"/>
        <v>25000000</v>
      </c>
      <c r="I176" s="522">
        <f t="shared" si="94"/>
        <v>25000000</v>
      </c>
      <c r="J176" s="522">
        <f t="shared" si="94"/>
        <v>25000000</v>
      </c>
      <c r="K176" s="522"/>
      <c r="L176" s="522"/>
      <c r="M176" s="522"/>
      <c r="N176" s="522"/>
    </row>
    <row r="177" spans="1:15" s="410" customFormat="1">
      <c r="D177" s="410" t="s">
        <v>3684</v>
      </c>
      <c r="E177" s="522">
        <f t="shared" ref="E177:J177" si="95">calcFullIntegrationCosts</f>
        <v>0</v>
      </c>
      <c r="F177" s="522">
        <f t="shared" si="95"/>
        <v>0</v>
      </c>
      <c r="G177" s="522">
        <f t="shared" si="95"/>
        <v>0</v>
      </c>
      <c r="H177" s="522">
        <f t="shared" si="95"/>
        <v>0</v>
      </c>
      <c r="I177" s="522">
        <f t="shared" si="95"/>
        <v>0</v>
      </c>
      <c r="J177" s="522">
        <f t="shared" si="95"/>
        <v>0</v>
      </c>
      <c r="K177" s="522"/>
      <c r="L177" s="522"/>
      <c r="M177" s="522"/>
      <c r="N177" s="522"/>
    </row>
    <row r="178" spans="1:15" s="410" customFormat="1">
      <c r="D178" s="410" t="s">
        <v>3686</v>
      </c>
      <c r="E178" s="522" t="b">
        <f>E176&lt;E177</f>
        <v>0</v>
      </c>
      <c r="F178" s="522" t="b">
        <f t="shared" ref="F178:J178" si="96">F176&lt;F177</f>
        <v>0</v>
      </c>
      <c r="G178" s="522" t="b">
        <f t="shared" si="96"/>
        <v>0</v>
      </c>
      <c r="H178" s="522" t="b">
        <f t="shared" si="96"/>
        <v>0</v>
      </c>
      <c r="I178" s="522" t="b">
        <f t="shared" si="96"/>
        <v>0</v>
      </c>
      <c r="J178" s="522" t="b">
        <f t="shared" si="96"/>
        <v>0</v>
      </c>
      <c r="K178" s="522" t="s">
        <v>3685</v>
      </c>
      <c r="L178" s="522"/>
      <c r="M178" s="522"/>
      <c r="N178" s="522"/>
    </row>
    <row r="179" spans="1:15" s="410" customFormat="1">
      <c r="E179" s="522"/>
      <c r="F179" s="522"/>
      <c r="G179" s="522"/>
      <c r="H179" s="522"/>
      <c r="I179" s="522"/>
      <c r="J179" s="522"/>
      <c r="K179" s="522"/>
      <c r="L179" s="522"/>
      <c r="M179" s="522"/>
      <c r="N179" s="522"/>
    </row>
    <row r="180" spans="1:15" s="410" customFormat="1">
      <c r="A180" s="410" t="s">
        <v>3682</v>
      </c>
      <c r="D180" s="410" t="s">
        <v>3687</v>
      </c>
      <c r="E180" s="522">
        <f t="shared" ref="E180:J180" si="97">calcIntegrationBudgetY2</f>
        <v>10000000</v>
      </c>
      <c r="F180" s="522">
        <f t="shared" si="97"/>
        <v>10000000</v>
      </c>
      <c r="G180" s="522">
        <f t="shared" si="97"/>
        <v>10000000</v>
      </c>
      <c r="H180" s="522">
        <f t="shared" si="97"/>
        <v>10000000</v>
      </c>
      <c r="I180" s="522">
        <f t="shared" si="97"/>
        <v>10000000</v>
      </c>
      <c r="J180" s="522">
        <f t="shared" si="97"/>
        <v>10000000</v>
      </c>
      <c r="K180" s="522"/>
      <c r="L180" s="522"/>
      <c r="M180" s="522"/>
      <c r="N180" s="522"/>
    </row>
    <row r="181" spans="1:15" s="410" customFormat="1">
      <c r="D181" s="410" t="s">
        <v>3688</v>
      </c>
      <c r="E181" s="522">
        <f t="shared" ref="E181:J181" si="98">calcFullIntegrationCostsY2</f>
        <v>0</v>
      </c>
      <c r="F181" s="522">
        <f t="shared" si="98"/>
        <v>0</v>
      </c>
      <c r="G181" s="522">
        <f t="shared" si="98"/>
        <v>0</v>
      </c>
      <c r="H181" s="522">
        <f t="shared" si="98"/>
        <v>0</v>
      </c>
      <c r="I181" s="522">
        <f t="shared" si="98"/>
        <v>0</v>
      </c>
      <c r="J181" s="522">
        <f t="shared" si="98"/>
        <v>0</v>
      </c>
      <c r="K181" s="522"/>
      <c r="L181" s="522"/>
      <c r="M181" s="522"/>
      <c r="N181" s="522"/>
    </row>
    <row r="182" spans="1:15" s="410" customFormat="1">
      <c r="D182" s="410" t="s">
        <v>3686</v>
      </c>
      <c r="E182" s="522" t="b">
        <f>E180&lt;E181</f>
        <v>0</v>
      </c>
      <c r="F182" s="522" t="b">
        <f t="shared" ref="F182" si="99">F180&lt;F181</f>
        <v>0</v>
      </c>
      <c r="G182" s="522" t="b">
        <f t="shared" ref="G182" si="100">G180&lt;G181</f>
        <v>0</v>
      </c>
      <c r="H182" s="522" t="b">
        <f t="shared" ref="H182" si="101">H180&lt;H181</f>
        <v>0</v>
      </c>
      <c r="I182" s="522" t="b">
        <f t="shared" ref="I182" si="102">I180&lt;I181</f>
        <v>0</v>
      </c>
      <c r="J182" s="522" t="b">
        <f t="shared" ref="J182" si="103">J180&lt;J181</f>
        <v>0</v>
      </c>
      <c r="K182" s="522" t="s">
        <v>3689</v>
      </c>
      <c r="L182" s="522"/>
      <c r="M182" s="522"/>
      <c r="N182" s="522"/>
    </row>
    <row r="183" spans="1:15" s="410" customFormat="1">
      <c r="E183" s="522"/>
      <c r="F183" s="522"/>
      <c r="G183" s="522"/>
      <c r="H183" s="522"/>
      <c r="I183" s="522"/>
      <c r="J183" s="522"/>
      <c r="K183" s="522"/>
      <c r="L183" s="522"/>
      <c r="M183" s="522"/>
      <c r="N183" s="522"/>
    </row>
    <row r="184" spans="1:15" s="441" customFormat="1">
      <c r="A184" s="441" t="s">
        <v>434</v>
      </c>
      <c r="E184" s="472"/>
      <c r="F184" s="472"/>
      <c r="G184" s="472"/>
      <c r="H184" s="472"/>
      <c r="I184" s="472"/>
      <c r="J184" s="472"/>
      <c r="K184" s="472"/>
      <c r="L184" s="472"/>
      <c r="M184" s="472"/>
      <c r="N184" s="472"/>
    </row>
    <row r="185" spans="1:15" s="217" customFormat="1">
      <c r="C185" s="217" t="s">
        <v>899</v>
      </c>
      <c r="D185" s="217" t="s">
        <v>486</v>
      </c>
      <c r="E185" s="409">
        <f t="shared" ref="E185:N185" si="104">paramCOS</f>
        <v>0.2</v>
      </c>
      <c r="F185" s="409">
        <f t="shared" si="104"/>
        <v>0.2</v>
      </c>
      <c r="G185" s="409">
        <f t="shared" si="104"/>
        <v>0.2</v>
      </c>
      <c r="H185" s="409">
        <f t="shared" si="104"/>
        <v>0.2</v>
      </c>
      <c r="I185" s="409">
        <f t="shared" si="104"/>
        <v>0.2</v>
      </c>
      <c r="J185" s="409">
        <f t="shared" si="104"/>
        <v>0.2</v>
      </c>
      <c r="K185" s="409">
        <f t="shared" si="104"/>
        <v>0.2</v>
      </c>
      <c r="L185" s="409">
        <f t="shared" si="104"/>
        <v>0.2</v>
      </c>
      <c r="M185" s="409">
        <f t="shared" si="104"/>
        <v>0.2</v>
      </c>
      <c r="N185" s="409">
        <f t="shared" si="104"/>
        <v>0.2</v>
      </c>
    </row>
    <row r="186" spans="1:15" s="217" customFormat="1">
      <c r="E186" s="409"/>
      <c r="F186" s="409"/>
      <c r="G186" s="409"/>
      <c r="H186" s="409"/>
      <c r="I186" s="409"/>
      <c r="J186" s="409"/>
      <c r="K186" s="409"/>
      <c r="L186" s="409"/>
      <c r="M186" s="409"/>
      <c r="N186" s="409"/>
    </row>
    <row r="187" spans="1:15" s="217" customFormat="1">
      <c r="D187" s="217" t="s">
        <v>487</v>
      </c>
      <c r="E187" s="411">
        <f>SUM(E185:E186)</f>
        <v>0.2</v>
      </c>
      <c r="F187" s="411">
        <f t="shared" ref="F187:I187" si="105">SUM(F185:F186)</f>
        <v>0.2</v>
      </c>
      <c r="G187" s="411">
        <f t="shared" si="105"/>
        <v>0.2</v>
      </c>
      <c r="H187" s="411">
        <f t="shared" si="105"/>
        <v>0.2</v>
      </c>
      <c r="I187" s="411">
        <f t="shared" si="105"/>
        <v>0.2</v>
      </c>
      <c r="J187" s="411">
        <f t="shared" ref="J187:N187" si="106">SUM(J185:J186)</f>
        <v>0.2</v>
      </c>
      <c r="K187" s="411">
        <f t="shared" si="106"/>
        <v>0.2</v>
      </c>
      <c r="L187" s="411">
        <f t="shared" si="106"/>
        <v>0.2</v>
      </c>
      <c r="M187" s="411">
        <f t="shared" si="106"/>
        <v>0.2</v>
      </c>
      <c r="N187" s="411">
        <f t="shared" si="106"/>
        <v>0.2</v>
      </c>
      <c r="O187" s="411" t="s">
        <v>918</v>
      </c>
    </row>
    <row r="188" spans="1:15" s="217" customFormat="1">
      <c r="E188" s="409"/>
      <c r="F188" s="409"/>
      <c r="G188" s="409"/>
      <c r="H188" s="409"/>
      <c r="I188" s="409"/>
      <c r="J188" s="409"/>
      <c r="K188" s="409"/>
      <c r="L188" s="409"/>
      <c r="M188" s="409"/>
      <c r="N188" s="409"/>
    </row>
    <row r="189" spans="1:15" s="217" customFormat="1">
      <c r="C189" s="217" t="s">
        <v>900</v>
      </c>
      <c r="D189" s="217" t="s">
        <v>486</v>
      </c>
      <c r="E189" s="409">
        <f t="shared" ref="E189:N189" si="107">paramCOS</f>
        <v>0.2</v>
      </c>
      <c r="F189" s="409">
        <f t="shared" si="107"/>
        <v>0.2</v>
      </c>
      <c r="G189" s="409">
        <f t="shared" si="107"/>
        <v>0.2</v>
      </c>
      <c r="H189" s="409">
        <f t="shared" si="107"/>
        <v>0.2</v>
      </c>
      <c r="I189" s="409">
        <f t="shared" si="107"/>
        <v>0.2</v>
      </c>
      <c r="J189" s="409">
        <f t="shared" si="107"/>
        <v>0.2</v>
      </c>
      <c r="K189" s="409">
        <f t="shared" si="107"/>
        <v>0.2</v>
      </c>
      <c r="L189" s="409">
        <f t="shared" si="107"/>
        <v>0.2</v>
      </c>
      <c r="M189" s="409">
        <f t="shared" si="107"/>
        <v>0.2</v>
      </c>
      <c r="N189" s="409">
        <f t="shared" si="107"/>
        <v>0.2</v>
      </c>
    </row>
    <row r="190" spans="1:15" s="217" customFormat="1">
      <c r="E190" s="409"/>
      <c r="F190" s="409"/>
      <c r="G190" s="409"/>
      <c r="H190" s="409"/>
      <c r="I190" s="409"/>
      <c r="J190" s="409"/>
      <c r="K190" s="409"/>
      <c r="L190" s="409"/>
      <c r="M190" s="409"/>
      <c r="N190" s="409"/>
    </row>
    <row r="191" spans="1:15" s="217" customFormat="1">
      <c r="D191" s="217" t="s">
        <v>487</v>
      </c>
      <c r="E191" s="411">
        <f>SUM(E189:E190)</f>
        <v>0.2</v>
      </c>
      <c r="F191" s="411">
        <f t="shared" ref="F191" si="108">SUM(F189:F190)</f>
        <v>0.2</v>
      </c>
      <c r="G191" s="411">
        <f t="shared" ref="G191" si="109">SUM(G189:G190)</f>
        <v>0.2</v>
      </c>
      <c r="H191" s="411">
        <f t="shared" ref="H191" si="110">SUM(H189:H190)</f>
        <v>0.2</v>
      </c>
      <c r="I191" s="411">
        <f t="shared" ref="I191:N191" si="111">SUM(I189:I190)</f>
        <v>0.2</v>
      </c>
      <c r="J191" s="411">
        <f t="shared" si="111"/>
        <v>0.2</v>
      </c>
      <c r="K191" s="411">
        <f t="shared" si="111"/>
        <v>0.2</v>
      </c>
      <c r="L191" s="411">
        <f t="shared" si="111"/>
        <v>0.2</v>
      </c>
      <c r="M191" s="411">
        <f t="shared" si="111"/>
        <v>0.2</v>
      </c>
      <c r="N191" s="411">
        <f t="shared" si="111"/>
        <v>0.2</v>
      </c>
      <c r="O191" s="411" t="s">
        <v>919</v>
      </c>
    </row>
    <row r="192" spans="1:15" s="217" customFormat="1">
      <c r="E192" s="409"/>
      <c r="F192" s="409"/>
      <c r="G192" s="409"/>
      <c r="H192" s="409"/>
      <c r="I192" s="409"/>
      <c r="J192" s="409"/>
      <c r="K192" s="409"/>
      <c r="L192" s="409"/>
      <c r="M192" s="409"/>
      <c r="N192" s="409"/>
    </row>
    <row r="193" spans="1:15" s="217" customFormat="1">
      <c r="C193" s="217" t="s">
        <v>901</v>
      </c>
      <c r="D193" s="217" t="s">
        <v>486</v>
      </c>
      <c r="E193" s="409">
        <f t="shared" ref="E193:N193" si="112">paramCOS</f>
        <v>0.2</v>
      </c>
      <c r="F193" s="409">
        <f t="shared" si="112"/>
        <v>0.2</v>
      </c>
      <c r="G193" s="409">
        <f t="shared" si="112"/>
        <v>0.2</v>
      </c>
      <c r="H193" s="409">
        <f t="shared" si="112"/>
        <v>0.2</v>
      </c>
      <c r="I193" s="409">
        <f t="shared" si="112"/>
        <v>0.2</v>
      </c>
      <c r="J193" s="409">
        <f t="shared" si="112"/>
        <v>0.2</v>
      </c>
      <c r="K193" s="409">
        <f t="shared" si="112"/>
        <v>0.2</v>
      </c>
      <c r="L193" s="409">
        <f t="shared" si="112"/>
        <v>0.2</v>
      </c>
      <c r="M193" s="409">
        <f t="shared" si="112"/>
        <v>0.2</v>
      </c>
      <c r="N193" s="409">
        <f t="shared" si="112"/>
        <v>0.2</v>
      </c>
    </row>
    <row r="194" spans="1:15" s="217" customFormat="1">
      <c r="E194" s="409"/>
      <c r="F194" s="409"/>
      <c r="G194" s="409"/>
      <c r="H194" s="409"/>
      <c r="I194" s="409"/>
      <c r="J194" s="409"/>
      <c r="K194" s="409"/>
      <c r="L194" s="409"/>
      <c r="M194" s="409"/>
      <c r="N194" s="409"/>
    </row>
    <row r="195" spans="1:15" s="217" customFormat="1">
      <c r="D195" s="217" t="s">
        <v>487</v>
      </c>
      <c r="E195" s="411">
        <f>SUM(E193:E194)</f>
        <v>0.2</v>
      </c>
      <c r="F195" s="411">
        <f t="shared" ref="F195" si="113">SUM(F193:F194)</f>
        <v>0.2</v>
      </c>
      <c r="G195" s="411">
        <f t="shared" ref="G195" si="114">SUM(G193:G194)</f>
        <v>0.2</v>
      </c>
      <c r="H195" s="411">
        <f t="shared" ref="H195" si="115">SUM(H193:H194)</f>
        <v>0.2</v>
      </c>
      <c r="I195" s="411">
        <f t="shared" ref="I195:N195" si="116">SUM(I193:I194)</f>
        <v>0.2</v>
      </c>
      <c r="J195" s="411">
        <f t="shared" si="116"/>
        <v>0.2</v>
      </c>
      <c r="K195" s="411">
        <f t="shared" si="116"/>
        <v>0.2</v>
      </c>
      <c r="L195" s="411">
        <f t="shared" si="116"/>
        <v>0.2</v>
      </c>
      <c r="M195" s="411">
        <f t="shared" si="116"/>
        <v>0.2</v>
      </c>
      <c r="N195" s="411">
        <f t="shared" si="116"/>
        <v>0.2</v>
      </c>
      <c r="O195" s="411" t="s">
        <v>921</v>
      </c>
    </row>
    <row r="196" spans="1:15" s="217" customFormat="1">
      <c r="E196" s="409"/>
      <c r="F196" s="409"/>
      <c r="G196" s="409"/>
      <c r="H196" s="409"/>
      <c r="I196" s="409"/>
      <c r="J196" s="409"/>
      <c r="K196" s="409"/>
      <c r="L196" s="409"/>
      <c r="M196" s="409"/>
      <c r="N196" s="409"/>
    </row>
    <row r="197" spans="1:15" s="217" customFormat="1">
      <c r="C197" s="217" t="s">
        <v>902</v>
      </c>
      <c r="D197" s="217" t="s">
        <v>486</v>
      </c>
      <c r="E197" s="409">
        <f t="shared" ref="E197:N197" si="117">paramCOS</f>
        <v>0.2</v>
      </c>
      <c r="F197" s="409">
        <f t="shared" si="117"/>
        <v>0.2</v>
      </c>
      <c r="G197" s="409">
        <f t="shared" si="117"/>
        <v>0.2</v>
      </c>
      <c r="H197" s="409">
        <f t="shared" si="117"/>
        <v>0.2</v>
      </c>
      <c r="I197" s="409">
        <f t="shared" si="117"/>
        <v>0.2</v>
      </c>
      <c r="J197" s="409">
        <f t="shared" si="117"/>
        <v>0.2</v>
      </c>
      <c r="K197" s="409">
        <f t="shared" si="117"/>
        <v>0.2</v>
      </c>
      <c r="L197" s="409">
        <f t="shared" si="117"/>
        <v>0.2</v>
      </c>
      <c r="M197" s="409">
        <f t="shared" si="117"/>
        <v>0.2</v>
      </c>
      <c r="N197" s="409">
        <f t="shared" si="117"/>
        <v>0.2</v>
      </c>
    </row>
    <row r="198" spans="1:15" s="217" customFormat="1">
      <c r="E198" s="409"/>
      <c r="F198" s="409"/>
      <c r="G198" s="409"/>
      <c r="H198" s="409"/>
      <c r="I198" s="409"/>
      <c r="J198" s="409"/>
      <c r="K198" s="409"/>
      <c r="L198" s="409"/>
      <c r="M198" s="409"/>
      <c r="N198" s="409"/>
    </row>
    <row r="199" spans="1:15" s="217" customFormat="1">
      <c r="D199" s="217" t="s">
        <v>487</v>
      </c>
      <c r="E199" s="411">
        <f>SUM(E197:E198)</f>
        <v>0.2</v>
      </c>
      <c r="F199" s="411">
        <f t="shared" ref="F199" si="118">SUM(F197:F198)</f>
        <v>0.2</v>
      </c>
      <c r="G199" s="411">
        <f t="shared" ref="G199" si="119">SUM(G197:G198)</f>
        <v>0.2</v>
      </c>
      <c r="H199" s="411">
        <f t="shared" ref="H199" si="120">SUM(H197:H198)</f>
        <v>0.2</v>
      </c>
      <c r="I199" s="411">
        <f t="shared" ref="I199:N199" si="121">SUM(I197:I198)</f>
        <v>0.2</v>
      </c>
      <c r="J199" s="411">
        <f t="shared" si="121"/>
        <v>0.2</v>
      </c>
      <c r="K199" s="411">
        <f t="shared" si="121"/>
        <v>0.2</v>
      </c>
      <c r="L199" s="411">
        <f t="shared" si="121"/>
        <v>0.2</v>
      </c>
      <c r="M199" s="411">
        <f t="shared" si="121"/>
        <v>0.2</v>
      </c>
      <c r="N199" s="411">
        <f t="shared" si="121"/>
        <v>0.2</v>
      </c>
      <c r="O199" s="411" t="s">
        <v>920</v>
      </c>
    </row>
    <row r="200" spans="1:15" s="217" customFormat="1">
      <c r="E200" s="409"/>
      <c r="F200" s="409"/>
      <c r="G200" s="409"/>
      <c r="H200" s="409"/>
      <c r="I200" s="409"/>
      <c r="J200" s="409"/>
      <c r="K200" s="409"/>
      <c r="L200" s="409"/>
      <c r="M200" s="409"/>
      <c r="N200" s="409"/>
    </row>
    <row r="201" spans="1:15" s="444" customFormat="1">
      <c r="A201" s="471" t="s">
        <v>422</v>
      </c>
    </row>
    <row r="202" spans="1:15">
      <c r="C202" s="217" t="s">
        <v>1261</v>
      </c>
    </row>
    <row r="203" spans="1:15">
      <c r="C203" s="217" t="s">
        <v>463</v>
      </c>
    </row>
    <row r="204" spans="1:15">
      <c r="C204" s="217"/>
      <c r="D204" s="69" t="s">
        <v>486</v>
      </c>
      <c r="E204" s="454">
        <f t="shared" ref="E204:N204" si="122">obalMSPerc</f>
        <v>0.44500000000000001</v>
      </c>
      <c r="F204" s="454">
        <f t="shared" si="122"/>
        <v>0.44500000000000001</v>
      </c>
      <c r="G204" s="454">
        <f t="shared" si="122"/>
        <v>0.44500000000000001</v>
      </c>
      <c r="H204" s="454">
        <f t="shared" si="122"/>
        <v>0.44500000000000001</v>
      </c>
      <c r="I204" s="454">
        <f t="shared" si="122"/>
        <v>0.44500000000000001</v>
      </c>
      <c r="J204" s="454">
        <f t="shared" si="122"/>
        <v>0.44500000000000001</v>
      </c>
      <c r="K204" s="454">
        <f t="shared" si="122"/>
        <v>0.44500000000000001</v>
      </c>
      <c r="L204" s="454">
        <f t="shared" si="122"/>
        <v>0.44500000000000001</v>
      </c>
      <c r="M204" s="454">
        <f t="shared" si="122"/>
        <v>0.44500000000000001</v>
      </c>
      <c r="N204" s="454">
        <f t="shared" si="122"/>
        <v>0.44500000000000001</v>
      </c>
    </row>
    <row r="205" spans="1:15">
      <c r="C205" s="217"/>
      <c r="E205" s="454"/>
      <c r="F205" s="454"/>
      <c r="G205" s="454"/>
      <c r="H205" s="454"/>
      <c r="I205" s="454"/>
      <c r="J205" s="454"/>
      <c r="K205" s="454"/>
      <c r="L205" s="454"/>
      <c r="M205" s="454"/>
      <c r="N205" s="454"/>
    </row>
    <row r="206" spans="1:15">
      <c r="C206" s="217"/>
      <c r="D206" s="69" t="s">
        <v>487</v>
      </c>
      <c r="E206" s="454">
        <f>SUM(E204:E205)</f>
        <v>0.44500000000000001</v>
      </c>
      <c r="F206" s="454">
        <f t="shared" ref="F206:I206" si="123">SUM(F204:F205)</f>
        <v>0.44500000000000001</v>
      </c>
      <c r="G206" s="454">
        <f t="shared" si="123"/>
        <v>0.44500000000000001</v>
      </c>
      <c r="H206" s="454">
        <f t="shared" si="123"/>
        <v>0.44500000000000001</v>
      </c>
      <c r="I206" s="454">
        <f t="shared" si="123"/>
        <v>0.44500000000000001</v>
      </c>
      <c r="J206" s="454">
        <f t="shared" ref="J206:N206" si="124">SUM(J204:J205)</f>
        <v>0.44500000000000001</v>
      </c>
      <c r="K206" s="454">
        <f t="shared" si="124"/>
        <v>0.44500000000000001</v>
      </c>
      <c r="L206" s="454">
        <f t="shared" si="124"/>
        <v>0.44500000000000001</v>
      </c>
      <c r="M206" s="454">
        <f t="shared" si="124"/>
        <v>0.44500000000000001</v>
      </c>
      <c r="N206" s="454">
        <f t="shared" si="124"/>
        <v>0.44500000000000001</v>
      </c>
      <c r="O206" s="69" t="s">
        <v>1262</v>
      </c>
    </row>
    <row r="207" spans="1:15">
      <c r="C207" s="217" t="s">
        <v>464</v>
      </c>
      <c r="E207" s="454"/>
      <c r="F207" s="454"/>
      <c r="G207" s="454"/>
      <c r="H207" s="454"/>
      <c r="I207" s="454"/>
      <c r="J207" s="454"/>
      <c r="K207" s="454"/>
      <c r="L207" s="454"/>
      <c r="M207" s="454"/>
      <c r="N207" s="454"/>
    </row>
    <row r="208" spans="1:15">
      <c r="C208" s="217"/>
      <c r="D208" s="69" t="s">
        <v>486</v>
      </c>
      <c r="E208" s="454">
        <f t="shared" ref="E208:N208" si="125">obalRDPerc</f>
        <v>0.33300000000000002</v>
      </c>
      <c r="F208" s="454">
        <f t="shared" si="125"/>
        <v>0.33300000000000002</v>
      </c>
      <c r="G208" s="454">
        <f t="shared" si="125"/>
        <v>0.33300000000000002</v>
      </c>
      <c r="H208" s="454">
        <f t="shared" si="125"/>
        <v>0.33300000000000002</v>
      </c>
      <c r="I208" s="454">
        <f t="shared" si="125"/>
        <v>0.33300000000000002</v>
      </c>
      <c r="J208" s="454">
        <f t="shared" si="125"/>
        <v>0.33300000000000002</v>
      </c>
      <c r="K208" s="454">
        <f t="shared" si="125"/>
        <v>0.33300000000000002</v>
      </c>
      <c r="L208" s="454">
        <f t="shared" si="125"/>
        <v>0.33300000000000002</v>
      </c>
      <c r="M208" s="454">
        <f t="shared" si="125"/>
        <v>0.33300000000000002</v>
      </c>
      <c r="N208" s="454">
        <f t="shared" si="125"/>
        <v>0.33300000000000002</v>
      </c>
    </row>
    <row r="209" spans="1:15">
      <c r="C209" s="217"/>
      <c r="E209" s="454"/>
      <c r="F209" s="454"/>
      <c r="G209" s="454"/>
      <c r="H209" s="454"/>
      <c r="I209" s="454"/>
      <c r="J209" s="454"/>
      <c r="K209" s="454"/>
      <c r="L209" s="454"/>
      <c r="M209" s="454"/>
      <c r="N209" s="454"/>
    </row>
    <row r="210" spans="1:15">
      <c r="C210" s="217"/>
      <c r="D210" s="69" t="s">
        <v>487</v>
      </c>
      <c r="E210" s="454">
        <f>SUM(E208:E209)</f>
        <v>0.33300000000000002</v>
      </c>
      <c r="F210" s="454">
        <f t="shared" ref="F210" si="126">SUM(F208:F209)</f>
        <v>0.33300000000000002</v>
      </c>
      <c r="G210" s="454">
        <f t="shared" ref="G210" si="127">SUM(G208:G209)</f>
        <v>0.33300000000000002</v>
      </c>
      <c r="H210" s="454">
        <f t="shared" ref="H210" si="128">SUM(H208:H209)</f>
        <v>0.33300000000000002</v>
      </c>
      <c r="I210" s="454">
        <f t="shared" ref="I210:N210" si="129">SUM(I208:I209)</f>
        <v>0.33300000000000002</v>
      </c>
      <c r="J210" s="454">
        <f t="shared" si="129"/>
        <v>0.33300000000000002</v>
      </c>
      <c r="K210" s="454">
        <f t="shared" si="129"/>
        <v>0.33300000000000002</v>
      </c>
      <c r="L210" s="454">
        <f t="shared" si="129"/>
        <v>0.33300000000000002</v>
      </c>
      <c r="M210" s="454">
        <f t="shared" si="129"/>
        <v>0.33300000000000002</v>
      </c>
      <c r="N210" s="454">
        <f t="shared" si="129"/>
        <v>0.33300000000000002</v>
      </c>
      <c r="O210" s="69" t="s">
        <v>1263</v>
      </c>
    </row>
    <row r="211" spans="1:15">
      <c r="C211" s="217" t="s">
        <v>1265</v>
      </c>
      <c r="E211" s="454"/>
      <c r="F211" s="454"/>
      <c r="G211" s="454"/>
      <c r="H211" s="454"/>
      <c r="I211" s="454"/>
      <c r="J211" s="454"/>
      <c r="K211" s="454"/>
      <c r="L211" s="454"/>
      <c r="M211" s="454"/>
      <c r="N211" s="454"/>
    </row>
    <row r="212" spans="1:15">
      <c r="C212" s="217"/>
      <c r="D212" s="69" t="s">
        <v>486</v>
      </c>
      <c r="E212" s="454">
        <f t="shared" ref="E212:N212" si="130">obalGAPerc</f>
        <v>0.21199999999999999</v>
      </c>
      <c r="F212" s="454">
        <f t="shared" si="130"/>
        <v>0.21199999999999999</v>
      </c>
      <c r="G212" s="454">
        <f t="shared" si="130"/>
        <v>0.21199999999999999</v>
      </c>
      <c r="H212" s="454">
        <f t="shared" si="130"/>
        <v>0.21199999999999999</v>
      </c>
      <c r="I212" s="454">
        <f t="shared" si="130"/>
        <v>0.21199999999999999</v>
      </c>
      <c r="J212" s="454">
        <f t="shared" si="130"/>
        <v>0.21199999999999999</v>
      </c>
      <c r="K212" s="454">
        <f t="shared" si="130"/>
        <v>0.21199999999999999</v>
      </c>
      <c r="L212" s="454">
        <f t="shared" si="130"/>
        <v>0.21199999999999999</v>
      </c>
      <c r="M212" s="454">
        <f t="shared" si="130"/>
        <v>0.21199999999999999</v>
      </c>
      <c r="N212" s="454">
        <f t="shared" si="130"/>
        <v>0.21199999999999999</v>
      </c>
    </row>
    <row r="213" spans="1:15">
      <c r="C213" s="217"/>
      <c r="E213" s="454"/>
      <c r="F213" s="454"/>
      <c r="G213" s="454"/>
      <c r="H213" s="454"/>
      <c r="I213" s="454"/>
      <c r="J213" s="454"/>
      <c r="K213" s="454"/>
      <c r="L213" s="454"/>
      <c r="M213" s="454"/>
      <c r="N213" s="454"/>
    </row>
    <row r="214" spans="1:15">
      <c r="C214" s="217"/>
      <c r="D214" s="69" t="s">
        <v>487</v>
      </c>
      <c r="E214" s="454">
        <f>SUM(E212:E213)</f>
        <v>0.21199999999999999</v>
      </c>
      <c r="F214" s="454">
        <f t="shared" ref="F214" si="131">SUM(F212:F213)</f>
        <v>0.21199999999999999</v>
      </c>
      <c r="G214" s="454">
        <f t="shared" ref="G214" si="132">SUM(G212:G213)</f>
        <v>0.21199999999999999</v>
      </c>
      <c r="H214" s="454">
        <f t="shared" ref="H214" si="133">SUM(H212:H213)</f>
        <v>0.21199999999999999</v>
      </c>
      <c r="I214" s="454">
        <f t="shared" ref="I214:N214" si="134">SUM(I212:I213)</f>
        <v>0.21199999999999999</v>
      </c>
      <c r="J214" s="454">
        <f t="shared" si="134"/>
        <v>0.21199999999999999</v>
      </c>
      <c r="K214" s="454">
        <f t="shared" si="134"/>
        <v>0.21199999999999999</v>
      </c>
      <c r="L214" s="454">
        <f t="shared" si="134"/>
        <v>0.21199999999999999</v>
      </c>
      <c r="M214" s="454">
        <f t="shared" si="134"/>
        <v>0.21199999999999999</v>
      </c>
      <c r="N214" s="454">
        <f t="shared" si="134"/>
        <v>0.21199999999999999</v>
      </c>
      <c r="O214" s="69" t="s">
        <v>1264</v>
      </c>
    </row>
    <row r="215" spans="1:15">
      <c r="C215" s="217"/>
    </row>
    <row r="216" spans="1:15" s="217" customFormat="1">
      <c r="A216" s="217" t="s">
        <v>463</v>
      </c>
    </row>
    <row r="217" spans="1:15">
      <c r="C217" s="69" t="s">
        <v>899</v>
      </c>
      <c r="D217" s="69" t="s">
        <v>486</v>
      </c>
      <c r="E217" s="426">
        <f t="shared" ref="E217:N217" si="135">calcQ1Rev*calcEndingMSPerc</f>
        <v>13775350.342430864</v>
      </c>
      <c r="F217" s="426">
        <f t="shared" si="135"/>
        <v>13775350.342430864</v>
      </c>
      <c r="G217" s="426">
        <f t="shared" si="135"/>
        <v>13775350.342430864</v>
      </c>
      <c r="H217" s="426">
        <f t="shared" si="135"/>
        <v>13775350.342430864</v>
      </c>
      <c r="I217" s="426">
        <f t="shared" si="135"/>
        <v>13775350.342430864</v>
      </c>
      <c r="J217" s="426">
        <f t="shared" si="135"/>
        <v>13775350.342430864</v>
      </c>
      <c r="K217" s="426">
        <f t="shared" si="135"/>
        <v>13775350.342430864</v>
      </c>
      <c r="L217" s="426">
        <f t="shared" si="135"/>
        <v>13775350.342430864</v>
      </c>
      <c r="M217" s="426">
        <f t="shared" si="135"/>
        <v>13775350.342430864</v>
      </c>
      <c r="N217" s="426">
        <f t="shared" si="135"/>
        <v>13775350.342430864</v>
      </c>
    </row>
    <row r="218" spans="1:15">
      <c r="E218" s="426"/>
      <c r="F218" s="426"/>
      <c r="G218" s="426"/>
      <c r="H218" s="426"/>
      <c r="I218" s="426"/>
      <c r="J218" s="426"/>
      <c r="K218" s="426"/>
      <c r="L218" s="426"/>
      <c r="M218" s="426"/>
      <c r="N218" s="426"/>
    </row>
    <row r="219" spans="1:15">
      <c r="D219" s="69" t="s">
        <v>487</v>
      </c>
      <c r="E219" s="426">
        <f>SUM(E217:E218)</f>
        <v>13775350.342430864</v>
      </c>
      <c r="F219" s="426">
        <f t="shared" ref="F219:I219" si="136">SUM(F217:F218)</f>
        <v>13775350.342430864</v>
      </c>
      <c r="G219" s="426">
        <f t="shared" si="136"/>
        <v>13775350.342430864</v>
      </c>
      <c r="H219" s="426">
        <f t="shared" si="136"/>
        <v>13775350.342430864</v>
      </c>
      <c r="I219" s="426">
        <f t="shared" si="136"/>
        <v>13775350.342430864</v>
      </c>
      <c r="J219" s="426">
        <f t="shared" ref="J219:N219" si="137">SUM(J217:J218)</f>
        <v>13775350.342430864</v>
      </c>
      <c r="K219" s="426">
        <f t="shared" si="137"/>
        <v>13775350.342430864</v>
      </c>
      <c r="L219" s="426">
        <f t="shared" si="137"/>
        <v>13775350.342430864</v>
      </c>
      <c r="M219" s="426">
        <f t="shared" si="137"/>
        <v>13775350.342430864</v>
      </c>
      <c r="N219" s="426">
        <f t="shared" si="137"/>
        <v>13775350.342430864</v>
      </c>
      <c r="O219" s="69" t="s">
        <v>932</v>
      </c>
    </row>
    <row r="220" spans="1:15">
      <c r="E220" s="426"/>
      <c r="F220" s="426"/>
      <c r="G220" s="426"/>
      <c r="H220" s="426"/>
      <c r="I220" s="426"/>
      <c r="J220" s="426"/>
      <c r="K220" s="426"/>
      <c r="L220" s="426"/>
      <c r="M220" s="426"/>
      <c r="N220" s="426"/>
    </row>
    <row r="221" spans="1:15">
      <c r="C221" s="69" t="s">
        <v>900</v>
      </c>
      <c r="D221" s="69" t="s">
        <v>486</v>
      </c>
      <c r="E221" s="426">
        <f t="shared" ref="E221:N221" si="138">calcQ2Rev*calcEndingMSPerc</f>
        <v>15055072.79430173</v>
      </c>
      <c r="F221" s="426">
        <f t="shared" si="138"/>
        <v>15055072.79430173</v>
      </c>
      <c r="G221" s="426">
        <f t="shared" si="138"/>
        <v>15055072.79430173</v>
      </c>
      <c r="H221" s="426">
        <f t="shared" si="138"/>
        <v>15055072.79430173</v>
      </c>
      <c r="I221" s="426">
        <f t="shared" si="138"/>
        <v>15055072.79430173</v>
      </c>
      <c r="J221" s="426">
        <f t="shared" si="138"/>
        <v>15055072.79430173</v>
      </c>
      <c r="K221" s="426">
        <f t="shared" si="138"/>
        <v>15055072.79430173</v>
      </c>
      <c r="L221" s="426">
        <f t="shared" si="138"/>
        <v>15055072.79430173</v>
      </c>
      <c r="M221" s="426">
        <f t="shared" si="138"/>
        <v>15055072.79430173</v>
      </c>
      <c r="N221" s="426">
        <f t="shared" si="138"/>
        <v>15055072.79430173</v>
      </c>
    </row>
    <row r="222" spans="1:15">
      <c r="E222" s="426"/>
      <c r="F222" s="426"/>
      <c r="G222" s="426"/>
      <c r="H222" s="426"/>
      <c r="I222" s="426"/>
      <c r="J222" s="426"/>
      <c r="K222" s="426"/>
      <c r="L222" s="426"/>
      <c r="M222" s="426"/>
      <c r="N222" s="426"/>
    </row>
    <row r="223" spans="1:15">
      <c r="D223" s="69" t="s">
        <v>487</v>
      </c>
      <c r="E223" s="426">
        <f>SUM(E221:E222)</f>
        <v>15055072.79430173</v>
      </c>
      <c r="F223" s="426">
        <f t="shared" ref="F223" si="139">SUM(F221:F222)</f>
        <v>15055072.79430173</v>
      </c>
      <c r="G223" s="426">
        <f t="shared" ref="G223" si="140">SUM(G221:G222)</f>
        <v>15055072.79430173</v>
      </c>
      <c r="H223" s="426">
        <f t="shared" ref="H223" si="141">SUM(H221:H222)</f>
        <v>15055072.79430173</v>
      </c>
      <c r="I223" s="426">
        <f t="shared" ref="I223:N223" si="142">SUM(I221:I222)</f>
        <v>15055072.79430173</v>
      </c>
      <c r="J223" s="426">
        <f t="shared" si="142"/>
        <v>15055072.79430173</v>
      </c>
      <c r="K223" s="426">
        <f t="shared" si="142"/>
        <v>15055072.79430173</v>
      </c>
      <c r="L223" s="426">
        <f t="shared" si="142"/>
        <v>15055072.79430173</v>
      </c>
      <c r="M223" s="426">
        <f t="shared" si="142"/>
        <v>15055072.79430173</v>
      </c>
      <c r="N223" s="426">
        <f t="shared" si="142"/>
        <v>15055072.79430173</v>
      </c>
      <c r="O223" s="69" t="s">
        <v>935</v>
      </c>
    </row>
    <row r="224" spans="1:15">
      <c r="E224" s="426"/>
      <c r="F224" s="426"/>
      <c r="G224" s="426"/>
      <c r="H224" s="426"/>
      <c r="I224" s="426"/>
      <c r="J224" s="426"/>
      <c r="K224" s="426"/>
      <c r="L224" s="426"/>
      <c r="M224" s="426"/>
      <c r="N224" s="426"/>
    </row>
    <row r="225" spans="1:15">
      <c r="C225" s="69" t="s">
        <v>901</v>
      </c>
      <c r="D225" s="69" t="s">
        <v>486</v>
      </c>
      <c r="E225" s="426">
        <f t="shared" ref="E225:N225" si="143">calcQ3Rev*calcEndingMSPerc</f>
        <v>17032512.502998464</v>
      </c>
      <c r="F225" s="426">
        <f t="shared" si="143"/>
        <v>17032512.502998464</v>
      </c>
      <c r="G225" s="426">
        <f t="shared" si="143"/>
        <v>17032512.502998464</v>
      </c>
      <c r="H225" s="426">
        <f t="shared" si="143"/>
        <v>17032512.502998464</v>
      </c>
      <c r="I225" s="426">
        <f t="shared" si="143"/>
        <v>17032512.502998464</v>
      </c>
      <c r="J225" s="426">
        <f t="shared" si="143"/>
        <v>17032512.502998464</v>
      </c>
      <c r="K225" s="426">
        <f t="shared" si="143"/>
        <v>17032512.502998464</v>
      </c>
      <c r="L225" s="426">
        <f t="shared" si="143"/>
        <v>17032512.502998464</v>
      </c>
      <c r="M225" s="426">
        <f t="shared" si="143"/>
        <v>17032512.502998464</v>
      </c>
      <c r="N225" s="426">
        <f t="shared" si="143"/>
        <v>17032512.502998464</v>
      </c>
    </row>
    <row r="226" spans="1:15">
      <c r="E226" s="426"/>
      <c r="F226" s="426"/>
      <c r="G226" s="426"/>
      <c r="H226" s="426"/>
      <c r="I226" s="426"/>
      <c r="J226" s="426"/>
      <c r="K226" s="426"/>
      <c r="L226" s="426"/>
      <c r="M226" s="426"/>
      <c r="N226" s="426"/>
    </row>
    <row r="227" spans="1:15">
      <c r="D227" s="69" t="s">
        <v>487</v>
      </c>
      <c r="E227" s="426">
        <f>SUM(E225:E226)</f>
        <v>17032512.502998464</v>
      </c>
      <c r="F227" s="426">
        <f t="shared" ref="F227" si="144">SUM(F225:F226)</f>
        <v>17032512.502998464</v>
      </c>
      <c r="G227" s="426">
        <f t="shared" ref="G227" si="145">SUM(G225:G226)</f>
        <v>17032512.502998464</v>
      </c>
      <c r="H227" s="426">
        <f t="shared" ref="H227" si="146">SUM(H225:H226)</f>
        <v>17032512.502998464</v>
      </c>
      <c r="I227" s="426">
        <f t="shared" ref="I227:N227" si="147">SUM(I225:I226)</f>
        <v>17032512.502998464</v>
      </c>
      <c r="J227" s="426">
        <f t="shared" si="147"/>
        <v>17032512.502998464</v>
      </c>
      <c r="K227" s="426">
        <f t="shared" si="147"/>
        <v>17032512.502998464</v>
      </c>
      <c r="L227" s="426">
        <f t="shared" si="147"/>
        <v>17032512.502998464</v>
      </c>
      <c r="M227" s="426">
        <f t="shared" si="147"/>
        <v>17032512.502998464</v>
      </c>
      <c r="N227" s="426">
        <f t="shared" si="147"/>
        <v>17032512.502998464</v>
      </c>
      <c r="O227" s="69" t="s">
        <v>934</v>
      </c>
    </row>
    <row r="228" spans="1:15">
      <c r="E228" s="426"/>
      <c r="F228" s="426"/>
      <c r="G228" s="426"/>
      <c r="H228" s="426"/>
      <c r="I228" s="426"/>
      <c r="J228" s="426"/>
      <c r="K228" s="426"/>
      <c r="L228" s="426"/>
      <c r="M228" s="426"/>
      <c r="N228" s="426"/>
    </row>
    <row r="229" spans="1:15">
      <c r="C229" s="69" t="s">
        <v>902</v>
      </c>
      <c r="D229" s="69" t="s">
        <v>486</v>
      </c>
      <c r="E229" s="426">
        <f t="shared" ref="E229:N229" si="148">calcQ4Rev*calcEndingMSPerc</f>
        <v>19940077.845265858</v>
      </c>
      <c r="F229" s="426">
        <f t="shared" si="148"/>
        <v>19940077.845265858</v>
      </c>
      <c r="G229" s="426">
        <f t="shared" si="148"/>
        <v>19940077.845265858</v>
      </c>
      <c r="H229" s="426">
        <f t="shared" si="148"/>
        <v>19940077.845265858</v>
      </c>
      <c r="I229" s="426">
        <f t="shared" si="148"/>
        <v>19940077.845265858</v>
      </c>
      <c r="J229" s="426">
        <f t="shared" si="148"/>
        <v>19940077.845265858</v>
      </c>
      <c r="K229" s="426">
        <f t="shared" si="148"/>
        <v>19940077.845265858</v>
      </c>
      <c r="L229" s="426">
        <f t="shared" si="148"/>
        <v>19940077.845265858</v>
      </c>
      <c r="M229" s="426">
        <f t="shared" si="148"/>
        <v>19940077.845265858</v>
      </c>
      <c r="N229" s="426">
        <f t="shared" si="148"/>
        <v>19940077.845265858</v>
      </c>
    </row>
    <row r="230" spans="1:15">
      <c r="E230" s="426"/>
      <c r="F230" s="426"/>
      <c r="G230" s="426"/>
      <c r="H230" s="426"/>
      <c r="I230" s="426"/>
      <c r="J230" s="426"/>
      <c r="K230" s="426"/>
      <c r="L230" s="426"/>
      <c r="M230" s="426"/>
      <c r="N230" s="426"/>
    </row>
    <row r="231" spans="1:15">
      <c r="D231" s="69" t="s">
        <v>487</v>
      </c>
      <c r="E231" s="426">
        <f>SUM(E229:E230)</f>
        <v>19940077.845265858</v>
      </c>
      <c r="F231" s="426">
        <f t="shared" ref="F231" si="149">SUM(F229:F230)</f>
        <v>19940077.845265858</v>
      </c>
      <c r="G231" s="426">
        <f t="shared" ref="G231" si="150">SUM(G229:G230)</f>
        <v>19940077.845265858</v>
      </c>
      <c r="H231" s="426">
        <f t="shared" ref="H231" si="151">SUM(H229:H230)</f>
        <v>19940077.845265858</v>
      </c>
      <c r="I231" s="426">
        <f t="shared" ref="I231:N231" si="152">SUM(I229:I230)</f>
        <v>19940077.845265858</v>
      </c>
      <c r="J231" s="426">
        <f t="shared" si="152"/>
        <v>19940077.845265858</v>
      </c>
      <c r="K231" s="426">
        <f t="shared" si="152"/>
        <v>19940077.845265858</v>
      </c>
      <c r="L231" s="426">
        <f t="shared" si="152"/>
        <v>19940077.845265858</v>
      </c>
      <c r="M231" s="426">
        <f t="shared" si="152"/>
        <v>19940077.845265858</v>
      </c>
      <c r="N231" s="426">
        <f t="shared" si="152"/>
        <v>19940077.845265858</v>
      </c>
      <c r="O231" s="69" t="s">
        <v>933</v>
      </c>
    </row>
    <row r="232" spans="1:15">
      <c r="E232" s="426"/>
      <c r="F232" s="426"/>
      <c r="G232" s="426"/>
      <c r="H232" s="426"/>
      <c r="I232" s="426"/>
      <c r="J232" s="426"/>
      <c r="K232" s="426"/>
      <c r="L232" s="426"/>
      <c r="M232" s="426"/>
      <c r="N232" s="426"/>
    </row>
    <row r="233" spans="1:15" s="217" customFormat="1">
      <c r="A233" s="217" t="s">
        <v>464</v>
      </c>
      <c r="E233" s="427"/>
      <c r="F233" s="427"/>
      <c r="G233" s="427"/>
      <c r="H233" s="427"/>
      <c r="I233" s="427"/>
      <c r="J233" s="427"/>
      <c r="K233" s="427"/>
      <c r="L233" s="427"/>
      <c r="M233" s="427"/>
      <c r="N233" s="427"/>
    </row>
    <row r="234" spans="1:15">
      <c r="C234" s="69" t="s">
        <v>899</v>
      </c>
      <c r="D234" s="69" t="s">
        <v>486</v>
      </c>
      <c r="E234" s="426">
        <f t="shared" ref="E234:N234" si="153">calcQ1Rev*calcEndingRDPerc</f>
        <v>10308295.874223545</v>
      </c>
      <c r="F234" s="426">
        <f t="shared" si="153"/>
        <v>10308295.874223545</v>
      </c>
      <c r="G234" s="426">
        <f t="shared" si="153"/>
        <v>10308295.874223545</v>
      </c>
      <c r="H234" s="426">
        <f t="shared" si="153"/>
        <v>10308295.874223545</v>
      </c>
      <c r="I234" s="426">
        <f t="shared" si="153"/>
        <v>10308295.874223545</v>
      </c>
      <c r="J234" s="426">
        <f t="shared" si="153"/>
        <v>10308295.874223545</v>
      </c>
      <c r="K234" s="426">
        <f t="shared" si="153"/>
        <v>10308295.874223545</v>
      </c>
      <c r="L234" s="426">
        <f t="shared" si="153"/>
        <v>10308295.874223545</v>
      </c>
      <c r="M234" s="426">
        <f t="shared" si="153"/>
        <v>10308295.874223545</v>
      </c>
      <c r="N234" s="426">
        <f t="shared" si="153"/>
        <v>10308295.874223545</v>
      </c>
    </row>
    <row r="235" spans="1:15">
      <c r="E235" s="426"/>
      <c r="F235" s="426"/>
      <c r="G235" s="426"/>
      <c r="H235" s="426"/>
      <c r="I235" s="426"/>
      <c r="J235" s="426"/>
      <c r="K235" s="426"/>
      <c r="L235" s="426"/>
      <c r="M235" s="426"/>
      <c r="N235" s="426"/>
    </row>
    <row r="236" spans="1:15">
      <c r="D236" s="69" t="s">
        <v>487</v>
      </c>
      <c r="E236" s="426">
        <f>SUM(E234:E235)</f>
        <v>10308295.874223545</v>
      </c>
      <c r="F236" s="426">
        <f t="shared" ref="F236:I236" si="154">SUM(F234:F235)</f>
        <v>10308295.874223545</v>
      </c>
      <c r="G236" s="426">
        <f t="shared" si="154"/>
        <v>10308295.874223545</v>
      </c>
      <c r="H236" s="426">
        <f t="shared" si="154"/>
        <v>10308295.874223545</v>
      </c>
      <c r="I236" s="426">
        <f t="shared" si="154"/>
        <v>10308295.874223545</v>
      </c>
      <c r="J236" s="426">
        <f t="shared" ref="J236:N236" si="155">SUM(J234:J235)</f>
        <v>10308295.874223545</v>
      </c>
      <c r="K236" s="426">
        <f t="shared" si="155"/>
        <v>10308295.874223545</v>
      </c>
      <c r="L236" s="426">
        <f t="shared" si="155"/>
        <v>10308295.874223545</v>
      </c>
      <c r="M236" s="426">
        <f t="shared" si="155"/>
        <v>10308295.874223545</v>
      </c>
      <c r="N236" s="426">
        <f t="shared" si="155"/>
        <v>10308295.874223545</v>
      </c>
      <c r="O236" s="69" t="s">
        <v>945</v>
      </c>
    </row>
    <row r="237" spans="1:15">
      <c r="E237" s="426"/>
      <c r="F237" s="426"/>
      <c r="G237" s="426"/>
      <c r="H237" s="426"/>
      <c r="I237" s="426"/>
      <c r="J237" s="426"/>
      <c r="K237" s="426"/>
      <c r="L237" s="426"/>
      <c r="M237" s="426"/>
      <c r="N237" s="426"/>
    </row>
    <row r="238" spans="1:15">
      <c r="C238" s="69" t="s">
        <v>900</v>
      </c>
      <c r="D238" s="69" t="s">
        <v>486</v>
      </c>
      <c r="E238" s="426">
        <f t="shared" ref="E238:N238" si="156">calcQ2Rev*calcEndingRDPerc</f>
        <v>11265930.877533654</v>
      </c>
      <c r="F238" s="426">
        <f t="shared" si="156"/>
        <v>11265930.877533654</v>
      </c>
      <c r="G238" s="426">
        <f t="shared" si="156"/>
        <v>11265930.877533654</v>
      </c>
      <c r="H238" s="426">
        <f t="shared" si="156"/>
        <v>11265930.877533654</v>
      </c>
      <c r="I238" s="426">
        <f t="shared" si="156"/>
        <v>11265930.877533654</v>
      </c>
      <c r="J238" s="426">
        <f t="shared" si="156"/>
        <v>11265930.877533654</v>
      </c>
      <c r="K238" s="426">
        <f t="shared" si="156"/>
        <v>11265930.877533654</v>
      </c>
      <c r="L238" s="426">
        <f t="shared" si="156"/>
        <v>11265930.877533654</v>
      </c>
      <c r="M238" s="426">
        <f t="shared" si="156"/>
        <v>11265930.877533654</v>
      </c>
      <c r="N238" s="426">
        <f t="shared" si="156"/>
        <v>11265930.877533654</v>
      </c>
    </row>
    <row r="239" spans="1:15">
      <c r="E239" s="426"/>
      <c r="F239" s="426"/>
      <c r="G239" s="426"/>
      <c r="H239" s="426"/>
      <c r="I239" s="426"/>
      <c r="J239" s="426"/>
      <c r="K239" s="426"/>
      <c r="L239" s="426"/>
      <c r="M239" s="426"/>
      <c r="N239" s="426"/>
    </row>
    <row r="240" spans="1:15">
      <c r="D240" s="69" t="s">
        <v>487</v>
      </c>
      <c r="E240" s="426">
        <f>SUM(E238:E239)</f>
        <v>11265930.877533654</v>
      </c>
      <c r="F240" s="426">
        <f t="shared" ref="F240:I240" si="157">SUM(F238:F239)</f>
        <v>11265930.877533654</v>
      </c>
      <c r="G240" s="426">
        <f t="shared" si="157"/>
        <v>11265930.877533654</v>
      </c>
      <c r="H240" s="426">
        <f t="shared" si="157"/>
        <v>11265930.877533654</v>
      </c>
      <c r="I240" s="426">
        <f t="shared" si="157"/>
        <v>11265930.877533654</v>
      </c>
      <c r="J240" s="426">
        <f t="shared" ref="J240:N240" si="158">SUM(J238:J239)</f>
        <v>11265930.877533654</v>
      </c>
      <c r="K240" s="426">
        <f t="shared" si="158"/>
        <v>11265930.877533654</v>
      </c>
      <c r="L240" s="426">
        <f t="shared" si="158"/>
        <v>11265930.877533654</v>
      </c>
      <c r="M240" s="426">
        <f t="shared" si="158"/>
        <v>11265930.877533654</v>
      </c>
      <c r="N240" s="426">
        <f t="shared" si="158"/>
        <v>11265930.877533654</v>
      </c>
      <c r="O240" s="69" t="s">
        <v>946</v>
      </c>
    </row>
    <row r="241" spans="1:15">
      <c r="E241" s="426"/>
      <c r="F241" s="426"/>
      <c r="G241" s="426"/>
      <c r="H241" s="426"/>
      <c r="I241" s="426"/>
      <c r="J241" s="426"/>
      <c r="K241" s="426"/>
      <c r="L241" s="426"/>
      <c r="M241" s="426"/>
      <c r="N241" s="426"/>
    </row>
    <row r="242" spans="1:15">
      <c r="C242" s="69" t="s">
        <v>901</v>
      </c>
      <c r="D242" s="69" t="s">
        <v>486</v>
      </c>
      <c r="E242" s="426">
        <f t="shared" ref="E242:N242" si="159">calcQ3Rev*calcEndingRDPerc</f>
        <v>12745677.895502223</v>
      </c>
      <c r="F242" s="426">
        <f t="shared" si="159"/>
        <v>12745677.895502223</v>
      </c>
      <c r="G242" s="426">
        <f t="shared" si="159"/>
        <v>12745677.895502223</v>
      </c>
      <c r="H242" s="426">
        <f t="shared" si="159"/>
        <v>12745677.895502223</v>
      </c>
      <c r="I242" s="426">
        <f t="shared" si="159"/>
        <v>12745677.895502223</v>
      </c>
      <c r="J242" s="426">
        <f t="shared" si="159"/>
        <v>12745677.895502223</v>
      </c>
      <c r="K242" s="426">
        <f t="shared" si="159"/>
        <v>12745677.895502223</v>
      </c>
      <c r="L242" s="426">
        <f t="shared" si="159"/>
        <v>12745677.895502223</v>
      </c>
      <c r="M242" s="426">
        <f t="shared" si="159"/>
        <v>12745677.895502223</v>
      </c>
      <c r="N242" s="426">
        <f t="shared" si="159"/>
        <v>12745677.895502223</v>
      </c>
    </row>
    <row r="243" spans="1:15">
      <c r="E243" s="426"/>
      <c r="F243" s="426"/>
      <c r="G243" s="426"/>
      <c r="H243" s="426"/>
      <c r="I243" s="426"/>
      <c r="J243" s="426"/>
      <c r="K243" s="426"/>
      <c r="L243" s="426"/>
      <c r="M243" s="426"/>
      <c r="N243" s="426"/>
    </row>
    <row r="244" spans="1:15">
      <c r="D244" s="69" t="s">
        <v>487</v>
      </c>
      <c r="E244" s="426">
        <f>SUM(E242:E243)</f>
        <v>12745677.895502223</v>
      </c>
      <c r="F244" s="426">
        <f t="shared" ref="F244:I244" si="160">SUM(F242:F243)</f>
        <v>12745677.895502223</v>
      </c>
      <c r="G244" s="426">
        <f t="shared" si="160"/>
        <v>12745677.895502223</v>
      </c>
      <c r="H244" s="426">
        <f t="shared" si="160"/>
        <v>12745677.895502223</v>
      </c>
      <c r="I244" s="426">
        <f t="shared" si="160"/>
        <v>12745677.895502223</v>
      </c>
      <c r="J244" s="426">
        <f t="shared" ref="J244:N244" si="161">SUM(J242:J243)</f>
        <v>12745677.895502223</v>
      </c>
      <c r="K244" s="426">
        <f t="shared" si="161"/>
        <v>12745677.895502223</v>
      </c>
      <c r="L244" s="426">
        <f t="shared" si="161"/>
        <v>12745677.895502223</v>
      </c>
      <c r="M244" s="426">
        <f t="shared" si="161"/>
        <v>12745677.895502223</v>
      </c>
      <c r="N244" s="426">
        <f t="shared" si="161"/>
        <v>12745677.895502223</v>
      </c>
      <c r="O244" s="69" t="s">
        <v>947</v>
      </c>
    </row>
    <row r="245" spans="1:15">
      <c r="E245" s="426"/>
      <c r="F245" s="426"/>
      <c r="G245" s="426"/>
      <c r="H245" s="426"/>
      <c r="I245" s="426"/>
      <c r="J245" s="426"/>
      <c r="K245" s="426"/>
      <c r="L245" s="426"/>
      <c r="M245" s="426"/>
      <c r="N245" s="426"/>
    </row>
    <row r="246" spans="1:15">
      <c r="C246" s="69" t="s">
        <v>902</v>
      </c>
      <c r="D246" s="69" t="s">
        <v>486</v>
      </c>
      <c r="E246" s="426">
        <f t="shared" ref="E246:N246" si="162">calcQ4Rev*calcEndingRDPerc</f>
        <v>14921451.511176473</v>
      </c>
      <c r="F246" s="426">
        <f t="shared" si="162"/>
        <v>14921451.511176473</v>
      </c>
      <c r="G246" s="426">
        <f t="shared" si="162"/>
        <v>14921451.511176473</v>
      </c>
      <c r="H246" s="426">
        <f t="shared" si="162"/>
        <v>14921451.511176473</v>
      </c>
      <c r="I246" s="426">
        <f t="shared" si="162"/>
        <v>14921451.511176473</v>
      </c>
      <c r="J246" s="426">
        <f t="shared" si="162"/>
        <v>14921451.511176473</v>
      </c>
      <c r="K246" s="426">
        <f t="shared" si="162"/>
        <v>14921451.511176473</v>
      </c>
      <c r="L246" s="426">
        <f t="shared" si="162"/>
        <v>14921451.511176473</v>
      </c>
      <c r="M246" s="426">
        <f t="shared" si="162"/>
        <v>14921451.511176473</v>
      </c>
      <c r="N246" s="426">
        <f t="shared" si="162"/>
        <v>14921451.511176473</v>
      </c>
    </row>
    <row r="247" spans="1:15">
      <c r="E247" s="426"/>
      <c r="F247" s="426"/>
      <c r="G247" s="426"/>
      <c r="H247" s="426"/>
      <c r="I247" s="426"/>
      <c r="J247" s="426"/>
      <c r="K247" s="426"/>
      <c r="L247" s="426"/>
      <c r="M247" s="426"/>
      <c r="N247" s="426"/>
    </row>
    <row r="248" spans="1:15">
      <c r="D248" s="69" t="s">
        <v>487</v>
      </c>
      <c r="E248" s="426">
        <f>SUM(E246:E247)</f>
        <v>14921451.511176473</v>
      </c>
      <c r="F248" s="426">
        <f t="shared" ref="F248:I248" si="163">SUM(F246:F247)</f>
        <v>14921451.511176473</v>
      </c>
      <c r="G248" s="426">
        <f t="shared" si="163"/>
        <v>14921451.511176473</v>
      </c>
      <c r="H248" s="426">
        <f t="shared" si="163"/>
        <v>14921451.511176473</v>
      </c>
      <c r="I248" s="426">
        <f t="shared" si="163"/>
        <v>14921451.511176473</v>
      </c>
      <c r="J248" s="426">
        <f t="shared" ref="J248:N248" si="164">SUM(J246:J247)</f>
        <v>14921451.511176473</v>
      </c>
      <c r="K248" s="426">
        <f t="shared" si="164"/>
        <v>14921451.511176473</v>
      </c>
      <c r="L248" s="426">
        <f t="shared" si="164"/>
        <v>14921451.511176473</v>
      </c>
      <c r="M248" s="426">
        <f t="shared" si="164"/>
        <v>14921451.511176473</v>
      </c>
      <c r="N248" s="426">
        <f t="shared" si="164"/>
        <v>14921451.511176473</v>
      </c>
      <c r="O248" s="69" t="s">
        <v>948</v>
      </c>
    </row>
    <row r="249" spans="1:15">
      <c r="E249" s="426"/>
      <c r="F249" s="426"/>
      <c r="G249" s="426"/>
      <c r="H249" s="426"/>
      <c r="I249" s="426"/>
      <c r="J249" s="426"/>
      <c r="K249" s="426"/>
      <c r="L249" s="426"/>
      <c r="M249" s="426"/>
      <c r="N249" s="426"/>
    </row>
    <row r="250" spans="1:15" s="217" customFormat="1">
      <c r="A250" s="217" t="s">
        <v>465</v>
      </c>
      <c r="E250" s="427"/>
      <c r="F250" s="427"/>
      <c r="G250" s="427"/>
      <c r="H250" s="427"/>
      <c r="I250" s="427"/>
      <c r="J250" s="427"/>
      <c r="K250" s="427"/>
      <c r="L250" s="427"/>
      <c r="M250" s="427"/>
      <c r="N250" s="427"/>
    </row>
    <row r="251" spans="1:15">
      <c r="C251" s="69" t="s">
        <v>899</v>
      </c>
      <c r="D251" s="69" t="s">
        <v>486</v>
      </c>
      <c r="E251" s="426">
        <f t="shared" ref="E251:N251" si="165">calcQ1Rev*calcEndingGAPerc</f>
        <v>6562638.8148209956</v>
      </c>
      <c r="F251" s="426">
        <f t="shared" si="165"/>
        <v>6562638.8148209956</v>
      </c>
      <c r="G251" s="426">
        <f t="shared" si="165"/>
        <v>6562638.8148209956</v>
      </c>
      <c r="H251" s="426">
        <f t="shared" si="165"/>
        <v>6562638.8148209956</v>
      </c>
      <c r="I251" s="426">
        <f t="shared" si="165"/>
        <v>6562638.8148209956</v>
      </c>
      <c r="J251" s="426">
        <f t="shared" si="165"/>
        <v>6562638.8148209956</v>
      </c>
      <c r="K251" s="426">
        <f t="shared" si="165"/>
        <v>6562638.8148209956</v>
      </c>
      <c r="L251" s="426">
        <f t="shared" si="165"/>
        <v>6562638.8148209956</v>
      </c>
      <c r="M251" s="426">
        <f t="shared" si="165"/>
        <v>6562638.8148209956</v>
      </c>
      <c r="N251" s="426">
        <f t="shared" si="165"/>
        <v>6562638.8148209956</v>
      </c>
    </row>
    <row r="252" spans="1:15">
      <c r="E252" s="426"/>
      <c r="F252" s="426"/>
      <c r="G252" s="426"/>
      <c r="H252" s="426"/>
      <c r="I252" s="426"/>
      <c r="J252" s="426"/>
      <c r="K252" s="426"/>
      <c r="L252" s="426"/>
      <c r="M252" s="426"/>
      <c r="N252" s="426"/>
    </row>
    <row r="253" spans="1:15">
      <c r="D253" s="69" t="s">
        <v>487</v>
      </c>
      <c r="E253" s="426">
        <f>SUM(E251:E252)</f>
        <v>6562638.8148209956</v>
      </c>
      <c r="F253" s="426">
        <f t="shared" ref="F253:I253" si="166">SUM(F251:F252)</f>
        <v>6562638.8148209956</v>
      </c>
      <c r="G253" s="426">
        <f t="shared" si="166"/>
        <v>6562638.8148209956</v>
      </c>
      <c r="H253" s="426">
        <f t="shared" si="166"/>
        <v>6562638.8148209956</v>
      </c>
      <c r="I253" s="426">
        <f t="shared" si="166"/>
        <v>6562638.8148209956</v>
      </c>
      <c r="J253" s="426">
        <f t="shared" ref="J253:N253" si="167">SUM(J251:J252)</f>
        <v>6562638.8148209956</v>
      </c>
      <c r="K253" s="426">
        <f t="shared" si="167"/>
        <v>6562638.8148209956</v>
      </c>
      <c r="L253" s="426">
        <f t="shared" si="167"/>
        <v>6562638.8148209956</v>
      </c>
      <c r="M253" s="426">
        <f t="shared" si="167"/>
        <v>6562638.8148209956</v>
      </c>
      <c r="N253" s="426">
        <f t="shared" si="167"/>
        <v>6562638.8148209956</v>
      </c>
      <c r="O253" s="69" t="s">
        <v>961</v>
      </c>
    </row>
    <row r="254" spans="1:15">
      <c r="E254" s="426"/>
      <c r="F254" s="426"/>
      <c r="G254" s="426"/>
      <c r="H254" s="426"/>
      <c r="I254" s="426"/>
      <c r="J254" s="426"/>
      <c r="K254" s="426"/>
      <c r="L254" s="426"/>
      <c r="M254" s="426"/>
      <c r="N254" s="426"/>
    </row>
    <row r="255" spans="1:15">
      <c r="C255" s="69" t="s">
        <v>900</v>
      </c>
      <c r="D255" s="69" t="s">
        <v>486</v>
      </c>
      <c r="E255" s="426">
        <f t="shared" ref="E255:N255" si="168">calcQ2Rev*calcEndingGAPerc</f>
        <v>7172304.3424538579</v>
      </c>
      <c r="F255" s="426">
        <f t="shared" si="168"/>
        <v>7172304.3424538579</v>
      </c>
      <c r="G255" s="426">
        <f t="shared" si="168"/>
        <v>7172304.3424538579</v>
      </c>
      <c r="H255" s="426">
        <f t="shared" si="168"/>
        <v>7172304.3424538579</v>
      </c>
      <c r="I255" s="426">
        <f t="shared" si="168"/>
        <v>7172304.3424538579</v>
      </c>
      <c r="J255" s="426">
        <f t="shared" si="168"/>
        <v>7172304.3424538579</v>
      </c>
      <c r="K255" s="426">
        <f t="shared" si="168"/>
        <v>7172304.3424538579</v>
      </c>
      <c r="L255" s="426">
        <f t="shared" si="168"/>
        <v>7172304.3424538579</v>
      </c>
      <c r="M255" s="426">
        <f t="shared" si="168"/>
        <v>7172304.3424538579</v>
      </c>
      <c r="N255" s="426">
        <f t="shared" si="168"/>
        <v>7172304.3424538579</v>
      </c>
    </row>
    <row r="256" spans="1:15">
      <c r="E256" s="426"/>
      <c r="F256" s="426"/>
      <c r="G256" s="426"/>
      <c r="H256" s="426"/>
      <c r="I256" s="426"/>
      <c r="J256" s="426"/>
      <c r="K256" s="426"/>
      <c r="L256" s="426"/>
      <c r="M256" s="426"/>
      <c r="N256" s="426"/>
    </row>
    <row r="257" spans="1:15">
      <c r="D257" s="69" t="s">
        <v>487</v>
      </c>
      <c r="E257" s="426">
        <f>SUM(E255:E256)</f>
        <v>7172304.3424538579</v>
      </c>
      <c r="F257" s="426">
        <f t="shared" ref="F257:I257" si="169">SUM(F255:F256)</f>
        <v>7172304.3424538579</v>
      </c>
      <c r="G257" s="426">
        <f t="shared" si="169"/>
        <v>7172304.3424538579</v>
      </c>
      <c r="H257" s="426">
        <f t="shared" si="169"/>
        <v>7172304.3424538579</v>
      </c>
      <c r="I257" s="426">
        <f t="shared" si="169"/>
        <v>7172304.3424538579</v>
      </c>
      <c r="J257" s="426">
        <f t="shared" ref="J257:N257" si="170">SUM(J255:J256)</f>
        <v>7172304.3424538579</v>
      </c>
      <c r="K257" s="426">
        <f t="shared" si="170"/>
        <v>7172304.3424538579</v>
      </c>
      <c r="L257" s="426">
        <f t="shared" si="170"/>
        <v>7172304.3424538579</v>
      </c>
      <c r="M257" s="426">
        <f t="shared" si="170"/>
        <v>7172304.3424538579</v>
      </c>
      <c r="N257" s="426">
        <f t="shared" si="170"/>
        <v>7172304.3424538579</v>
      </c>
      <c r="O257" s="69" t="s">
        <v>962</v>
      </c>
    </row>
    <row r="258" spans="1:15">
      <c r="E258" s="426"/>
      <c r="F258" s="426"/>
      <c r="G258" s="426"/>
      <c r="H258" s="426"/>
      <c r="I258" s="426"/>
      <c r="J258" s="426"/>
      <c r="K258" s="426"/>
      <c r="L258" s="426"/>
      <c r="M258" s="426"/>
      <c r="N258" s="426"/>
    </row>
    <row r="259" spans="1:15">
      <c r="C259" s="69" t="s">
        <v>901</v>
      </c>
      <c r="D259" s="69" t="s">
        <v>486</v>
      </c>
      <c r="E259" s="426">
        <f t="shared" ref="E259:N259" si="171">calcQ3Rev*calcEndingGAPerc</f>
        <v>8114365.5070464592</v>
      </c>
      <c r="F259" s="426">
        <f t="shared" si="171"/>
        <v>8114365.5070464592</v>
      </c>
      <c r="G259" s="426">
        <f t="shared" si="171"/>
        <v>8114365.5070464592</v>
      </c>
      <c r="H259" s="426">
        <f t="shared" si="171"/>
        <v>8114365.5070464592</v>
      </c>
      <c r="I259" s="426">
        <f t="shared" si="171"/>
        <v>8114365.5070464592</v>
      </c>
      <c r="J259" s="426">
        <f t="shared" si="171"/>
        <v>8114365.5070464592</v>
      </c>
      <c r="K259" s="426">
        <f t="shared" si="171"/>
        <v>8114365.5070464592</v>
      </c>
      <c r="L259" s="426">
        <f t="shared" si="171"/>
        <v>8114365.5070464592</v>
      </c>
      <c r="M259" s="426">
        <f t="shared" si="171"/>
        <v>8114365.5070464592</v>
      </c>
      <c r="N259" s="426">
        <f t="shared" si="171"/>
        <v>8114365.5070464592</v>
      </c>
    </row>
    <row r="260" spans="1:15">
      <c r="E260" s="426"/>
      <c r="F260" s="426"/>
      <c r="G260" s="426"/>
      <c r="H260" s="426"/>
      <c r="I260" s="426"/>
      <c r="J260" s="426"/>
      <c r="K260" s="426"/>
      <c r="L260" s="426"/>
      <c r="M260" s="426"/>
      <c r="N260" s="426"/>
    </row>
    <row r="261" spans="1:15">
      <c r="D261" s="69" t="s">
        <v>487</v>
      </c>
      <c r="E261" s="426">
        <f>SUM(E259:E260)</f>
        <v>8114365.5070464592</v>
      </c>
      <c r="F261" s="426">
        <f t="shared" ref="F261:I261" si="172">SUM(F259:F260)</f>
        <v>8114365.5070464592</v>
      </c>
      <c r="G261" s="426">
        <f t="shared" si="172"/>
        <v>8114365.5070464592</v>
      </c>
      <c r="H261" s="426">
        <f t="shared" si="172"/>
        <v>8114365.5070464592</v>
      </c>
      <c r="I261" s="426">
        <f t="shared" si="172"/>
        <v>8114365.5070464592</v>
      </c>
      <c r="J261" s="426">
        <f t="shared" ref="J261:N261" si="173">SUM(J259:J260)</f>
        <v>8114365.5070464592</v>
      </c>
      <c r="K261" s="426">
        <f t="shared" si="173"/>
        <v>8114365.5070464592</v>
      </c>
      <c r="L261" s="426">
        <f t="shared" si="173"/>
        <v>8114365.5070464592</v>
      </c>
      <c r="M261" s="426">
        <f t="shared" si="173"/>
        <v>8114365.5070464592</v>
      </c>
      <c r="N261" s="426">
        <f t="shared" si="173"/>
        <v>8114365.5070464592</v>
      </c>
      <c r="O261" s="69" t="s">
        <v>963</v>
      </c>
    </row>
    <row r="262" spans="1:15">
      <c r="E262" s="426"/>
      <c r="F262" s="426"/>
      <c r="G262" s="426"/>
      <c r="H262" s="426"/>
      <c r="I262" s="426"/>
      <c r="J262" s="426"/>
      <c r="K262" s="426"/>
      <c r="L262" s="426"/>
      <c r="M262" s="426"/>
      <c r="N262" s="426"/>
    </row>
    <row r="263" spans="1:15">
      <c r="C263" s="69" t="s">
        <v>902</v>
      </c>
      <c r="D263" s="69" t="s">
        <v>486</v>
      </c>
      <c r="E263" s="426">
        <f t="shared" ref="E263:N263" si="174">calcQ4Rev*calcEndingGAPerc</f>
        <v>9499542.7038120478</v>
      </c>
      <c r="F263" s="426">
        <f t="shared" si="174"/>
        <v>9499542.7038120478</v>
      </c>
      <c r="G263" s="426">
        <f t="shared" si="174"/>
        <v>9499542.7038120478</v>
      </c>
      <c r="H263" s="426">
        <f t="shared" si="174"/>
        <v>9499542.7038120478</v>
      </c>
      <c r="I263" s="426">
        <f t="shared" si="174"/>
        <v>9499542.7038120478</v>
      </c>
      <c r="J263" s="426">
        <f t="shared" si="174"/>
        <v>9499542.7038120478</v>
      </c>
      <c r="K263" s="426">
        <f t="shared" si="174"/>
        <v>9499542.7038120478</v>
      </c>
      <c r="L263" s="426">
        <f t="shared" si="174"/>
        <v>9499542.7038120478</v>
      </c>
      <c r="M263" s="426">
        <f t="shared" si="174"/>
        <v>9499542.7038120478</v>
      </c>
      <c r="N263" s="426">
        <f t="shared" si="174"/>
        <v>9499542.7038120478</v>
      </c>
    </row>
    <row r="264" spans="1:15">
      <c r="E264" s="426"/>
      <c r="F264" s="426"/>
      <c r="G264" s="426"/>
      <c r="H264" s="426"/>
      <c r="I264" s="426"/>
      <c r="J264" s="426"/>
      <c r="K264" s="426"/>
      <c r="L264" s="426"/>
      <c r="M264" s="426"/>
      <c r="N264" s="426"/>
    </row>
    <row r="265" spans="1:15">
      <c r="D265" s="69" t="s">
        <v>487</v>
      </c>
      <c r="E265" s="426">
        <f>SUM(E263:E264)</f>
        <v>9499542.7038120478</v>
      </c>
      <c r="F265" s="426">
        <f t="shared" ref="F265:I265" si="175">SUM(F263:F264)</f>
        <v>9499542.7038120478</v>
      </c>
      <c r="G265" s="426">
        <f t="shared" si="175"/>
        <v>9499542.7038120478</v>
      </c>
      <c r="H265" s="426">
        <f t="shared" si="175"/>
        <v>9499542.7038120478</v>
      </c>
      <c r="I265" s="426">
        <f t="shared" si="175"/>
        <v>9499542.7038120478</v>
      </c>
      <c r="J265" s="426">
        <f t="shared" ref="J265:N265" si="176">SUM(J263:J264)</f>
        <v>9499542.7038120478</v>
      </c>
      <c r="K265" s="426">
        <f t="shared" si="176"/>
        <v>9499542.7038120478</v>
      </c>
      <c r="L265" s="426">
        <f t="shared" si="176"/>
        <v>9499542.7038120478</v>
      </c>
      <c r="M265" s="426">
        <f t="shared" si="176"/>
        <v>9499542.7038120478</v>
      </c>
      <c r="N265" s="426">
        <f t="shared" si="176"/>
        <v>9499542.7038120478</v>
      </c>
      <c r="O265" s="69" t="s">
        <v>964</v>
      </c>
    </row>
    <row r="268" spans="1:15" s="1" customFormat="1">
      <c r="A268" s="474" t="s">
        <v>466</v>
      </c>
      <c r="C268" s="102"/>
      <c r="E268" s="17"/>
      <c r="F268" s="17"/>
      <c r="G268" s="17"/>
      <c r="H268" s="17"/>
      <c r="I268" s="17"/>
      <c r="J268" s="17"/>
      <c r="K268" s="17"/>
      <c r="L268" s="17"/>
      <c r="M268" s="17"/>
      <c r="N268" s="17"/>
    </row>
    <row r="269" spans="1:15" s="528" customFormat="1">
      <c r="A269" s="527" t="s">
        <v>681</v>
      </c>
    </row>
    <row r="270" spans="1:15">
      <c r="D270" s="69" t="s">
        <v>2155</v>
      </c>
      <c r="E270" s="426">
        <f>IFERROR(INDEX(Data!$G$185:$G$191,MATCH(decPeopleHarmonizationLevel,Data!$C$185:$C$191,0),),FORECAST(decPeopleHarmonizationLevel,Data!$G$185:$G$191,Data!$C$185:$C$191))</f>
        <v>0</v>
      </c>
      <c r="F270" s="426">
        <f>IFERROR(INDEX(Data!$G$185:$G$191,MATCH(decPeopleHarmonizationLevel,Data!$C$185:$C$191,0),),FORECAST(decPeopleHarmonizationLevel,Data!$G$185:$G$191,Data!$C$185:$C$191))</f>
        <v>0</v>
      </c>
      <c r="G270" s="426">
        <f>IFERROR(INDEX(Data!$G$185:$G$191,MATCH(decPeopleHarmonizationLevel,Data!$C$185:$C$191,0),),FORECAST(decPeopleHarmonizationLevel,Data!$G$185:$G$191,Data!$C$185:$C$191))</f>
        <v>0</v>
      </c>
      <c r="H270" s="426">
        <f>IFERROR(INDEX(Data!$G$185:$G$191,MATCH(decPeopleHarmonizationLevel,Data!$C$185:$C$191,0),),FORECAST(decPeopleHarmonizationLevel,Data!$G$185:$G$191,Data!$C$185:$C$191))</f>
        <v>0</v>
      </c>
      <c r="I270" s="426">
        <f>IFERROR(INDEX(Data!$G$185:$G$191,MATCH(decPeopleHarmonizationLevel,Data!$C$185:$C$191,0),),FORECAST(decPeopleHarmonizationLevel,Data!$G$185:$G$191,Data!$C$185:$C$191))</f>
        <v>0</v>
      </c>
      <c r="J270" s="426">
        <f>IFERROR(INDEX(Data!$G$185:$G$191,MATCH(decPeopleHarmonizationLevel,Data!$C$185:$C$191,0),),FORECAST(decPeopleHarmonizationLevel,Data!$G$185:$G$191,Data!$C$185:$C$191))</f>
        <v>0</v>
      </c>
      <c r="K270" s="426">
        <f>IFERROR(INDEX(Data!$G$185:$G$191,MATCH(decPeopleHarmonizationLevel,Data!$C$185:$C$191,0),),FORECAST(decPeopleHarmonizationLevel,Data!$G$185:$G$191,Data!$C$185:$C$191))</f>
        <v>0</v>
      </c>
      <c r="L270" s="426">
        <f>IFERROR(INDEX(Data!$G$185:$G$191,MATCH(decPeopleHarmonizationLevel,Data!$C$185:$C$191,0),),FORECAST(decPeopleHarmonizationLevel,Data!$G$185:$G$191,Data!$C$185:$C$191))</f>
        <v>0</v>
      </c>
      <c r="M270" s="426">
        <f>IFERROR(INDEX(Data!$G$185:$G$191,MATCH(decPeopleHarmonizationLevel,Data!$C$185:$C$191,0),),FORECAST(decPeopleHarmonizationLevel,Data!$G$185:$G$191,Data!$C$185:$C$191))</f>
        <v>0</v>
      </c>
      <c r="N270" s="426">
        <f>IFERROR(INDEX(Data!$G$185:$G$191,MATCH(decPeopleHarmonizationLevel,Data!$C$185:$C$191,0),),FORECAST(decPeopleHarmonizationLevel,Data!$G$185:$G$191,Data!$C$185:$C$191))</f>
        <v>0</v>
      </c>
      <c r="O270" s="69" t="s">
        <v>1303</v>
      </c>
    </row>
    <row r="271" spans="1:15">
      <c r="E271" s="425"/>
      <c r="F271" s="425"/>
      <c r="G271" s="425"/>
      <c r="H271" s="425"/>
      <c r="I271" s="425"/>
      <c r="J271" s="425"/>
      <c r="K271" s="425"/>
      <c r="L271" s="425"/>
      <c r="M271" s="425"/>
      <c r="N271" s="425"/>
    </row>
    <row r="272" spans="1:15">
      <c r="D272" s="69" t="s">
        <v>1289</v>
      </c>
      <c r="E272" s="426">
        <f>IFERROR(INDEX(Data!$G$194:$G$201,MATCH(decPeopleNonKeyHarmonizationLevel,Data!$C$194:$C$201,0),),FORECAST(decPeopleNonKeyHarmonizationLevel,Data!$G$194:$G$201,Data!$C$194:$C$201))</f>
        <v>0</v>
      </c>
      <c r="F272" s="426">
        <f>IFERROR(INDEX(Data!$G$194:$G$201,MATCH(decPeopleNonKeyHarmonizationLevel,Data!$C$194:$C$201,0),),FORECAST(decPeopleNonKeyHarmonizationLevel,Data!$G$194:$G$201,Data!$C$194:$C$201))</f>
        <v>0</v>
      </c>
      <c r="G272" s="426">
        <f>IFERROR(INDEX(Data!$G$194:$G$201,MATCH(decPeopleNonKeyHarmonizationLevel,Data!$C$194:$C$201,0),),FORECAST(decPeopleNonKeyHarmonizationLevel,Data!$G$194:$G$201,Data!$C$194:$C$201))</f>
        <v>0</v>
      </c>
      <c r="H272" s="426">
        <f>IFERROR(INDEX(Data!$G$194:$G$201,MATCH(decPeopleNonKeyHarmonizationLevel,Data!$C$194:$C$201,0),),FORECAST(decPeopleNonKeyHarmonizationLevel,Data!$G$194:$G$201,Data!$C$194:$C$201))</f>
        <v>0</v>
      </c>
      <c r="I272" s="426">
        <f>IFERROR(INDEX(Data!$G$194:$G$201,MATCH(decPeopleNonKeyHarmonizationLevel,Data!$C$194:$C$201,0),),FORECAST(decPeopleNonKeyHarmonizationLevel,Data!$G$194:$G$201,Data!$C$194:$C$201))</f>
        <v>0</v>
      </c>
      <c r="J272" s="426">
        <f>IFERROR(INDEX(Data!$G$194:$G$201,MATCH(decPeopleNonKeyHarmonizationLevel,Data!$C$194:$C$201,0),),FORECAST(decPeopleNonKeyHarmonizationLevel,Data!$G$194:$G$201,Data!$C$194:$C$201))</f>
        <v>0</v>
      </c>
      <c r="K272" s="426">
        <f>IFERROR(INDEX(Data!$G$194:$G$201,MATCH(decPeopleNonKeyHarmonizationLevel,Data!$C$194:$C$201,0),),FORECAST(decPeopleNonKeyHarmonizationLevel,Data!$G$194:$G$201,Data!$C$194:$C$201))</f>
        <v>0</v>
      </c>
      <c r="L272" s="426">
        <f>IFERROR(INDEX(Data!$G$194:$G$201,MATCH(decPeopleNonKeyHarmonizationLevel,Data!$C$194:$C$201,0),),FORECAST(decPeopleNonKeyHarmonizationLevel,Data!$G$194:$G$201,Data!$C$194:$C$201))</f>
        <v>0</v>
      </c>
      <c r="M272" s="426">
        <f>IFERROR(INDEX(Data!$G$194:$G$201,MATCH(decPeopleNonKeyHarmonizationLevel,Data!$C$194:$C$201,0),),FORECAST(decPeopleNonKeyHarmonizationLevel,Data!$G$194:$G$201,Data!$C$194:$C$201))</f>
        <v>0</v>
      </c>
      <c r="N272" s="426">
        <f>IFERROR(INDEX(Data!$G$194:$G$201,MATCH(decPeopleNonKeyHarmonizationLevel,Data!$C$194:$C$201,0),),FORECAST(decPeopleNonKeyHarmonizationLevel,Data!$G$194:$G$201,Data!$C$194:$C$201))</f>
        <v>0</v>
      </c>
      <c r="O272" s="69" t="s">
        <v>1304</v>
      </c>
    </row>
    <row r="273" spans="3:20">
      <c r="D273" s="69" t="s">
        <v>1305</v>
      </c>
      <c r="E273" s="470"/>
      <c r="F273" s="470"/>
      <c r="G273" s="470"/>
      <c r="H273" s="470"/>
      <c r="I273" s="470"/>
      <c r="J273" s="470"/>
      <c r="K273" s="470"/>
      <c r="L273" s="470"/>
      <c r="M273" s="470"/>
      <c r="N273" s="470"/>
      <c r="O273" s="69" t="s">
        <v>1306</v>
      </c>
    </row>
    <row r="274" spans="3:20" s="217" customFormat="1">
      <c r="D274" s="217" t="s">
        <v>971</v>
      </c>
      <c r="E274" s="427">
        <f t="shared" ref="E274:N274" si="177">(calcKeyHarmExp+calcNonKeyHarmExp+calcHarmExpEventImpacts)*(decPeopleTimeline&lt;&gt;"Choose")</f>
        <v>0</v>
      </c>
      <c r="F274" s="427">
        <f t="shared" si="177"/>
        <v>0</v>
      </c>
      <c r="G274" s="427">
        <f t="shared" si="177"/>
        <v>0</v>
      </c>
      <c r="H274" s="427">
        <f t="shared" si="177"/>
        <v>0</v>
      </c>
      <c r="I274" s="427">
        <f t="shared" si="177"/>
        <v>0</v>
      </c>
      <c r="J274" s="427">
        <f t="shared" si="177"/>
        <v>0</v>
      </c>
      <c r="K274" s="427">
        <f t="shared" si="177"/>
        <v>0</v>
      </c>
      <c r="L274" s="427">
        <f t="shared" si="177"/>
        <v>0</v>
      </c>
      <c r="M274" s="427">
        <f t="shared" si="177"/>
        <v>0</v>
      </c>
      <c r="N274" s="427">
        <f t="shared" si="177"/>
        <v>0</v>
      </c>
      <c r="O274" s="217" t="s">
        <v>972</v>
      </c>
    </row>
    <row r="276" spans="3:20" s="217" customFormat="1">
      <c r="D276" s="217" t="s">
        <v>408</v>
      </c>
      <c r="E276" s="217">
        <f t="shared" ref="E276:N276" si="178">calcPeopleTimeline</f>
        <v>27</v>
      </c>
      <c r="F276" s="217">
        <f t="shared" si="178"/>
        <v>27</v>
      </c>
      <c r="G276" s="217">
        <f t="shared" si="178"/>
        <v>27</v>
      </c>
      <c r="H276" s="217">
        <f t="shared" si="178"/>
        <v>27</v>
      </c>
      <c r="I276" s="217">
        <f t="shared" si="178"/>
        <v>27</v>
      </c>
      <c r="J276" s="217">
        <f t="shared" si="178"/>
        <v>27</v>
      </c>
      <c r="K276" s="217">
        <f t="shared" si="178"/>
        <v>27</v>
      </c>
      <c r="L276" s="217">
        <f t="shared" si="178"/>
        <v>27</v>
      </c>
      <c r="M276" s="217">
        <f t="shared" si="178"/>
        <v>27</v>
      </c>
      <c r="N276" s="217">
        <f t="shared" si="178"/>
        <v>27</v>
      </c>
      <c r="O276" s="217" t="s">
        <v>987</v>
      </c>
    </row>
    <row r="278" spans="3:20">
      <c r="C278" s="217" t="s">
        <v>1043</v>
      </c>
    </row>
    <row r="279" spans="3:20">
      <c r="C279" s="69" t="s">
        <v>1278</v>
      </c>
      <c r="D279" s="69" t="s">
        <v>973</v>
      </c>
      <c r="E279" s="426">
        <f t="shared" ref="E279:N279" si="179">IF(E$276&lt;$S279,calcFullHarmExp/$T279,0)</f>
        <v>0</v>
      </c>
      <c r="F279" s="426">
        <f t="shared" si="179"/>
        <v>0</v>
      </c>
      <c r="G279" s="426">
        <f t="shared" si="179"/>
        <v>0</v>
      </c>
      <c r="H279" s="426">
        <f t="shared" si="179"/>
        <v>0</v>
      </c>
      <c r="I279" s="426">
        <f t="shared" si="179"/>
        <v>0</v>
      </c>
      <c r="J279" s="426">
        <f t="shared" si="179"/>
        <v>0</v>
      </c>
      <c r="K279" s="426">
        <f t="shared" si="179"/>
        <v>0</v>
      </c>
      <c r="L279" s="426">
        <f t="shared" si="179"/>
        <v>0</v>
      </c>
      <c r="M279" s="426">
        <f t="shared" si="179"/>
        <v>0</v>
      </c>
      <c r="N279" s="426">
        <f t="shared" si="179"/>
        <v>0</v>
      </c>
      <c r="O279" s="69" t="s">
        <v>969</v>
      </c>
      <c r="S279" s="69">
        <v>3.01</v>
      </c>
      <c r="T279" s="69">
        <v>4</v>
      </c>
    </row>
    <row r="280" spans="3:20">
      <c r="D280" s="69" t="s">
        <v>983</v>
      </c>
      <c r="E280" s="426">
        <f t="shared" ref="E280:N280" si="180">calcFullHarmExp-calcQ1HarmExp</f>
        <v>0</v>
      </c>
      <c r="F280" s="426">
        <f t="shared" si="180"/>
        <v>0</v>
      </c>
      <c r="G280" s="426">
        <f t="shared" si="180"/>
        <v>0</v>
      </c>
      <c r="H280" s="426">
        <f t="shared" si="180"/>
        <v>0</v>
      </c>
      <c r="I280" s="426">
        <f t="shared" si="180"/>
        <v>0</v>
      </c>
      <c r="J280" s="426">
        <f t="shared" si="180"/>
        <v>0</v>
      </c>
      <c r="K280" s="426">
        <f t="shared" si="180"/>
        <v>0</v>
      </c>
      <c r="L280" s="426">
        <f t="shared" si="180"/>
        <v>0</v>
      </c>
      <c r="M280" s="426">
        <f t="shared" si="180"/>
        <v>0</v>
      </c>
      <c r="N280" s="426">
        <f t="shared" si="180"/>
        <v>0</v>
      </c>
      <c r="O280" s="69" t="s">
        <v>984</v>
      </c>
    </row>
    <row r="281" spans="3:20" customFormat="1">
      <c r="E281" s="26"/>
      <c r="F281" s="26"/>
      <c r="G281" s="26"/>
      <c r="H281" s="26"/>
      <c r="I281" s="26"/>
      <c r="J281" s="26"/>
      <c r="K281" s="26"/>
      <c r="L281" s="26"/>
      <c r="M281" s="26"/>
      <c r="N281" s="26"/>
    </row>
    <row r="282" spans="3:20">
      <c r="C282" s="69" t="s">
        <v>1278</v>
      </c>
      <c r="D282" s="69" t="s">
        <v>985</v>
      </c>
      <c r="E282" s="426">
        <f t="shared" ref="E282:N282" si="181">IF(calcHarmExpLeftPostQ1&lt;1,0,IF(E$276&lt;$S282,calcFullHarmExp/$T282,0))</f>
        <v>0</v>
      </c>
      <c r="F282" s="426">
        <f t="shared" si="181"/>
        <v>0</v>
      </c>
      <c r="G282" s="426">
        <f t="shared" si="181"/>
        <v>0</v>
      </c>
      <c r="H282" s="426">
        <f t="shared" si="181"/>
        <v>0</v>
      </c>
      <c r="I282" s="426">
        <f t="shared" si="181"/>
        <v>0</v>
      </c>
      <c r="J282" s="426">
        <f t="shared" si="181"/>
        <v>0</v>
      </c>
      <c r="K282" s="426">
        <f t="shared" si="181"/>
        <v>0</v>
      </c>
      <c r="L282" s="426">
        <f t="shared" si="181"/>
        <v>0</v>
      </c>
      <c r="M282" s="426">
        <f t="shared" si="181"/>
        <v>0</v>
      </c>
      <c r="N282" s="426">
        <f t="shared" si="181"/>
        <v>0</v>
      </c>
      <c r="O282" s="69" t="s">
        <v>986</v>
      </c>
      <c r="S282" s="69">
        <v>6.01</v>
      </c>
      <c r="T282" s="69">
        <v>4</v>
      </c>
    </row>
    <row r="283" spans="3:20">
      <c r="D283" s="69" t="s">
        <v>988</v>
      </c>
      <c r="E283" s="426">
        <f t="shared" ref="E283:N283" si="182">calcHarmExpLeftPostQ1-calcQ2HarmExp</f>
        <v>0</v>
      </c>
      <c r="F283" s="426">
        <f t="shared" si="182"/>
        <v>0</v>
      </c>
      <c r="G283" s="426">
        <f t="shared" si="182"/>
        <v>0</v>
      </c>
      <c r="H283" s="426">
        <f t="shared" si="182"/>
        <v>0</v>
      </c>
      <c r="I283" s="426">
        <f t="shared" si="182"/>
        <v>0</v>
      </c>
      <c r="J283" s="426">
        <f t="shared" si="182"/>
        <v>0</v>
      </c>
      <c r="K283" s="426">
        <f t="shared" si="182"/>
        <v>0</v>
      </c>
      <c r="L283" s="426">
        <f t="shared" si="182"/>
        <v>0</v>
      </c>
      <c r="M283" s="426">
        <f t="shared" si="182"/>
        <v>0</v>
      </c>
      <c r="N283" s="426">
        <f t="shared" si="182"/>
        <v>0</v>
      </c>
      <c r="O283" s="69" t="s">
        <v>989</v>
      </c>
    </row>
    <row r="284" spans="3:20" customFormat="1">
      <c r="E284" s="26"/>
      <c r="F284" s="26"/>
      <c r="G284" s="26"/>
      <c r="H284" s="26"/>
      <c r="I284" s="26"/>
      <c r="J284" s="26"/>
      <c r="K284" s="26"/>
      <c r="L284" s="26"/>
      <c r="M284" s="26"/>
      <c r="N284" s="26"/>
    </row>
    <row r="285" spans="3:20">
      <c r="C285" s="69" t="s">
        <v>1278</v>
      </c>
      <c r="D285" s="69" t="s">
        <v>990</v>
      </c>
      <c r="E285" s="426">
        <f t="shared" ref="E285:N285" si="183">IF(calcHarmExpLeftPostQ2&lt;1,0,IF(E$276&lt;$S285,calcFullHarmExp/$T285,0))</f>
        <v>0</v>
      </c>
      <c r="F285" s="426">
        <f t="shared" si="183"/>
        <v>0</v>
      </c>
      <c r="G285" s="426">
        <f t="shared" si="183"/>
        <v>0</v>
      </c>
      <c r="H285" s="426">
        <f t="shared" si="183"/>
        <v>0</v>
      </c>
      <c r="I285" s="426">
        <f t="shared" si="183"/>
        <v>0</v>
      </c>
      <c r="J285" s="426">
        <f t="shared" si="183"/>
        <v>0</v>
      </c>
      <c r="K285" s="426">
        <f t="shared" si="183"/>
        <v>0</v>
      </c>
      <c r="L285" s="426">
        <f t="shared" si="183"/>
        <v>0</v>
      </c>
      <c r="M285" s="426">
        <f t="shared" si="183"/>
        <v>0</v>
      </c>
      <c r="N285" s="426">
        <f t="shared" si="183"/>
        <v>0</v>
      </c>
      <c r="O285" s="69" t="s">
        <v>991</v>
      </c>
      <c r="S285" s="69">
        <v>9.01</v>
      </c>
      <c r="T285" s="69">
        <v>4</v>
      </c>
    </row>
    <row r="286" spans="3:20">
      <c r="D286" s="69" t="s">
        <v>992</v>
      </c>
      <c r="E286" s="426">
        <f t="shared" ref="E286:N286" si="184">calcHarmExpLeftPostQ2-calcQ3HarmExp</f>
        <v>0</v>
      </c>
      <c r="F286" s="426">
        <f t="shared" si="184"/>
        <v>0</v>
      </c>
      <c r="G286" s="426">
        <f t="shared" si="184"/>
        <v>0</v>
      </c>
      <c r="H286" s="426">
        <f t="shared" si="184"/>
        <v>0</v>
      </c>
      <c r="I286" s="426">
        <f t="shared" si="184"/>
        <v>0</v>
      </c>
      <c r="J286" s="426">
        <f t="shared" si="184"/>
        <v>0</v>
      </c>
      <c r="K286" s="426">
        <f t="shared" si="184"/>
        <v>0</v>
      </c>
      <c r="L286" s="426">
        <f t="shared" si="184"/>
        <v>0</v>
      </c>
      <c r="M286" s="426">
        <f t="shared" si="184"/>
        <v>0</v>
      </c>
      <c r="N286" s="426">
        <f t="shared" si="184"/>
        <v>0</v>
      </c>
      <c r="O286" s="69" t="s">
        <v>993</v>
      </c>
    </row>
    <row r="287" spans="3:20" customFormat="1">
      <c r="E287" s="26"/>
      <c r="F287" s="26"/>
      <c r="G287" s="26"/>
      <c r="H287" s="26"/>
      <c r="I287" s="26"/>
      <c r="J287" s="26"/>
      <c r="K287" s="26"/>
      <c r="L287" s="26"/>
      <c r="M287" s="26"/>
      <c r="N287" s="26"/>
    </row>
    <row r="288" spans="3:20">
      <c r="C288" s="69" t="s">
        <v>1278</v>
      </c>
      <c r="D288" s="69" t="s">
        <v>994</v>
      </c>
      <c r="E288" s="426">
        <f t="shared" ref="E288:N288" si="185">IF(calcHarmExpLeftPostQ3&lt;1,0,IF(E$276&lt;$S288,calcFullHarmExp/$T288,0))</f>
        <v>0</v>
      </c>
      <c r="F288" s="426">
        <f t="shared" si="185"/>
        <v>0</v>
      </c>
      <c r="G288" s="426">
        <f t="shared" si="185"/>
        <v>0</v>
      </c>
      <c r="H288" s="426">
        <f t="shared" si="185"/>
        <v>0</v>
      </c>
      <c r="I288" s="426">
        <f t="shared" si="185"/>
        <v>0</v>
      </c>
      <c r="J288" s="426">
        <f t="shared" si="185"/>
        <v>0</v>
      </c>
      <c r="K288" s="426">
        <f t="shared" si="185"/>
        <v>0</v>
      </c>
      <c r="L288" s="426">
        <f t="shared" si="185"/>
        <v>0</v>
      </c>
      <c r="M288" s="426">
        <f t="shared" si="185"/>
        <v>0</v>
      </c>
      <c r="N288" s="426">
        <f t="shared" si="185"/>
        <v>0</v>
      </c>
      <c r="O288" s="69" t="s">
        <v>995</v>
      </c>
      <c r="S288" s="69">
        <v>12.01</v>
      </c>
      <c r="T288" s="69">
        <v>4</v>
      </c>
    </row>
    <row r="289" spans="1:20" s="217" customFormat="1">
      <c r="D289" s="217" t="s">
        <v>996</v>
      </c>
      <c r="E289" s="427">
        <f t="shared" ref="E289:N289" si="186">calcHarmExpLeftPostQ3-calcQ4HarmExp</f>
        <v>0</v>
      </c>
      <c r="F289" s="427">
        <f t="shared" si="186"/>
        <v>0</v>
      </c>
      <c r="G289" s="427">
        <f t="shared" si="186"/>
        <v>0</v>
      </c>
      <c r="H289" s="427">
        <f t="shared" si="186"/>
        <v>0</v>
      </c>
      <c r="I289" s="427">
        <f t="shared" si="186"/>
        <v>0</v>
      </c>
      <c r="J289" s="427">
        <f t="shared" si="186"/>
        <v>0</v>
      </c>
      <c r="K289" s="427">
        <f t="shared" si="186"/>
        <v>0</v>
      </c>
      <c r="L289" s="427">
        <f t="shared" si="186"/>
        <v>0</v>
      </c>
      <c r="M289" s="427">
        <f t="shared" si="186"/>
        <v>0</v>
      </c>
      <c r="N289" s="427">
        <f t="shared" si="186"/>
        <v>0</v>
      </c>
      <c r="O289" s="217" t="s">
        <v>997</v>
      </c>
    </row>
    <row r="290" spans="1:20" customFormat="1">
      <c r="E290" s="26"/>
      <c r="F290" s="26"/>
      <c r="G290" s="26"/>
      <c r="H290" s="26"/>
      <c r="I290" s="26"/>
      <c r="J290" s="26"/>
      <c r="K290" s="26"/>
      <c r="L290" s="26"/>
      <c r="M290" s="26"/>
      <c r="N290" s="26"/>
    </row>
    <row r="291" spans="1:20" s="476" customFormat="1">
      <c r="A291" s="475"/>
      <c r="B291" s="217" t="s">
        <v>1279</v>
      </c>
    </row>
    <row r="292" spans="1:20">
      <c r="B292" s="69" t="s">
        <v>1283</v>
      </c>
      <c r="D292" s="69" t="s">
        <v>682</v>
      </c>
      <c r="E292" s="426">
        <f t="shared" ref="E292:N292" si="187">calcHarmExpLeftPostQ4*dataKeyTalentProportion</f>
        <v>0</v>
      </c>
      <c r="F292" s="426">
        <f t="shared" si="187"/>
        <v>0</v>
      </c>
      <c r="G292" s="426">
        <f t="shared" si="187"/>
        <v>0</v>
      </c>
      <c r="H292" s="426">
        <f t="shared" si="187"/>
        <v>0</v>
      </c>
      <c r="I292" s="426">
        <f t="shared" si="187"/>
        <v>0</v>
      </c>
      <c r="J292" s="426">
        <f t="shared" si="187"/>
        <v>0</v>
      </c>
      <c r="K292" s="426">
        <f t="shared" si="187"/>
        <v>0</v>
      </c>
      <c r="L292" s="426">
        <f t="shared" si="187"/>
        <v>0</v>
      </c>
      <c r="M292" s="426">
        <f t="shared" si="187"/>
        <v>0</v>
      </c>
      <c r="N292" s="426">
        <f t="shared" si="187"/>
        <v>0</v>
      </c>
    </row>
    <row r="293" spans="1:20">
      <c r="D293" s="69" t="s">
        <v>970</v>
      </c>
      <c r="E293" s="425">
        <f t="shared" ref="E293:N293" si="188">decPeopleHarmonizationLevel</f>
        <v>0</v>
      </c>
      <c r="F293" s="425">
        <f t="shared" si="188"/>
        <v>0</v>
      </c>
      <c r="G293" s="425">
        <f t="shared" si="188"/>
        <v>0</v>
      </c>
      <c r="H293" s="425">
        <f t="shared" si="188"/>
        <v>0</v>
      </c>
      <c r="I293" s="425">
        <f t="shared" si="188"/>
        <v>0</v>
      </c>
      <c r="J293" s="425">
        <f t="shared" si="188"/>
        <v>0</v>
      </c>
      <c r="K293" s="425">
        <f t="shared" si="188"/>
        <v>0</v>
      </c>
      <c r="L293" s="425">
        <f t="shared" si="188"/>
        <v>0</v>
      </c>
      <c r="M293" s="425">
        <f t="shared" si="188"/>
        <v>0</v>
      </c>
      <c r="N293" s="425">
        <f t="shared" si="188"/>
        <v>0</v>
      </c>
    </row>
    <row r="294" spans="1:20">
      <c r="E294" s="426">
        <f>E292</f>
        <v>0</v>
      </c>
      <c r="F294" s="426">
        <f t="shared" ref="F294:I294" si="189">F292</f>
        <v>0</v>
      </c>
      <c r="G294" s="426">
        <f t="shared" si="189"/>
        <v>0</v>
      </c>
      <c r="H294" s="426">
        <f t="shared" si="189"/>
        <v>0</v>
      </c>
      <c r="I294" s="426">
        <f t="shared" si="189"/>
        <v>0</v>
      </c>
      <c r="J294" s="426">
        <f t="shared" ref="J294:N294" si="190">J292</f>
        <v>0</v>
      </c>
      <c r="K294" s="426">
        <f t="shared" si="190"/>
        <v>0</v>
      </c>
      <c r="L294" s="426">
        <f t="shared" si="190"/>
        <v>0</v>
      </c>
      <c r="M294" s="426">
        <f t="shared" si="190"/>
        <v>0</v>
      </c>
      <c r="N294" s="426">
        <f t="shared" si="190"/>
        <v>0</v>
      </c>
      <c r="O294" s="69" t="s">
        <v>1536</v>
      </c>
    </row>
    <row r="295" spans="1:20">
      <c r="E295" s="425"/>
      <c r="F295" s="425"/>
      <c r="G295" s="425"/>
      <c r="H295" s="425"/>
      <c r="I295" s="425"/>
      <c r="J295" s="425"/>
      <c r="K295" s="425"/>
      <c r="L295" s="425"/>
      <c r="M295" s="425"/>
      <c r="N295" s="425"/>
    </row>
    <row r="296" spans="1:20">
      <c r="B296" s="69" t="s">
        <v>1302</v>
      </c>
      <c r="D296" s="69" t="s">
        <v>682</v>
      </c>
      <c r="E296" s="426">
        <f t="shared" ref="E296:N296" si="191">calcHarmExpLeftPostQ4*dataNonKeyTalentProportion</f>
        <v>0</v>
      </c>
      <c r="F296" s="426">
        <f t="shared" si="191"/>
        <v>0</v>
      </c>
      <c r="G296" s="426">
        <f t="shared" si="191"/>
        <v>0</v>
      </c>
      <c r="H296" s="426">
        <f t="shared" si="191"/>
        <v>0</v>
      </c>
      <c r="I296" s="426">
        <f t="shared" si="191"/>
        <v>0</v>
      </c>
      <c r="J296" s="426">
        <f t="shared" si="191"/>
        <v>0</v>
      </c>
      <c r="K296" s="426">
        <f t="shared" si="191"/>
        <v>0</v>
      </c>
      <c r="L296" s="426">
        <f t="shared" si="191"/>
        <v>0</v>
      </c>
      <c r="M296" s="426">
        <f t="shared" si="191"/>
        <v>0</v>
      </c>
      <c r="N296" s="426">
        <f t="shared" si="191"/>
        <v>0</v>
      </c>
    </row>
    <row r="297" spans="1:20">
      <c r="D297" s="69" t="s">
        <v>970</v>
      </c>
      <c r="E297" s="425">
        <f t="shared" ref="E297:N297" si="192">decPeopleNonKeyHarmonizationLevel</f>
        <v>0</v>
      </c>
      <c r="F297" s="425">
        <f t="shared" si="192"/>
        <v>0</v>
      </c>
      <c r="G297" s="425">
        <f t="shared" si="192"/>
        <v>0</v>
      </c>
      <c r="H297" s="425">
        <f t="shared" si="192"/>
        <v>0</v>
      </c>
      <c r="I297" s="425">
        <f t="shared" si="192"/>
        <v>0</v>
      </c>
      <c r="J297" s="425">
        <f t="shared" si="192"/>
        <v>0</v>
      </c>
      <c r="K297" s="425">
        <f t="shared" si="192"/>
        <v>0</v>
      </c>
      <c r="L297" s="425">
        <f t="shared" si="192"/>
        <v>0</v>
      </c>
      <c r="M297" s="425">
        <f t="shared" si="192"/>
        <v>0</v>
      </c>
      <c r="N297" s="425">
        <f t="shared" si="192"/>
        <v>0</v>
      </c>
    </row>
    <row r="298" spans="1:20">
      <c r="E298" s="426">
        <f>E296</f>
        <v>0</v>
      </c>
      <c r="F298" s="426">
        <f t="shared" ref="F298:I298" si="193">F296</f>
        <v>0</v>
      </c>
      <c r="G298" s="426">
        <f t="shared" si="193"/>
        <v>0</v>
      </c>
      <c r="H298" s="426">
        <f t="shared" si="193"/>
        <v>0</v>
      </c>
      <c r="I298" s="426">
        <f t="shared" si="193"/>
        <v>0</v>
      </c>
      <c r="J298" s="426">
        <f t="shared" ref="J298:N298" si="194">J296</f>
        <v>0</v>
      </c>
      <c r="K298" s="426">
        <f t="shared" si="194"/>
        <v>0</v>
      </c>
      <c r="L298" s="426">
        <f t="shared" si="194"/>
        <v>0</v>
      </c>
      <c r="M298" s="426">
        <f t="shared" si="194"/>
        <v>0</v>
      </c>
      <c r="N298" s="426">
        <f t="shared" si="194"/>
        <v>0</v>
      </c>
      <c r="O298" s="69" t="s">
        <v>1534</v>
      </c>
    </row>
    <row r="299" spans="1:20">
      <c r="D299" s="69" t="s">
        <v>1305</v>
      </c>
      <c r="E299" s="470"/>
      <c r="F299" s="470"/>
      <c r="G299" s="470"/>
      <c r="H299" s="470"/>
      <c r="I299" s="470"/>
      <c r="J299" s="470"/>
      <c r="K299" s="470"/>
      <c r="L299" s="470"/>
      <c r="M299" s="470"/>
      <c r="N299" s="470"/>
      <c r="O299" s="69" t="s">
        <v>1535</v>
      </c>
    </row>
    <row r="300" spans="1:20" s="217" customFormat="1">
      <c r="D300" s="217" t="s">
        <v>971</v>
      </c>
      <c r="E300" s="427">
        <f t="shared" ref="E300:N300" si="195">calcKeyHarmExpY2+calcNonKeyHarmExpY2+calcHarmExpEventImpactsY2</f>
        <v>0</v>
      </c>
      <c r="F300" s="427">
        <f t="shared" si="195"/>
        <v>0</v>
      </c>
      <c r="G300" s="427">
        <f t="shared" si="195"/>
        <v>0</v>
      </c>
      <c r="H300" s="427">
        <f t="shared" si="195"/>
        <v>0</v>
      </c>
      <c r="I300" s="427">
        <f t="shared" si="195"/>
        <v>0</v>
      </c>
      <c r="J300" s="427">
        <f t="shared" si="195"/>
        <v>0</v>
      </c>
      <c r="K300" s="427">
        <f t="shared" si="195"/>
        <v>0</v>
      </c>
      <c r="L300" s="427">
        <f t="shared" si="195"/>
        <v>0</v>
      </c>
      <c r="M300" s="427">
        <f t="shared" si="195"/>
        <v>0</v>
      </c>
      <c r="N300" s="427">
        <f t="shared" si="195"/>
        <v>0</v>
      </c>
      <c r="O300" s="217" t="s">
        <v>1533</v>
      </c>
    </row>
    <row r="302" spans="1:20">
      <c r="C302" s="217" t="s">
        <v>1043</v>
      </c>
    </row>
    <row r="303" spans="1:20">
      <c r="D303" s="69" t="s">
        <v>1403</v>
      </c>
      <c r="E303" s="426">
        <f t="shared" ref="E303:N303" si="196">IF(calcHarmExpLeftPostQ4&lt;1,0,IF(E$276&lt;$S303,calcFullHarmExp/$T303,0))</f>
        <v>0</v>
      </c>
      <c r="F303" s="426">
        <f t="shared" si="196"/>
        <v>0</v>
      </c>
      <c r="G303" s="426">
        <f t="shared" si="196"/>
        <v>0</v>
      </c>
      <c r="H303" s="426">
        <f t="shared" si="196"/>
        <v>0</v>
      </c>
      <c r="I303" s="426">
        <f t="shared" si="196"/>
        <v>0</v>
      </c>
      <c r="J303" s="426">
        <f t="shared" si="196"/>
        <v>0</v>
      </c>
      <c r="K303" s="426">
        <f t="shared" si="196"/>
        <v>0</v>
      </c>
      <c r="L303" s="426">
        <f t="shared" si="196"/>
        <v>0</v>
      </c>
      <c r="M303" s="426">
        <f t="shared" si="196"/>
        <v>0</v>
      </c>
      <c r="N303" s="426">
        <f t="shared" si="196"/>
        <v>0</v>
      </c>
      <c r="O303" s="69" t="s">
        <v>1404</v>
      </c>
      <c r="S303" s="69">
        <v>15.01</v>
      </c>
      <c r="T303" s="69">
        <v>4</v>
      </c>
    </row>
    <row r="304" spans="1:20">
      <c r="D304" s="69" t="s">
        <v>1405</v>
      </c>
      <c r="E304" s="426">
        <f t="shared" ref="E304:N304" si="197">calcHarmExpLeftPostQ4-calcY2Q1HarmExp</f>
        <v>0</v>
      </c>
      <c r="F304" s="426">
        <f t="shared" si="197"/>
        <v>0</v>
      </c>
      <c r="G304" s="426">
        <f t="shared" si="197"/>
        <v>0</v>
      </c>
      <c r="H304" s="426">
        <f t="shared" si="197"/>
        <v>0</v>
      </c>
      <c r="I304" s="426">
        <f t="shared" si="197"/>
        <v>0</v>
      </c>
      <c r="J304" s="426">
        <f t="shared" si="197"/>
        <v>0</v>
      </c>
      <c r="K304" s="426">
        <f t="shared" si="197"/>
        <v>0</v>
      </c>
      <c r="L304" s="426">
        <f t="shared" si="197"/>
        <v>0</v>
      </c>
      <c r="M304" s="426">
        <f t="shared" si="197"/>
        <v>0</v>
      </c>
      <c r="N304" s="426">
        <f t="shared" si="197"/>
        <v>0</v>
      </c>
      <c r="O304" s="69" t="s">
        <v>1406</v>
      </c>
    </row>
    <row r="305" spans="1:20" customFormat="1">
      <c r="E305" s="26"/>
      <c r="F305" s="26"/>
      <c r="G305" s="26"/>
      <c r="H305" s="26"/>
      <c r="I305" s="26"/>
      <c r="J305" s="26"/>
      <c r="K305" s="26"/>
      <c r="L305" s="26"/>
      <c r="M305" s="26"/>
      <c r="N305" s="26"/>
    </row>
    <row r="306" spans="1:20">
      <c r="D306" s="69" t="s">
        <v>1437</v>
      </c>
      <c r="E306" s="426">
        <f t="shared" ref="E306:N306" si="198">IF(calcHarmExpLeftPostY2Q1&lt;1,0,IF(E$276&lt;$S306,calcFullHarmExp/$T306,0))</f>
        <v>0</v>
      </c>
      <c r="F306" s="426">
        <f t="shared" si="198"/>
        <v>0</v>
      </c>
      <c r="G306" s="426">
        <f t="shared" si="198"/>
        <v>0</v>
      </c>
      <c r="H306" s="426">
        <f t="shared" si="198"/>
        <v>0</v>
      </c>
      <c r="I306" s="426">
        <f t="shared" si="198"/>
        <v>0</v>
      </c>
      <c r="J306" s="426">
        <f t="shared" si="198"/>
        <v>0</v>
      </c>
      <c r="K306" s="426">
        <f t="shared" si="198"/>
        <v>0</v>
      </c>
      <c r="L306" s="426">
        <f t="shared" si="198"/>
        <v>0</v>
      </c>
      <c r="M306" s="426">
        <f t="shared" si="198"/>
        <v>0</v>
      </c>
      <c r="N306" s="426">
        <f t="shared" si="198"/>
        <v>0</v>
      </c>
      <c r="O306" s="69" t="s">
        <v>1438</v>
      </c>
      <c r="Q306" s="69">
        <f>CHOOSE(xxRound+1,S306,S306,S306,T306)</f>
        <v>18.010000000000002</v>
      </c>
      <c r="S306" s="69">
        <v>18.010000000000002</v>
      </c>
      <c r="T306" s="69">
        <v>4</v>
      </c>
    </row>
    <row r="307" spans="1:20">
      <c r="D307" s="69" t="s">
        <v>1439</v>
      </c>
      <c r="E307" s="426">
        <f t="shared" ref="E307:N307" si="199">calcHarmExpLeftPostY2Q1-calcY2Q2HarmExp</f>
        <v>0</v>
      </c>
      <c r="F307" s="426">
        <f t="shared" si="199"/>
        <v>0</v>
      </c>
      <c r="G307" s="426">
        <f t="shared" si="199"/>
        <v>0</v>
      </c>
      <c r="H307" s="426">
        <f t="shared" si="199"/>
        <v>0</v>
      </c>
      <c r="I307" s="426">
        <f t="shared" si="199"/>
        <v>0</v>
      </c>
      <c r="J307" s="426">
        <f t="shared" si="199"/>
        <v>0</v>
      </c>
      <c r="K307" s="426">
        <f t="shared" si="199"/>
        <v>0</v>
      </c>
      <c r="L307" s="426">
        <f t="shared" si="199"/>
        <v>0</v>
      </c>
      <c r="M307" s="426">
        <f t="shared" si="199"/>
        <v>0</v>
      </c>
      <c r="N307" s="426">
        <f t="shared" si="199"/>
        <v>0</v>
      </c>
      <c r="O307" s="69" t="s">
        <v>1440</v>
      </c>
    </row>
    <row r="308" spans="1:20" customFormat="1">
      <c r="E308" s="26"/>
      <c r="F308" s="26"/>
      <c r="G308" s="26"/>
      <c r="H308" s="26"/>
      <c r="I308" s="26"/>
      <c r="J308" s="26"/>
      <c r="K308" s="26"/>
      <c r="L308" s="26"/>
      <c r="M308" s="26"/>
      <c r="N308" s="26"/>
    </row>
    <row r="309" spans="1:20">
      <c r="D309" s="69" t="s">
        <v>1471</v>
      </c>
      <c r="E309" s="426">
        <f t="shared" ref="E309:N309" si="200">IF(calcHarmExpLeftPostY2Q2&lt;1,0,IF(E$276&lt;$S309,calcFullHarmExp/$T309,0))</f>
        <v>0</v>
      </c>
      <c r="F309" s="426">
        <f t="shared" si="200"/>
        <v>0</v>
      </c>
      <c r="G309" s="426">
        <f t="shared" si="200"/>
        <v>0</v>
      </c>
      <c r="H309" s="426">
        <f t="shared" si="200"/>
        <v>0</v>
      </c>
      <c r="I309" s="426">
        <f t="shared" si="200"/>
        <v>0</v>
      </c>
      <c r="J309" s="426">
        <f t="shared" si="200"/>
        <v>0</v>
      </c>
      <c r="K309" s="426">
        <f t="shared" si="200"/>
        <v>0</v>
      </c>
      <c r="L309" s="426">
        <f t="shared" si="200"/>
        <v>0</v>
      </c>
      <c r="M309" s="426">
        <f t="shared" si="200"/>
        <v>0</v>
      </c>
      <c r="N309" s="426">
        <f t="shared" si="200"/>
        <v>0</v>
      </c>
      <c r="O309" s="69" t="s">
        <v>1472</v>
      </c>
      <c r="Q309" s="69">
        <f>CHOOSE(xxRound+1,S309,S309,S309,T309)</f>
        <v>21.01</v>
      </c>
      <c r="S309" s="69">
        <v>21.01</v>
      </c>
      <c r="T309" s="69">
        <v>4</v>
      </c>
    </row>
    <row r="310" spans="1:20">
      <c r="D310" s="69" t="s">
        <v>1473</v>
      </c>
      <c r="E310" s="426">
        <f t="shared" ref="E310:N310" si="201">calcHarmExpLeftPostY2Q2-calcY2Q3HarmExp</f>
        <v>0</v>
      </c>
      <c r="F310" s="426">
        <f t="shared" si="201"/>
        <v>0</v>
      </c>
      <c r="G310" s="426">
        <f t="shared" si="201"/>
        <v>0</v>
      </c>
      <c r="H310" s="426">
        <f t="shared" si="201"/>
        <v>0</v>
      </c>
      <c r="I310" s="426">
        <f t="shared" si="201"/>
        <v>0</v>
      </c>
      <c r="J310" s="426">
        <f t="shared" si="201"/>
        <v>0</v>
      </c>
      <c r="K310" s="426">
        <f t="shared" si="201"/>
        <v>0</v>
      </c>
      <c r="L310" s="426">
        <f t="shared" si="201"/>
        <v>0</v>
      </c>
      <c r="M310" s="426">
        <f t="shared" si="201"/>
        <v>0</v>
      </c>
      <c r="N310" s="426">
        <f t="shared" si="201"/>
        <v>0</v>
      </c>
      <c r="O310" s="69" t="s">
        <v>1474</v>
      </c>
    </row>
    <row r="311" spans="1:20" customFormat="1">
      <c r="E311" s="26"/>
      <c r="F311" s="26"/>
      <c r="G311" s="26"/>
      <c r="H311" s="26"/>
      <c r="I311" s="26"/>
      <c r="J311" s="26"/>
      <c r="K311" s="26"/>
      <c r="L311" s="26"/>
      <c r="M311" s="26"/>
      <c r="N311" s="26"/>
    </row>
    <row r="312" spans="1:20">
      <c r="D312" s="69" t="s">
        <v>1505</v>
      </c>
      <c r="E312" s="426">
        <f t="shared" ref="E312:N312" si="202">IF(calcHarmExpLeftPostY2Q3&lt;1,0,IF(E$276&lt;$S312,calcFullHarmExp/$T312,0))</f>
        <v>0</v>
      </c>
      <c r="F312" s="426">
        <f t="shared" si="202"/>
        <v>0</v>
      </c>
      <c r="G312" s="426">
        <f t="shared" si="202"/>
        <v>0</v>
      </c>
      <c r="H312" s="426">
        <f t="shared" si="202"/>
        <v>0</v>
      </c>
      <c r="I312" s="426">
        <f t="shared" si="202"/>
        <v>0</v>
      </c>
      <c r="J312" s="426">
        <f t="shared" si="202"/>
        <v>0</v>
      </c>
      <c r="K312" s="426">
        <f t="shared" si="202"/>
        <v>0</v>
      </c>
      <c r="L312" s="426">
        <f t="shared" si="202"/>
        <v>0</v>
      </c>
      <c r="M312" s="426">
        <f t="shared" si="202"/>
        <v>0</v>
      </c>
      <c r="N312" s="426">
        <f t="shared" si="202"/>
        <v>0</v>
      </c>
      <c r="O312" s="69" t="s">
        <v>1506</v>
      </c>
      <c r="Q312" s="69">
        <f>CHOOSE(xxRound+1,S312,S312,S312,T312)</f>
        <v>24.01</v>
      </c>
      <c r="S312" s="69">
        <v>24.01</v>
      </c>
      <c r="T312" s="69">
        <v>4</v>
      </c>
    </row>
    <row r="313" spans="1:20">
      <c r="D313" s="69" t="s">
        <v>1507</v>
      </c>
      <c r="E313" s="426">
        <f t="shared" ref="E313:N313" si="203">calcHarmExpLeftPostY2Q3-calcY2Q4HarmExp</f>
        <v>0</v>
      </c>
      <c r="F313" s="426">
        <f t="shared" si="203"/>
        <v>0</v>
      </c>
      <c r="G313" s="426">
        <f t="shared" si="203"/>
        <v>0</v>
      </c>
      <c r="H313" s="426">
        <f t="shared" si="203"/>
        <v>0</v>
      </c>
      <c r="I313" s="426">
        <f t="shared" si="203"/>
        <v>0</v>
      </c>
      <c r="J313" s="426">
        <f t="shared" si="203"/>
        <v>0</v>
      </c>
      <c r="K313" s="426">
        <f t="shared" si="203"/>
        <v>0</v>
      </c>
      <c r="L313" s="426">
        <f t="shared" si="203"/>
        <v>0</v>
      </c>
      <c r="M313" s="426">
        <f t="shared" si="203"/>
        <v>0</v>
      </c>
      <c r="N313" s="426">
        <f t="shared" si="203"/>
        <v>0</v>
      </c>
      <c r="O313" s="69" t="s">
        <v>1508</v>
      </c>
    </row>
    <row r="314" spans="1:20" s="531" customFormat="1">
      <c r="A314" s="531" t="s">
        <v>468</v>
      </c>
      <c r="E314" s="532"/>
      <c r="F314" s="532"/>
      <c r="G314" s="532"/>
      <c r="H314" s="532"/>
      <c r="I314" s="532"/>
      <c r="J314" s="532"/>
      <c r="K314" s="532"/>
      <c r="L314" s="532"/>
      <c r="M314" s="532"/>
      <c r="N314" s="532"/>
    </row>
    <row r="315" spans="1:20" customFormat="1">
      <c r="D315" t="s">
        <v>1039</v>
      </c>
      <c r="E315" s="26">
        <f t="shared" ref="E315:N315" si="204">obalITCostLeft</f>
        <v>0</v>
      </c>
      <c r="F315" s="26">
        <f t="shared" si="204"/>
        <v>0</v>
      </c>
      <c r="G315" s="26">
        <f t="shared" si="204"/>
        <v>0</v>
      </c>
      <c r="H315" s="26">
        <f t="shared" si="204"/>
        <v>0</v>
      </c>
      <c r="I315" s="26">
        <f t="shared" si="204"/>
        <v>0</v>
      </c>
      <c r="J315" s="26">
        <f t="shared" si="204"/>
        <v>0</v>
      </c>
      <c r="K315" s="26">
        <f t="shared" si="204"/>
        <v>0</v>
      </c>
      <c r="L315" s="26">
        <f t="shared" si="204"/>
        <v>0</v>
      </c>
      <c r="M315" s="26">
        <f t="shared" si="204"/>
        <v>0</v>
      </c>
      <c r="N315" s="26">
        <f t="shared" si="204"/>
        <v>0</v>
      </c>
    </row>
    <row r="316" spans="1:20" customFormat="1">
      <c r="E316" s="26"/>
      <c r="F316" s="26"/>
      <c r="G316" s="26"/>
      <c r="H316" s="26"/>
      <c r="I316" s="26"/>
      <c r="J316" s="26"/>
      <c r="K316" s="26"/>
      <c r="L316" s="26"/>
      <c r="M316" s="26"/>
      <c r="N316" s="26"/>
    </row>
    <row r="317" spans="1:20" customFormat="1">
      <c r="D317" t="s">
        <v>1012</v>
      </c>
      <c r="E317" s="486">
        <f t="shared" ref="E317:N317" si="205">INDEX(CHOOSE(xxRound+1,dataITIntegrationCostR1,dataITIntegrationCostR1,dataITIntegrationCostR2,dataITIntegrationCostR3),decITIntegrationLevel+1,)</f>
        <v>0</v>
      </c>
      <c r="F317" s="486">
        <f t="shared" si="205"/>
        <v>0</v>
      </c>
      <c r="G317" s="486">
        <f t="shared" si="205"/>
        <v>0</v>
      </c>
      <c r="H317" s="486">
        <f t="shared" si="205"/>
        <v>0</v>
      </c>
      <c r="I317" s="486">
        <f t="shared" si="205"/>
        <v>0</v>
      </c>
      <c r="J317" s="486">
        <f t="shared" si="205"/>
        <v>0</v>
      </c>
      <c r="K317" s="486">
        <f t="shared" si="205"/>
        <v>0</v>
      </c>
      <c r="L317" s="486">
        <f t="shared" si="205"/>
        <v>0</v>
      </c>
      <c r="M317" s="486">
        <f t="shared" si="205"/>
        <v>0</v>
      </c>
      <c r="N317" s="486">
        <f t="shared" si="205"/>
        <v>0</v>
      </c>
    </row>
    <row r="318" spans="1:20" customFormat="1">
      <c r="E318" s="26"/>
      <c r="F318" s="26"/>
      <c r="G318" s="26"/>
      <c r="H318" s="26"/>
      <c r="I318" s="26"/>
      <c r="J318" s="26"/>
      <c r="K318" s="26"/>
      <c r="L318" s="26"/>
      <c r="M318" s="26"/>
      <c r="N318" s="26"/>
    </row>
    <row r="319" spans="1:20" customFormat="1">
      <c r="D319" t="s">
        <v>1040</v>
      </c>
      <c r="E319" s="434">
        <f>SUM(E317:E318)</f>
        <v>0</v>
      </c>
      <c r="F319" s="434">
        <f t="shared" ref="F319:H319" si="206">SUM(F317:F318)</f>
        <v>0</v>
      </c>
      <c r="G319" s="434">
        <f t="shared" si="206"/>
        <v>0</v>
      </c>
      <c r="H319" s="434">
        <f t="shared" si="206"/>
        <v>0</v>
      </c>
      <c r="I319" s="434">
        <f>SUM(I317:I318)</f>
        <v>0</v>
      </c>
      <c r="J319" s="434">
        <f t="shared" ref="J319:N319" si="207">SUM(J317:J318)</f>
        <v>0</v>
      </c>
      <c r="K319" s="434">
        <f t="shared" si="207"/>
        <v>0</v>
      </c>
      <c r="L319" s="434">
        <f t="shared" si="207"/>
        <v>0</v>
      </c>
      <c r="M319" s="434">
        <f t="shared" si="207"/>
        <v>0</v>
      </c>
      <c r="N319" s="434">
        <f t="shared" si="207"/>
        <v>0</v>
      </c>
      <c r="O319" t="s">
        <v>1041</v>
      </c>
    </row>
    <row r="320" spans="1:20" customFormat="1">
      <c r="E320" s="26"/>
      <c r="F320" s="26"/>
      <c r="G320" s="26"/>
      <c r="H320" s="26"/>
      <c r="I320" s="26"/>
      <c r="J320" s="26"/>
      <c r="K320" s="26"/>
      <c r="L320" s="26"/>
      <c r="M320" s="26"/>
      <c r="N320" s="26"/>
    </row>
    <row r="321" spans="3:20">
      <c r="D321" s="69" t="s">
        <v>1009</v>
      </c>
      <c r="E321" s="10">
        <f t="shared" ref="E321:N321" si="208">calcITTimeline</f>
        <v>27</v>
      </c>
      <c r="F321" s="10">
        <f t="shared" si="208"/>
        <v>27</v>
      </c>
      <c r="G321" s="10">
        <f t="shared" si="208"/>
        <v>27</v>
      </c>
      <c r="H321" s="10">
        <f t="shared" si="208"/>
        <v>27</v>
      </c>
      <c r="I321" s="10">
        <f t="shared" si="208"/>
        <v>27</v>
      </c>
      <c r="J321" s="10">
        <f t="shared" si="208"/>
        <v>27</v>
      </c>
      <c r="K321" s="10">
        <f t="shared" si="208"/>
        <v>27</v>
      </c>
      <c r="L321" s="10">
        <f t="shared" si="208"/>
        <v>27</v>
      </c>
      <c r="M321" s="10">
        <f t="shared" si="208"/>
        <v>27</v>
      </c>
      <c r="N321" s="10">
        <f t="shared" si="208"/>
        <v>27</v>
      </c>
      <c r="O321" s="69" t="s">
        <v>1042</v>
      </c>
    </row>
    <row r="323" spans="3:20">
      <c r="C323" s="217" t="s">
        <v>1043</v>
      </c>
    </row>
    <row r="324" spans="3:20">
      <c r="D324" s="69" t="s">
        <v>1018</v>
      </c>
      <c r="E324" s="426">
        <f t="shared" ref="E324:N324" si="209">calcFullITExp*(1/calcITTimeline)*$S324</f>
        <v>0</v>
      </c>
      <c r="F324" s="426">
        <f t="shared" si="209"/>
        <v>0</v>
      </c>
      <c r="G324" s="426">
        <f t="shared" si="209"/>
        <v>0</v>
      </c>
      <c r="H324" s="426">
        <f t="shared" si="209"/>
        <v>0</v>
      </c>
      <c r="I324" s="426">
        <f t="shared" si="209"/>
        <v>0</v>
      </c>
      <c r="J324" s="426">
        <f t="shared" si="209"/>
        <v>0</v>
      </c>
      <c r="K324" s="426">
        <f t="shared" si="209"/>
        <v>0</v>
      </c>
      <c r="L324" s="426">
        <f t="shared" si="209"/>
        <v>0</v>
      </c>
      <c r="M324" s="426">
        <f t="shared" si="209"/>
        <v>0</v>
      </c>
      <c r="N324" s="426">
        <f t="shared" si="209"/>
        <v>0</v>
      </c>
      <c r="O324" s="69" t="s">
        <v>1044</v>
      </c>
      <c r="Q324" s="69">
        <f>CHOOSE(xxRound+1,S324,S324,S324,T324)</f>
        <v>3</v>
      </c>
      <c r="S324" s="69">
        <v>3</v>
      </c>
      <c r="T324" s="69">
        <v>3</v>
      </c>
    </row>
    <row r="325" spans="3:20">
      <c r="D325" s="69" t="s">
        <v>1052</v>
      </c>
      <c r="E325" s="426">
        <f t="shared" ref="E325:N325" si="210">calcFullITExp-calcQ1ITExp</f>
        <v>0</v>
      </c>
      <c r="F325" s="426">
        <f t="shared" si="210"/>
        <v>0</v>
      </c>
      <c r="G325" s="426">
        <f t="shared" si="210"/>
        <v>0</v>
      </c>
      <c r="H325" s="426">
        <f t="shared" si="210"/>
        <v>0</v>
      </c>
      <c r="I325" s="426">
        <f t="shared" si="210"/>
        <v>0</v>
      </c>
      <c r="J325" s="426">
        <f t="shared" si="210"/>
        <v>0</v>
      </c>
      <c r="K325" s="426">
        <f t="shared" si="210"/>
        <v>0</v>
      </c>
      <c r="L325" s="426">
        <f t="shared" si="210"/>
        <v>0</v>
      </c>
      <c r="M325" s="426">
        <f t="shared" si="210"/>
        <v>0</v>
      </c>
      <c r="N325" s="426">
        <f t="shared" si="210"/>
        <v>0</v>
      </c>
      <c r="O325" s="69" t="s">
        <v>1045</v>
      </c>
    </row>
    <row r="326" spans="3:20" customFormat="1">
      <c r="E326" s="26"/>
      <c r="F326" s="26"/>
      <c r="G326" s="26"/>
      <c r="H326" s="26"/>
      <c r="I326" s="26"/>
      <c r="J326" s="26"/>
      <c r="K326" s="26"/>
      <c r="L326" s="26"/>
      <c r="M326" s="26"/>
      <c r="N326" s="26"/>
    </row>
    <row r="327" spans="3:20">
      <c r="D327" s="69" t="s">
        <v>1019</v>
      </c>
      <c r="E327" s="426">
        <f t="shared" ref="E327:N327" si="211">IF(calcITExpLeftPostQ1&lt;1,0,calcFullITExp*(1/calcITTimeline)*$S327)</f>
        <v>0</v>
      </c>
      <c r="F327" s="426">
        <f t="shared" si="211"/>
        <v>0</v>
      </c>
      <c r="G327" s="426">
        <f t="shared" si="211"/>
        <v>0</v>
      </c>
      <c r="H327" s="426">
        <f t="shared" si="211"/>
        <v>0</v>
      </c>
      <c r="I327" s="426">
        <f t="shared" si="211"/>
        <v>0</v>
      </c>
      <c r="J327" s="426">
        <f t="shared" si="211"/>
        <v>0</v>
      </c>
      <c r="K327" s="426">
        <f t="shared" si="211"/>
        <v>0</v>
      </c>
      <c r="L327" s="426">
        <f t="shared" si="211"/>
        <v>0</v>
      </c>
      <c r="M327" s="426">
        <f t="shared" si="211"/>
        <v>0</v>
      </c>
      <c r="N327" s="426">
        <f t="shared" si="211"/>
        <v>0</v>
      </c>
      <c r="O327" s="69" t="s">
        <v>1046</v>
      </c>
      <c r="Q327" s="69">
        <f>CHOOSE(xxRound+1,S327,S327,S327,T327)</f>
        <v>3</v>
      </c>
      <c r="S327" s="69">
        <v>3</v>
      </c>
      <c r="T327" s="69">
        <v>3</v>
      </c>
    </row>
    <row r="328" spans="3:20">
      <c r="D328" s="69" t="s">
        <v>1053</v>
      </c>
      <c r="E328" s="426">
        <f t="shared" ref="E328:N328" si="212">calcITExpLeftPostQ1-calcQ2ITExp</f>
        <v>0</v>
      </c>
      <c r="F328" s="426">
        <f t="shared" si="212"/>
        <v>0</v>
      </c>
      <c r="G328" s="426">
        <f t="shared" si="212"/>
        <v>0</v>
      </c>
      <c r="H328" s="426">
        <f t="shared" si="212"/>
        <v>0</v>
      </c>
      <c r="I328" s="426">
        <f t="shared" si="212"/>
        <v>0</v>
      </c>
      <c r="J328" s="426">
        <f t="shared" si="212"/>
        <v>0</v>
      </c>
      <c r="K328" s="426">
        <f t="shared" si="212"/>
        <v>0</v>
      </c>
      <c r="L328" s="426">
        <f t="shared" si="212"/>
        <v>0</v>
      </c>
      <c r="M328" s="426">
        <f t="shared" si="212"/>
        <v>0</v>
      </c>
      <c r="N328" s="426">
        <f t="shared" si="212"/>
        <v>0</v>
      </c>
      <c r="O328" s="69" t="s">
        <v>1047</v>
      </c>
    </row>
    <row r="329" spans="3:20" customFormat="1">
      <c r="E329" s="26"/>
      <c r="F329" s="26"/>
      <c r="G329" s="26"/>
      <c r="H329" s="26"/>
      <c r="I329" s="26"/>
      <c r="J329" s="26"/>
      <c r="K329" s="26"/>
      <c r="L329" s="26"/>
      <c r="M329" s="26"/>
      <c r="N329" s="26"/>
    </row>
    <row r="330" spans="3:20">
      <c r="D330" s="69" t="s">
        <v>1020</v>
      </c>
      <c r="E330" s="426">
        <f t="shared" ref="E330:N330" si="213">IF(calcITExpLeftPostQ2&lt;1,0,calcFullITExp*(1/calcITTimeline)*$S330)</f>
        <v>0</v>
      </c>
      <c r="F330" s="426">
        <f t="shared" si="213"/>
        <v>0</v>
      </c>
      <c r="G330" s="426">
        <f t="shared" si="213"/>
        <v>0</v>
      </c>
      <c r="H330" s="426">
        <f t="shared" si="213"/>
        <v>0</v>
      </c>
      <c r="I330" s="426">
        <f t="shared" si="213"/>
        <v>0</v>
      </c>
      <c r="J330" s="426">
        <f t="shared" si="213"/>
        <v>0</v>
      </c>
      <c r="K330" s="426">
        <f t="shared" si="213"/>
        <v>0</v>
      </c>
      <c r="L330" s="426">
        <f t="shared" si="213"/>
        <v>0</v>
      </c>
      <c r="M330" s="426">
        <f t="shared" si="213"/>
        <v>0</v>
      </c>
      <c r="N330" s="426">
        <f t="shared" si="213"/>
        <v>0</v>
      </c>
      <c r="O330" s="69" t="s">
        <v>1048</v>
      </c>
      <c r="Q330" s="69">
        <f>CHOOSE(xxRound+1,S330,S330,S330,T330)</f>
        <v>3</v>
      </c>
      <c r="S330" s="69">
        <v>3</v>
      </c>
      <c r="T330" s="69">
        <v>3</v>
      </c>
    </row>
    <row r="331" spans="3:20">
      <c r="D331" s="69" t="s">
        <v>1054</v>
      </c>
      <c r="E331" s="426">
        <f t="shared" ref="E331:N331" si="214">calcITExpLeftPostQ2-calcQ3ITExp</f>
        <v>0</v>
      </c>
      <c r="F331" s="426">
        <f t="shared" si="214"/>
        <v>0</v>
      </c>
      <c r="G331" s="426">
        <f t="shared" si="214"/>
        <v>0</v>
      </c>
      <c r="H331" s="426">
        <f t="shared" si="214"/>
        <v>0</v>
      </c>
      <c r="I331" s="426">
        <f t="shared" si="214"/>
        <v>0</v>
      </c>
      <c r="J331" s="426">
        <f t="shared" si="214"/>
        <v>0</v>
      </c>
      <c r="K331" s="426">
        <f t="shared" si="214"/>
        <v>0</v>
      </c>
      <c r="L331" s="426">
        <f t="shared" si="214"/>
        <v>0</v>
      </c>
      <c r="M331" s="426">
        <f t="shared" si="214"/>
        <v>0</v>
      </c>
      <c r="N331" s="426">
        <f t="shared" si="214"/>
        <v>0</v>
      </c>
      <c r="O331" s="69" t="s">
        <v>1049</v>
      </c>
    </row>
    <row r="332" spans="3:20" customFormat="1">
      <c r="E332" s="26"/>
      <c r="F332" s="26"/>
      <c r="G332" s="26"/>
      <c r="H332" s="26"/>
      <c r="I332" s="26"/>
      <c r="J332" s="26"/>
      <c r="K332" s="26"/>
      <c r="L332" s="26"/>
      <c r="M332" s="26"/>
      <c r="N332" s="26"/>
    </row>
    <row r="333" spans="3:20">
      <c r="D333" s="69" t="s">
        <v>1021</v>
      </c>
      <c r="E333" s="426">
        <f t="shared" ref="E333:N333" si="215">IF(calcITExpLeftPostQ3&lt;1,0,calcFullITExp*(1/calcITTimeline)*$S333)</f>
        <v>0</v>
      </c>
      <c r="F333" s="426">
        <f t="shared" si="215"/>
        <v>0</v>
      </c>
      <c r="G333" s="426">
        <f t="shared" si="215"/>
        <v>0</v>
      </c>
      <c r="H333" s="426">
        <f t="shared" si="215"/>
        <v>0</v>
      </c>
      <c r="I333" s="426">
        <f t="shared" si="215"/>
        <v>0</v>
      </c>
      <c r="J333" s="426">
        <f t="shared" si="215"/>
        <v>0</v>
      </c>
      <c r="K333" s="426">
        <f t="shared" si="215"/>
        <v>0</v>
      </c>
      <c r="L333" s="426">
        <f t="shared" si="215"/>
        <v>0</v>
      </c>
      <c r="M333" s="426">
        <f t="shared" si="215"/>
        <v>0</v>
      </c>
      <c r="N333" s="426">
        <f t="shared" si="215"/>
        <v>0</v>
      </c>
      <c r="O333" s="69" t="s">
        <v>1050</v>
      </c>
      <c r="Q333" s="69">
        <f>CHOOSE(xxRound+1,S333,S333,S333,T333)</f>
        <v>3</v>
      </c>
      <c r="S333" s="69">
        <v>3</v>
      </c>
      <c r="T333" s="69">
        <v>3</v>
      </c>
    </row>
    <row r="334" spans="3:20">
      <c r="D334" s="69" t="s">
        <v>1055</v>
      </c>
      <c r="E334" s="426">
        <f t="shared" ref="E334:N334" si="216">calcITExpLeftPostQ3-calcQ4ITExp</f>
        <v>0</v>
      </c>
      <c r="F334" s="426">
        <f t="shared" si="216"/>
        <v>0</v>
      </c>
      <c r="G334" s="426">
        <f t="shared" si="216"/>
        <v>0</v>
      </c>
      <c r="H334" s="426">
        <f t="shared" si="216"/>
        <v>0</v>
      </c>
      <c r="I334" s="426">
        <f t="shared" si="216"/>
        <v>0</v>
      </c>
      <c r="J334" s="426">
        <f t="shared" si="216"/>
        <v>0</v>
      </c>
      <c r="K334" s="426">
        <f t="shared" si="216"/>
        <v>0</v>
      </c>
      <c r="L334" s="426">
        <f t="shared" si="216"/>
        <v>0</v>
      </c>
      <c r="M334" s="426">
        <f t="shared" si="216"/>
        <v>0</v>
      </c>
      <c r="N334" s="426">
        <f t="shared" si="216"/>
        <v>0</v>
      </c>
      <c r="O334" s="69" t="s">
        <v>1051</v>
      </c>
    </row>
    <row r="335" spans="3:20" s="477" customFormat="1">
      <c r="E335" s="478"/>
      <c r="F335" s="478"/>
      <c r="G335" s="478"/>
      <c r="H335" s="478"/>
      <c r="I335" s="478"/>
      <c r="J335" s="478"/>
      <c r="K335" s="478"/>
      <c r="L335" s="478"/>
      <c r="M335" s="478"/>
      <c r="N335" s="478"/>
    </row>
    <row r="336" spans="3:20" customFormat="1">
      <c r="D336" t="s">
        <v>1040</v>
      </c>
      <c r="E336" s="26">
        <f t="shared" ref="E336:N336" si="217">calcITExpLeftPostQ4</f>
        <v>0</v>
      </c>
      <c r="F336" s="26">
        <f t="shared" si="217"/>
        <v>0</v>
      </c>
      <c r="G336" s="26">
        <f t="shared" si="217"/>
        <v>0</v>
      </c>
      <c r="H336" s="26">
        <f t="shared" si="217"/>
        <v>0</v>
      </c>
      <c r="I336" s="26">
        <f t="shared" si="217"/>
        <v>0</v>
      </c>
      <c r="J336" s="26">
        <f t="shared" si="217"/>
        <v>0</v>
      </c>
      <c r="K336" s="26">
        <f t="shared" si="217"/>
        <v>0</v>
      </c>
      <c r="L336" s="26">
        <f t="shared" si="217"/>
        <v>0</v>
      </c>
      <c r="M336" s="26">
        <f t="shared" si="217"/>
        <v>0</v>
      </c>
      <c r="N336" s="26">
        <f t="shared" si="217"/>
        <v>0</v>
      </c>
      <c r="O336" t="s">
        <v>1537</v>
      </c>
    </row>
    <row r="337" spans="1:20" customFormat="1">
      <c r="E337" s="26"/>
      <c r="F337" s="26"/>
      <c r="G337" s="26"/>
      <c r="H337" s="26"/>
      <c r="I337" s="26"/>
      <c r="J337" s="26"/>
      <c r="K337" s="26"/>
      <c r="L337" s="26"/>
      <c r="M337" s="26"/>
      <c r="N337" s="26"/>
    </row>
    <row r="338" spans="1:20">
      <c r="C338" s="217" t="s">
        <v>1043</v>
      </c>
    </row>
    <row r="339" spans="1:20">
      <c r="D339" s="69" t="s">
        <v>1407</v>
      </c>
      <c r="E339" s="426">
        <f t="shared" ref="E339:N339" si="218">IF(calcITExpLeftPostQ4&lt;1,0,calcFullITExp*(1/calcITTimeline)*$S339)</f>
        <v>0</v>
      </c>
      <c r="F339" s="426">
        <f t="shared" si="218"/>
        <v>0</v>
      </c>
      <c r="G339" s="426">
        <f t="shared" si="218"/>
        <v>0</v>
      </c>
      <c r="H339" s="426">
        <f t="shared" si="218"/>
        <v>0</v>
      </c>
      <c r="I339" s="426">
        <f t="shared" si="218"/>
        <v>0</v>
      </c>
      <c r="J339" s="426">
        <f t="shared" si="218"/>
        <v>0</v>
      </c>
      <c r="K339" s="426">
        <f t="shared" si="218"/>
        <v>0</v>
      </c>
      <c r="L339" s="426">
        <f t="shared" si="218"/>
        <v>0</v>
      </c>
      <c r="M339" s="426">
        <f t="shared" si="218"/>
        <v>0</v>
      </c>
      <c r="N339" s="426">
        <f t="shared" si="218"/>
        <v>0</v>
      </c>
      <c r="O339" s="69" t="s">
        <v>1408</v>
      </c>
      <c r="Q339" s="69">
        <f>CHOOSE(xxRound+1,S339,S339,S339,T339)</f>
        <v>3</v>
      </c>
      <c r="S339" s="69">
        <v>3</v>
      </c>
      <c r="T339" s="69">
        <v>3</v>
      </c>
    </row>
    <row r="340" spans="1:20">
      <c r="D340" s="69" t="s">
        <v>1409</v>
      </c>
      <c r="E340" s="426">
        <f t="shared" ref="E340:N340" si="219">calcFullITExpY2-calcY2Q1ITExp</f>
        <v>0</v>
      </c>
      <c r="F340" s="426">
        <f t="shared" si="219"/>
        <v>0</v>
      </c>
      <c r="G340" s="426">
        <f t="shared" si="219"/>
        <v>0</v>
      </c>
      <c r="H340" s="426">
        <f t="shared" si="219"/>
        <v>0</v>
      </c>
      <c r="I340" s="426">
        <f t="shared" si="219"/>
        <v>0</v>
      </c>
      <c r="J340" s="426">
        <f t="shared" si="219"/>
        <v>0</v>
      </c>
      <c r="K340" s="426">
        <f t="shared" si="219"/>
        <v>0</v>
      </c>
      <c r="L340" s="426">
        <f t="shared" si="219"/>
        <v>0</v>
      </c>
      <c r="M340" s="426">
        <f t="shared" si="219"/>
        <v>0</v>
      </c>
      <c r="N340" s="426">
        <f t="shared" si="219"/>
        <v>0</v>
      </c>
      <c r="O340" s="69" t="s">
        <v>1410</v>
      </c>
    </row>
    <row r="341" spans="1:20" customFormat="1">
      <c r="E341" s="26"/>
      <c r="F341" s="26"/>
      <c r="G341" s="26"/>
      <c r="H341" s="26"/>
      <c r="I341" s="26"/>
      <c r="J341" s="26"/>
      <c r="K341" s="26"/>
      <c r="L341" s="26"/>
      <c r="M341" s="26"/>
      <c r="N341" s="26"/>
    </row>
    <row r="342" spans="1:20">
      <c r="D342" s="69" t="s">
        <v>1441</v>
      </c>
      <c r="E342" s="426">
        <f t="shared" ref="E342:N342" si="220">IF(calcITExpLeftPostY2Q1&lt;1,0,calcFullITExp*(1/calcITTimeline)*$S342)</f>
        <v>0</v>
      </c>
      <c r="F342" s="426">
        <f t="shared" si="220"/>
        <v>0</v>
      </c>
      <c r="G342" s="426">
        <f t="shared" si="220"/>
        <v>0</v>
      </c>
      <c r="H342" s="426">
        <f t="shared" si="220"/>
        <v>0</v>
      </c>
      <c r="I342" s="426">
        <f t="shared" si="220"/>
        <v>0</v>
      </c>
      <c r="J342" s="426">
        <f t="shared" si="220"/>
        <v>0</v>
      </c>
      <c r="K342" s="426">
        <f t="shared" si="220"/>
        <v>0</v>
      </c>
      <c r="L342" s="426">
        <f t="shared" si="220"/>
        <v>0</v>
      </c>
      <c r="M342" s="426">
        <f t="shared" si="220"/>
        <v>0</v>
      </c>
      <c r="N342" s="426">
        <f t="shared" si="220"/>
        <v>0</v>
      </c>
      <c r="O342" s="69" t="s">
        <v>1442</v>
      </c>
      <c r="Q342" s="69">
        <f>CHOOSE(xxRound+1,S342,S342,S342,T342)</f>
        <v>3</v>
      </c>
      <c r="S342" s="69">
        <v>3</v>
      </c>
      <c r="T342" s="69">
        <v>3</v>
      </c>
    </row>
    <row r="343" spans="1:20">
      <c r="D343" s="69" t="s">
        <v>1443</v>
      </c>
      <c r="E343" s="426">
        <f t="shared" ref="E343:N343" si="221">calcITExpLeftPostY2Q1-calcY2Q2ITExp</f>
        <v>0</v>
      </c>
      <c r="F343" s="426">
        <f t="shared" si="221"/>
        <v>0</v>
      </c>
      <c r="G343" s="426">
        <f t="shared" si="221"/>
        <v>0</v>
      </c>
      <c r="H343" s="426">
        <f t="shared" si="221"/>
        <v>0</v>
      </c>
      <c r="I343" s="426">
        <f t="shared" si="221"/>
        <v>0</v>
      </c>
      <c r="J343" s="426">
        <f t="shared" si="221"/>
        <v>0</v>
      </c>
      <c r="K343" s="426">
        <f t="shared" si="221"/>
        <v>0</v>
      </c>
      <c r="L343" s="426">
        <f t="shared" si="221"/>
        <v>0</v>
      </c>
      <c r="M343" s="426">
        <f t="shared" si="221"/>
        <v>0</v>
      </c>
      <c r="N343" s="426">
        <f t="shared" si="221"/>
        <v>0</v>
      </c>
      <c r="O343" s="69" t="s">
        <v>1444</v>
      </c>
    </row>
    <row r="344" spans="1:20" customFormat="1">
      <c r="E344" s="26"/>
      <c r="F344" s="26"/>
      <c r="G344" s="26"/>
      <c r="H344" s="26"/>
      <c r="I344" s="26"/>
      <c r="J344" s="26"/>
      <c r="K344" s="26"/>
      <c r="L344" s="26"/>
      <c r="M344" s="26"/>
      <c r="N344" s="26"/>
    </row>
    <row r="345" spans="1:20">
      <c r="D345" s="69" t="s">
        <v>1475</v>
      </c>
      <c r="E345" s="426">
        <f t="shared" ref="E345:N345" si="222">IF(calcITExpLeftPostY2Q2&lt;1,0,calcFullITExp*(1/calcITTimeline)*$S345)</f>
        <v>0</v>
      </c>
      <c r="F345" s="426">
        <f t="shared" si="222"/>
        <v>0</v>
      </c>
      <c r="G345" s="426">
        <f t="shared" si="222"/>
        <v>0</v>
      </c>
      <c r="H345" s="426">
        <f t="shared" si="222"/>
        <v>0</v>
      </c>
      <c r="I345" s="426">
        <f t="shared" si="222"/>
        <v>0</v>
      </c>
      <c r="J345" s="426">
        <f t="shared" si="222"/>
        <v>0</v>
      </c>
      <c r="K345" s="426">
        <f t="shared" si="222"/>
        <v>0</v>
      </c>
      <c r="L345" s="426">
        <f t="shared" si="222"/>
        <v>0</v>
      </c>
      <c r="M345" s="426">
        <f t="shared" si="222"/>
        <v>0</v>
      </c>
      <c r="N345" s="426">
        <f t="shared" si="222"/>
        <v>0</v>
      </c>
      <c r="O345" s="69" t="s">
        <v>1476</v>
      </c>
      <c r="Q345" s="69">
        <f>CHOOSE(xxRound+1,S345,S345,S345,T345)</f>
        <v>3</v>
      </c>
      <c r="S345" s="69">
        <v>3</v>
      </c>
      <c r="T345" s="69">
        <v>3</v>
      </c>
    </row>
    <row r="346" spans="1:20">
      <c r="D346" s="69" t="s">
        <v>1477</v>
      </c>
      <c r="E346" s="426">
        <f t="shared" ref="E346:N346" si="223">calcITExpLeftPostY2Q2-calcY2Q3ITExp</f>
        <v>0</v>
      </c>
      <c r="F346" s="426">
        <f t="shared" si="223"/>
        <v>0</v>
      </c>
      <c r="G346" s="426">
        <f t="shared" si="223"/>
        <v>0</v>
      </c>
      <c r="H346" s="426">
        <f t="shared" si="223"/>
        <v>0</v>
      </c>
      <c r="I346" s="426">
        <f t="shared" si="223"/>
        <v>0</v>
      </c>
      <c r="J346" s="426">
        <f t="shared" si="223"/>
        <v>0</v>
      </c>
      <c r="K346" s="426">
        <f t="shared" si="223"/>
        <v>0</v>
      </c>
      <c r="L346" s="426">
        <f t="shared" si="223"/>
        <v>0</v>
      </c>
      <c r="M346" s="426">
        <f t="shared" si="223"/>
        <v>0</v>
      </c>
      <c r="N346" s="426">
        <f t="shared" si="223"/>
        <v>0</v>
      </c>
      <c r="O346" s="69" t="s">
        <v>1478</v>
      </c>
    </row>
    <row r="347" spans="1:20" customFormat="1">
      <c r="E347" s="26"/>
      <c r="F347" s="26"/>
      <c r="G347" s="26"/>
      <c r="H347" s="26"/>
      <c r="I347" s="26"/>
      <c r="J347" s="26"/>
      <c r="K347" s="26"/>
      <c r="L347" s="26"/>
      <c r="M347" s="26"/>
      <c r="N347" s="26"/>
    </row>
    <row r="348" spans="1:20">
      <c r="D348" s="69" t="s">
        <v>1509</v>
      </c>
      <c r="E348" s="426">
        <f t="shared" ref="E348:N348" si="224">IF(calcITExpLeftPostY2Q3&lt;1,0,calcFullITExp*(1/calcITTimeline)*$S348)</f>
        <v>0</v>
      </c>
      <c r="F348" s="426">
        <f t="shared" si="224"/>
        <v>0</v>
      </c>
      <c r="G348" s="426">
        <f t="shared" si="224"/>
        <v>0</v>
      </c>
      <c r="H348" s="426">
        <f t="shared" si="224"/>
        <v>0</v>
      </c>
      <c r="I348" s="426">
        <f t="shared" si="224"/>
        <v>0</v>
      </c>
      <c r="J348" s="426">
        <f t="shared" si="224"/>
        <v>0</v>
      </c>
      <c r="K348" s="426">
        <f t="shared" si="224"/>
        <v>0</v>
      </c>
      <c r="L348" s="426">
        <f t="shared" si="224"/>
        <v>0</v>
      </c>
      <c r="M348" s="426">
        <f t="shared" si="224"/>
        <v>0</v>
      </c>
      <c r="N348" s="426">
        <f t="shared" si="224"/>
        <v>0</v>
      </c>
      <c r="O348" s="69" t="s">
        <v>1510</v>
      </c>
      <c r="Q348" s="69">
        <f>CHOOSE(xxRound+1,S348,S348,S348,T348)</f>
        <v>3</v>
      </c>
      <c r="S348" s="69">
        <v>3</v>
      </c>
      <c r="T348" s="69">
        <v>3</v>
      </c>
    </row>
    <row r="349" spans="1:20">
      <c r="D349" s="69" t="s">
        <v>1511</v>
      </c>
      <c r="E349" s="426">
        <f t="shared" ref="E349:N349" si="225">calcITExpLeftPostY2Q3-calcY2Q4ITExp</f>
        <v>0</v>
      </c>
      <c r="F349" s="426">
        <f t="shared" si="225"/>
        <v>0</v>
      </c>
      <c r="G349" s="426">
        <f t="shared" si="225"/>
        <v>0</v>
      </c>
      <c r="H349" s="426">
        <f t="shared" si="225"/>
        <v>0</v>
      </c>
      <c r="I349" s="426">
        <f t="shared" si="225"/>
        <v>0</v>
      </c>
      <c r="J349" s="426">
        <f t="shared" si="225"/>
        <v>0</v>
      </c>
      <c r="K349" s="426">
        <f t="shared" si="225"/>
        <v>0</v>
      </c>
      <c r="L349" s="426">
        <f t="shared" si="225"/>
        <v>0</v>
      </c>
      <c r="M349" s="426">
        <f t="shared" si="225"/>
        <v>0</v>
      </c>
      <c r="N349" s="426">
        <f t="shared" si="225"/>
        <v>0</v>
      </c>
      <c r="O349" s="69" t="s">
        <v>1512</v>
      </c>
    </row>
    <row r="351" spans="1:20" s="530" customFormat="1">
      <c r="A351" s="530" t="s">
        <v>1183</v>
      </c>
    </row>
    <row r="352" spans="1:20">
      <c r="D352" s="69" t="s">
        <v>1314</v>
      </c>
      <c r="E352" s="69" t="str">
        <f t="shared" ref="E352:N352" si="226">decITOfficePlan</f>
        <v>Choose</v>
      </c>
      <c r="F352" s="69" t="str">
        <f t="shared" si="226"/>
        <v>Choose</v>
      </c>
      <c r="G352" s="69" t="str">
        <f t="shared" si="226"/>
        <v>Choose</v>
      </c>
      <c r="H352" s="69" t="str">
        <f t="shared" si="226"/>
        <v>Choose</v>
      </c>
      <c r="I352" s="69" t="str">
        <f t="shared" si="226"/>
        <v>Choose</v>
      </c>
      <c r="J352" s="69" t="str">
        <f t="shared" si="226"/>
        <v>Choose</v>
      </c>
      <c r="K352" s="69" t="str">
        <f t="shared" si="226"/>
        <v>Choose</v>
      </c>
      <c r="L352" s="69" t="str">
        <f t="shared" si="226"/>
        <v>Choose</v>
      </c>
      <c r="M352" s="69" t="str">
        <f t="shared" si="226"/>
        <v>Choose</v>
      </c>
      <c r="N352" s="69" t="str">
        <f t="shared" si="226"/>
        <v>Choose</v>
      </c>
    </row>
    <row r="353" spans="3:20" s="217" customFormat="1">
      <c r="D353" s="217" t="s">
        <v>1315</v>
      </c>
      <c r="E353" s="427">
        <f t="shared" ref="E353:N353" si="227">INDEX(DataOfficeIntegrationPrice,MATCH(decITOfficePlan,DataOfficeIntegrationDropdown,0),1)</f>
        <v>0</v>
      </c>
      <c r="F353" s="427">
        <f t="shared" si="227"/>
        <v>0</v>
      </c>
      <c r="G353" s="427">
        <f t="shared" si="227"/>
        <v>0</v>
      </c>
      <c r="H353" s="427">
        <f t="shared" si="227"/>
        <v>0</v>
      </c>
      <c r="I353" s="427">
        <f t="shared" si="227"/>
        <v>0</v>
      </c>
      <c r="J353" s="427">
        <f t="shared" si="227"/>
        <v>0</v>
      </c>
      <c r="K353" s="427">
        <f t="shared" si="227"/>
        <v>0</v>
      </c>
      <c r="L353" s="427">
        <f t="shared" si="227"/>
        <v>0</v>
      </c>
      <c r="M353" s="427">
        <f t="shared" si="227"/>
        <v>0</v>
      </c>
      <c r="N353" s="427">
        <f t="shared" si="227"/>
        <v>0</v>
      </c>
      <c r="O353" s="217" t="s">
        <v>1320</v>
      </c>
    </row>
    <row r="354" spans="3:20">
      <c r="D354" s="69" t="s">
        <v>1316</v>
      </c>
      <c r="E354" s="426">
        <f t="shared" ref="E354:N354" si="228">IF(AND(decITOfficePlan="Keep Existing",decSecurityBuildSiteInfrastructure="Yes"),dataSecurityREInfrastructureCost,0)</f>
        <v>0</v>
      </c>
      <c r="F354" s="426">
        <f t="shared" si="228"/>
        <v>0</v>
      </c>
      <c r="G354" s="426">
        <f t="shared" si="228"/>
        <v>0</v>
      </c>
      <c r="H354" s="426">
        <f t="shared" si="228"/>
        <v>0</v>
      </c>
      <c r="I354" s="426">
        <f t="shared" si="228"/>
        <v>0</v>
      </c>
      <c r="J354" s="426">
        <f t="shared" si="228"/>
        <v>0</v>
      </c>
      <c r="K354" s="426">
        <f t="shared" si="228"/>
        <v>0</v>
      </c>
      <c r="L354" s="426">
        <f t="shared" si="228"/>
        <v>0</v>
      </c>
      <c r="M354" s="426">
        <f t="shared" si="228"/>
        <v>0</v>
      </c>
      <c r="N354" s="426">
        <f t="shared" si="228"/>
        <v>0</v>
      </c>
      <c r="O354" s="69" t="s">
        <v>1319</v>
      </c>
    </row>
    <row r="355" spans="3:20">
      <c r="D355" s="69" t="s">
        <v>1335</v>
      </c>
      <c r="E355" s="426">
        <f t="shared" ref="E355:N355" si="229">calcRealEsateCost+calcSiteInfrastructureBuildOutCost</f>
        <v>0</v>
      </c>
      <c r="F355" s="426">
        <f t="shared" si="229"/>
        <v>0</v>
      </c>
      <c r="G355" s="426">
        <f t="shared" si="229"/>
        <v>0</v>
      </c>
      <c r="H355" s="426">
        <f t="shared" si="229"/>
        <v>0</v>
      </c>
      <c r="I355" s="426">
        <f t="shared" si="229"/>
        <v>0</v>
      </c>
      <c r="J355" s="426">
        <f t="shared" si="229"/>
        <v>0</v>
      </c>
      <c r="K355" s="426">
        <f t="shared" si="229"/>
        <v>0</v>
      </c>
      <c r="L355" s="426">
        <f t="shared" si="229"/>
        <v>0</v>
      </c>
      <c r="M355" s="426">
        <f t="shared" si="229"/>
        <v>0</v>
      </c>
      <c r="N355" s="426">
        <f t="shared" si="229"/>
        <v>0</v>
      </c>
      <c r="O355" s="69" t="s">
        <v>1344</v>
      </c>
    </row>
    <row r="356" spans="3:20">
      <c r="E356" s="426"/>
      <c r="F356" s="426"/>
      <c r="G356" s="426"/>
      <c r="H356" s="426"/>
      <c r="I356" s="426"/>
      <c r="J356" s="426"/>
      <c r="K356" s="426"/>
      <c r="L356" s="426"/>
      <c r="M356" s="426"/>
      <c r="N356" s="426"/>
    </row>
    <row r="357" spans="3:20">
      <c r="D357" s="69" t="s">
        <v>974</v>
      </c>
      <c r="E357" s="357">
        <f t="shared" ref="E357:N357" si="230">paramDepreciationTimeline</f>
        <v>24</v>
      </c>
      <c r="F357" s="357">
        <f t="shared" si="230"/>
        <v>24</v>
      </c>
      <c r="G357" s="357">
        <f t="shared" si="230"/>
        <v>24</v>
      </c>
      <c r="H357" s="357">
        <f t="shared" si="230"/>
        <v>24</v>
      </c>
      <c r="I357" s="357">
        <f t="shared" si="230"/>
        <v>24</v>
      </c>
      <c r="J357" s="357">
        <f t="shared" si="230"/>
        <v>24</v>
      </c>
      <c r="K357" s="357">
        <f t="shared" si="230"/>
        <v>24</v>
      </c>
      <c r="L357" s="357">
        <f t="shared" si="230"/>
        <v>24</v>
      </c>
      <c r="M357" s="357">
        <f t="shared" si="230"/>
        <v>24</v>
      </c>
      <c r="N357" s="357">
        <f t="shared" si="230"/>
        <v>24</v>
      </c>
      <c r="O357" s="69" t="s">
        <v>1334</v>
      </c>
    </row>
    <row r="358" spans="3:20">
      <c r="C358" s="217" t="s">
        <v>1043</v>
      </c>
    </row>
    <row r="359" spans="3:20">
      <c r="D359" s="69" t="s">
        <v>1336</v>
      </c>
      <c r="E359" s="426">
        <f t="shared" ref="E359:N359" si="231">calcFullREExp*(1/calcRETimeline)*$S359</f>
        <v>0</v>
      </c>
      <c r="F359" s="426">
        <f t="shared" si="231"/>
        <v>0</v>
      </c>
      <c r="G359" s="426">
        <f t="shared" si="231"/>
        <v>0</v>
      </c>
      <c r="H359" s="426">
        <f t="shared" si="231"/>
        <v>0</v>
      </c>
      <c r="I359" s="426">
        <f t="shared" si="231"/>
        <v>0</v>
      </c>
      <c r="J359" s="426">
        <f t="shared" si="231"/>
        <v>0</v>
      </c>
      <c r="K359" s="426">
        <f t="shared" si="231"/>
        <v>0</v>
      </c>
      <c r="L359" s="426">
        <f t="shared" si="231"/>
        <v>0</v>
      </c>
      <c r="M359" s="426">
        <f t="shared" si="231"/>
        <v>0</v>
      </c>
      <c r="N359" s="426">
        <f t="shared" si="231"/>
        <v>0</v>
      </c>
      <c r="O359" s="69" t="s">
        <v>1345</v>
      </c>
      <c r="Q359" s="69">
        <f>CHOOSE(xxRound+1,S359,S359,S359,T359)</f>
        <v>3</v>
      </c>
      <c r="S359" s="69">
        <v>3</v>
      </c>
      <c r="T359" s="69">
        <v>3</v>
      </c>
    </row>
    <row r="360" spans="3:20">
      <c r="D360" s="69" t="s">
        <v>1337</v>
      </c>
      <c r="E360" s="426">
        <f t="shared" ref="E360:N360" si="232">calcFullREExp-calcQ1FullREExp</f>
        <v>0</v>
      </c>
      <c r="F360" s="426">
        <f t="shared" si="232"/>
        <v>0</v>
      </c>
      <c r="G360" s="426">
        <f t="shared" si="232"/>
        <v>0</v>
      </c>
      <c r="H360" s="426">
        <f t="shared" si="232"/>
        <v>0</v>
      </c>
      <c r="I360" s="426">
        <f t="shared" si="232"/>
        <v>0</v>
      </c>
      <c r="J360" s="426">
        <f t="shared" si="232"/>
        <v>0</v>
      </c>
      <c r="K360" s="426">
        <f t="shared" si="232"/>
        <v>0</v>
      </c>
      <c r="L360" s="426">
        <f t="shared" si="232"/>
        <v>0</v>
      </c>
      <c r="M360" s="426">
        <f t="shared" si="232"/>
        <v>0</v>
      </c>
      <c r="N360" s="426">
        <f t="shared" si="232"/>
        <v>0</v>
      </c>
      <c r="O360" s="69" t="s">
        <v>1346</v>
      </c>
    </row>
    <row r="361" spans="3:20" customFormat="1">
      <c r="E361" s="26"/>
      <c r="F361" s="26"/>
      <c r="G361" s="26"/>
      <c r="H361" s="26"/>
      <c r="I361" s="26"/>
      <c r="J361" s="26"/>
      <c r="K361" s="26"/>
      <c r="L361" s="26"/>
      <c r="M361" s="26"/>
      <c r="N361" s="26"/>
    </row>
    <row r="362" spans="3:20">
      <c r="D362" s="69" t="s">
        <v>1338</v>
      </c>
      <c r="E362" s="426">
        <f t="shared" ref="E362:N362" si="233">IF(calcFullREExpLeftPostQ1&lt;1,0,calcFullREExp*(1/calcRETimeline)*$S362)</f>
        <v>0</v>
      </c>
      <c r="F362" s="426">
        <f t="shared" si="233"/>
        <v>0</v>
      </c>
      <c r="G362" s="426">
        <f t="shared" si="233"/>
        <v>0</v>
      </c>
      <c r="H362" s="426">
        <f t="shared" si="233"/>
        <v>0</v>
      </c>
      <c r="I362" s="426">
        <f t="shared" si="233"/>
        <v>0</v>
      </c>
      <c r="J362" s="426">
        <f t="shared" si="233"/>
        <v>0</v>
      </c>
      <c r="K362" s="426">
        <f t="shared" si="233"/>
        <v>0</v>
      </c>
      <c r="L362" s="426">
        <f t="shared" si="233"/>
        <v>0</v>
      </c>
      <c r="M362" s="426">
        <f t="shared" si="233"/>
        <v>0</v>
      </c>
      <c r="N362" s="426">
        <f t="shared" si="233"/>
        <v>0</v>
      </c>
      <c r="O362" s="69" t="s">
        <v>1347</v>
      </c>
      <c r="Q362" s="69">
        <f>CHOOSE(xxRound+1,S362,S362,S362,T362)</f>
        <v>3</v>
      </c>
      <c r="S362" s="69">
        <v>3</v>
      </c>
      <c r="T362" s="69">
        <v>3</v>
      </c>
    </row>
    <row r="363" spans="3:20">
      <c r="D363" s="69" t="s">
        <v>1339</v>
      </c>
      <c r="E363" s="426">
        <f t="shared" ref="E363:N363" si="234">calcFullREExpLeftPostQ1-calcQ2FullREExp</f>
        <v>0</v>
      </c>
      <c r="F363" s="426">
        <f t="shared" si="234"/>
        <v>0</v>
      </c>
      <c r="G363" s="426">
        <f t="shared" si="234"/>
        <v>0</v>
      </c>
      <c r="H363" s="426">
        <f t="shared" si="234"/>
        <v>0</v>
      </c>
      <c r="I363" s="426">
        <f t="shared" si="234"/>
        <v>0</v>
      </c>
      <c r="J363" s="426">
        <f t="shared" si="234"/>
        <v>0</v>
      </c>
      <c r="K363" s="426">
        <f t="shared" si="234"/>
        <v>0</v>
      </c>
      <c r="L363" s="426">
        <f t="shared" si="234"/>
        <v>0</v>
      </c>
      <c r="M363" s="426">
        <f t="shared" si="234"/>
        <v>0</v>
      </c>
      <c r="N363" s="426">
        <f t="shared" si="234"/>
        <v>0</v>
      </c>
      <c r="O363" s="69" t="s">
        <v>1348</v>
      </c>
    </row>
    <row r="364" spans="3:20" customFormat="1">
      <c r="E364" s="26"/>
      <c r="F364" s="26"/>
      <c r="G364" s="26"/>
      <c r="H364" s="26"/>
      <c r="I364" s="26"/>
      <c r="J364" s="26"/>
      <c r="K364" s="26"/>
      <c r="L364" s="26"/>
      <c r="M364" s="26"/>
      <c r="N364" s="26"/>
    </row>
    <row r="365" spans="3:20">
      <c r="D365" s="69" t="s">
        <v>1340</v>
      </c>
      <c r="E365" s="426">
        <f t="shared" ref="E365:N365" si="235">IF(calcFullREExpLeftPostQ2&lt;1,0,calcFullREExp*(1/calcRETimeline)*$S365)</f>
        <v>0</v>
      </c>
      <c r="F365" s="426">
        <f t="shared" si="235"/>
        <v>0</v>
      </c>
      <c r="G365" s="426">
        <f t="shared" si="235"/>
        <v>0</v>
      </c>
      <c r="H365" s="426">
        <f t="shared" si="235"/>
        <v>0</v>
      </c>
      <c r="I365" s="426">
        <f t="shared" si="235"/>
        <v>0</v>
      </c>
      <c r="J365" s="426">
        <f t="shared" si="235"/>
        <v>0</v>
      </c>
      <c r="K365" s="426">
        <f t="shared" si="235"/>
        <v>0</v>
      </c>
      <c r="L365" s="426">
        <f t="shared" si="235"/>
        <v>0</v>
      </c>
      <c r="M365" s="426">
        <f t="shared" si="235"/>
        <v>0</v>
      </c>
      <c r="N365" s="426">
        <f t="shared" si="235"/>
        <v>0</v>
      </c>
      <c r="O365" s="69" t="s">
        <v>1349</v>
      </c>
      <c r="Q365" s="69">
        <f>CHOOSE(xxRound+1,S365,S365,S365,T365)</f>
        <v>3</v>
      </c>
      <c r="S365" s="69">
        <v>3</v>
      </c>
      <c r="T365" s="69">
        <v>3</v>
      </c>
    </row>
    <row r="366" spans="3:20">
      <c r="D366" s="69" t="s">
        <v>1341</v>
      </c>
      <c r="E366" s="426">
        <f t="shared" ref="E366:N366" si="236">calcFullREExpLeftPostQ2-calcQ3FullREExp</f>
        <v>0</v>
      </c>
      <c r="F366" s="426">
        <f t="shared" si="236"/>
        <v>0</v>
      </c>
      <c r="G366" s="426">
        <f t="shared" si="236"/>
        <v>0</v>
      </c>
      <c r="H366" s="426">
        <f t="shared" si="236"/>
        <v>0</v>
      </c>
      <c r="I366" s="426">
        <f t="shared" si="236"/>
        <v>0</v>
      </c>
      <c r="J366" s="426">
        <f t="shared" si="236"/>
        <v>0</v>
      </c>
      <c r="K366" s="426">
        <f t="shared" si="236"/>
        <v>0</v>
      </c>
      <c r="L366" s="426">
        <f t="shared" si="236"/>
        <v>0</v>
      </c>
      <c r="M366" s="426">
        <f t="shared" si="236"/>
        <v>0</v>
      </c>
      <c r="N366" s="426">
        <f t="shared" si="236"/>
        <v>0</v>
      </c>
      <c r="O366" s="69" t="s">
        <v>1350</v>
      </c>
    </row>
    <row r="367" spans="3:20" customFormat="1">
      <c r="E367" s="26"/>
      <c r="F367" s="26"/>
      <c r="G367" s="26"/>
      <c r="H367" s="26"/>
      <c r="I367" s="26"/>
      <c r="J367" s="26"/>
      <c r="K367" s="26"/>
      <c r="L367" s="26"/>
      <c r="M367" s="26"/>
      <c r="N367" s="26"/>
    </row>
    <row r="368" spans="3:20">
      <c r="D368" s="69" t="s">
        <v>1342</v>
      </c>
      <c r="E368" s="426">
        <f t="shared" ref="E368:N368" si="237">IF(calcFullREExpLeftPostQ3&lt;1,0,calcFullREExp*(1/calcRETimeline)*$S368)</f>
        <v>0</v>
      </c>
      <c r="F368" s="426">
        <f t="shared" si="237"/>
        <v>0</v>
      </c>
      <c r="G368" s="426">
        <f t="shared" si="237"/>
        <v>0</v>
      </c>
      <c r="H368" s="426">
        <f t="shared" si="237"/>
        <v>0</v>
      </c>
      <c r="I368" s="426">
        <f t="shared" si="237"/>
        <v>0</v>
      </c>
      <c r="J368" s="426">
        <f t="shared" si="237"/>
        <v>0</v>
      </c>
      <c r="K368" s="426">
        <f t="shared" si="237"/>
        <v>0</v>
      </c>
      <c r="L368" s="426">
        <f t="shared" si="237"/>
        <v>0</v>
      </c>
      <c r="M368" s="426">
        <f t="shared" si="237"/>
        <v>0</v>
      </c>
      <c r="N368" s="426">
        <f t="shared" si="237"/>
        <v>0</v>
      </c>
      <c r="O368" s="69" t="s">
        <v>1351</v>
      </c>
      <c r="Q368" s="69">
        <f>CHOOSE(xxRound+1,S368,S368,S368,T368)</f>
        <v>3</v>
      </c>
      <c r="S368" s="69">
        <v>3</v>
      </c>
      <c r="T368" s="69">
        <v>3</v>
      </c>
    </row>
    <row r="369" spans="3:20">
      <c r="D369" s="69" t="s">
        <v>1343</v>
      </c>
      <c r="E369" s="426">
        <f t="shared" ref="E369:N369" si="238">calcFullREExpLeftPostQ3-calcQ4FullREExp</f>
        <v>0</v>
      </c>
      <c r="F369" s="426">
        <f t="shared" si="238"/>
        <v>0</v>
      </c>
      <c r="G369" s="426">
        <f t="shared" si="238"/>
        <v>0</v>
      </c>
      <c r="H369" s="426">
        <f t="shared" si="238"/>
        <v>0</v>
      </c>
      <c r="I369" s="426">
        <f t="shared" si="238"/>
        <v>0</v>
      </c>
      <c r="J369" s="426">
        <f t="shared" si="238"/>
        <v>0</v>
      </c>
      <c r="K369" s="426">
        <f t="shared" si="238"/>
        <v>0</v>
      </c>
      <c r="L369" s="426">
        <f t="shared" si="238"/>
        <v>0</v>
      </c>
      <c r="M369" s="426">
        <f t="shared" si="238"/>
        <v>0</v>
      </c>
      <c r="N369" s="426">
        <f t="shared" si="238"/>
        <v>0</v>
      </c>
      <c r="O369" s="69" t="s">
        <v>1352</v>
      </c>
    </row>
    <row r="370" spans="3:20">
      <c r="E370" s="426"/>
      <c r="F370" s="426"/>
      <c r="G370" s="426"/>
      <c r="H370" s="426"/>
      <c r="I370" s="426"/>
      <c r="J370" s="426"/>
      <c r="K370" s="426"/>
      <c r="L370" s="426"/>
      <c r="M370" s="426"/>
      <c r="N370" s="426"/>
    </row>
    <row r="371" spans="3:20" s="475" customFormat="1"/>
    <row r="372" spans="3:20">
      <c r="D372" s="69" t="s">
        <v>1314</v>
      </c>
      <c r="E372" s="69" t="str">
        <f t="shared" ref="E372:N372" si="239">decITOfficePlan</f>
        <v>Choose</v>
      </c>
      <c r="F372" s="69" t="str">
        <f t="shared" si="239"/>
        <v>Choose</v>
      </c>
      <c r="G372" s="69" t="str">
        <f t="shared" si="239"/>
        <v>Choose</v>
      </c>
      <c r="H372" s="69" t="str">
        <f t="shared" si="239"/>
        <v>Choose</v>
      </c>
      <c r="I372" s="69" t="str">
        <f t="shared" si="239"/>
        <v>Choose</v>
      </c>
      <c r="J372" s="69" t="str">
        <f t="shared" si="239"/>
        <v>Choose</v>
      </c>
      <c r="K372" s="69" t="str">
        <f t="shared" si="239"/>
        <v>Choose</v>
      </c>
      <c r="L372" s="69" t="str">
        <f t="shared" si="239"/>
        <v>Choose</v>
      </c>
      <c r="M372" s="69" t="str">
        <f t="shared" si="239"/>
        <v>Choose</v>
      </c>
      <c r="N372" s="69" t="str">
        <f t="shared" si="239"/>
        <v>Choose</v>
      </c>
    </row>
    <row r="373" spans="3:20" s="217" customFormat="1">
      <c r="D373" s="217" t="s">
        <v>1315</v>
      </c>
      <c r="E373" s="427">
        <f t="shared" ref="E373:N373" si="240">calcFullREExpLeftPostQ4</f>
        <v>0</v>
      </c>
      <c r="F373" s="427">
        <f t="shared" si="240"/>
        <v>0</v>
      </c>
      <c r="G373" s="427">
        <f t="shared" si="240"/>
        <v>0</v>
      </c>
      <c r="H373" s="427">
        <f t="shared" si="240"/>
        <v>0</v>
      </c>
      <c r="I373" s="427">
        <f t="shared" si="240"/>
        <v>0</v>
      </c>
      <c r="J373" s="427">
        <f t="shared" si="240"/>
        <v>0</v>
      </c>
      <c r="K373" s="427">
        <f t="shared" si="240"/>
        <v>0</v>
      </c>
      <c r="L373" s="427">
        <f t="shared" si="240"/>
        <v>0</v>
      </c>
      <c r="M373" s="427">
        <f t="shared" si="240"/>
        <v>0</v>
      </c>
      <c r="N373" s="427">
        <f t="shared" si="240"/>
        <v>0</v>
      </c>
      <c r="O373" s="69" t="s">
        <v>1538</v>
      </c>
    </row>
    <row r="374" spans="3:20">
      <c r="D374" s="69" t="s">
        <v>1316</v>
      </c>
      <c r="E374" s="426"/>
      <c r="F374" s="426"/>
      <c r="G374" s="426"/>
      <c r="H374" s="426"/>
      <c r="I374" s="426"/>
      <c r="J374" s="426"/>
      <c r="K374" s="426"/>
      <c r="L374" s="426"/>
      <c r="M374" s="426"/>
      <c r="N374" s="426"/>
      <c r="O374" s="69" t="s">
        <v>1539</v>
      </c>
    </row>
    <row r="375" spans="3:20">
      <c r="D375" s="69" t="s">
        <v>1335</v>
      </c>
      <c r="E375" s="426">
        <f t="shared" ref="E375:N375" si="241">calcRealEsateCostY2+calcSiteInfrastructureBuildOutCostY2</f>
        <v>0</v>
      </c>
      <c r="F375" s="426">
        <f t="shared" si="241"/>
        <v>0</v>
      </c>
      <c r="G375" s="426">
        <f t="shared" si="241"/>
        <v>0</v>
      </c>
      <c r="H375" s="426">
        <f t="shared" si="241"/>
        <v>0</v>
      </c>
      <c r="I375" s="426">
        <f t="shared" si="241"/>
        <v>0</v>
      </c>
      <c r="J375" s="426">
        <f t="shared" si="241"/>
        <v>0</v>
      </c>
      <c r="K375" s="426">
        <f t="shared" si="241"/>
        <v>0</v>
      </c>
      <c r="L375" s="426">
        <f t="shared" si="241"/>
        <v>0</v>
      </c>
      <c r="M375" s="426">
        <f t="shared" si="241"/>
        <v>0</v>
      </c>
      <c r="N375" s="426">
        <f t="shared" si="241"/>
        <v>0</v>
      </c>
      <c r="O375" s="69" t="s">
        <v>1540</v>
      </c>
    </row>
    <row r="376" spans="3:20">
      <c r="E376" s="426"/>
      <c r="F376" s="426"/>
      <c r="G376" s="426"/>
      <c r="H376" s="426"/>
      <c r="I376" s="426"/>
      <c r="J376" s="426"/>
      <c r="K376" s="426"/>
      <c r="L376" s="426"/>
      <c r="M376" s="426"/>
      <c r="N376" s="426"/>
    </row>
    <row r="377" spans="3:20">
      <c r="D377" s="69" t="s">
        <v>974</v>
      </c>
      <c r="E377" s="357">
        <f t="shared" ref="E377:N377" si="242">paramDepreciationTimeline</f>
        <v>24</v>
      </c>
      <c r="F377" s="357">
        <f t="shared" si="242"/>
        <v>24</v>
      </c>
      <c r="G377" s="357">
        <f t="shared" si="242"/>
        <v>24</v>
      </c>
      <c r="H377" s="357">
        <f t="shared" si="242"/>
        <v>24</v>
      </c>
      <c r="I377" s="357">
        <f t="shared" si="242"/>
        <v>24</v>
      </c>
      <c r="J377" s="357">
        <f t="shared" si="242"/>
        <v>24</v>
      </c>
      <c r="K377" s="357">
        <f t="shared" si="242"/>
        <v>24</v>
      </c>
      <c r="L377" s="357">
        <f t="shared" si="242"/>
        <v>24</v>
      </c>
      <c r="M377" s="357">
        <f t="shared" si="242"/>
        <v>24</v>
      </c>
      <c r="N377" s="357">
        <f t="shared" si="242"/>
        <v>24</v>
      </c>
      <c r="O377" s="69" t="s">
        <v>1334</v>
      </c>
    </row>
    <row r="378" spans="3:20">
      <c r="C378" s="217" t="s">
        <v>1043</v>
      </c>
    </row>
    <row r="379" spans="3:20">
      <c r="D379" s="69" t="s">
        <v>1412</v>
      </c>
      <c r="E379" s="426">
        <f t="shared" ref="E379:N379" si="243">IF(calcFullREExpLeftPostQ4&lt;1,0,calcFullREExp*(1/calcRETimeline)*$S379)</f>
        <v>0</v>
      </c>
      <c r="F379" s="426">
        <f t="shared" si="243"/>
        <v>0</v>
      </c>
      <c r="G379" s="426">
        <f t="shared" si="243"/>
        <v>0</v>
      </c>
      <c r="H379" s="426">
        <f t="shared" si="243"/>
        <v>0</v>
      </c>
      <c r="I379" s="426">
        <f t="shared" si="243"/>
        <v>0</v>
      </c>
      <c r="J379" s="426">
        <f t="shared" si="243"/>
        <v>0</v>
      </c>
      <c r="K379" s="426">
        <f t="shared" si="243"/>
        <v>0</v>
      </c>
      <c r="L379" s="426">
        <f t="shared" si="243"/>
        <v>0</v>
      </c>
      <c r="M379" s="426">
        <f t="shared" si="243"/>
        <v>0</v>
      </c>
      <c r="N379" s="426">
        <f t="shared" si="243"/>
        <v>0</v>
      </c>
      <c r="O379" s="69" t="s">
        <v>1413</v>
      </c>
      <c r="Q379" s="69">
        <f>CHOOSE(xxRound+1,S379,S379,S379,T379)</f>
        <v>3</v>
      </c>
      <c r="S379" s="69">
        <v>3</v>
      </c>
      <c r="T379" s="69">
        <v>3</v>
      </c>
    </row>
    <row r="380" spans="3:20">
      <c r="D380" s="69" t="s">
        <v>1414</v>
      </c>
      <c r="E380" s="426">
        <f t="shared" ref="E380:N380" si="244">calcFullREExpY2-calcY2Q1FullREExp</f>
        <v>0</v>
      </c>
      <c r="F380" s="426">
        <f t="shared" si="244"/>
        <v>0</v>
      </c>
      <c r="G380" s="426">
        <f t="shared" si="244"/>
        <v>0</v>
      </c>
      <c r="H380" s="426">
        <f t="shared" si="244"/>
        <v>0</v>
      </c>
      <c r="I380" s="426">
        <f t="shared" si="244"/>
        <v>0</v>
      </c>
      <c r="J380" s="426">
        <f t="shared" si="244"/>
        <v>0</v>
      </c>
      <c r="K380" s="426">
        <f t="shared" si="244"/>
        <v>0</v>
      </c>
      <c r="L380" s="426">
        <f t="shared" si="244"/>
        <v>0</v>
      </c>
      <c r="M380" s="426">
        <f t="shared" si="244"/>
        <v>0</v>
      </c>
      <c r="N380" s="426">
        <f t="shared" si="244"/>
        <v>0</v>
      </c>
      <c r="O380" s="69" t="s">
        <v>1415</v>
      </c>
    </row>
    <row r="381" spans="3:20" customFormat="1">
      <c r="E381" s="26"/>
      <c r="F381" s="26"/>
      <c r="G381" s="26"/>
      <c r="H381" s="26"/>
      <c r="I381" s="26"/>
      <c r="J381" s="26"/>
      <c r="K381" s="26"/>
      <c r="L381" s="26"/>
      <c r="M381" s="26"/>
      <c r="N381" s="26"/>
    </row>
    <row r="382" spans="3:20">
      <c r="D382" s="69" t="s">
        <v>1446</v>
      </c>
      <c r="E382" s="426">
        <f t="shared" ref="E382:N382" si="245">IF(calcFullREExpLeftPostY2Q1&lt;1,0,calcFullREExp*(1/calcRETimeline)*$S382)</f>
        <v>0</v>
      </c>
      <c r="F382" s="426">
        <f t="shared" si="245"/>
        <v>0</v>
      </c>
      <c r="G382" s="426">
        <f t="shared" si="245"/>
        <v>0</v>
      </c>
      <c r="H382" s="426">
        <f t="shared" si="245"/>
        <v>0</v>
      </c>
      <c r="I382" s="426">
        <f t="shared" si="245"/>
        <v>0</v>
      </c>
      <c r="J382" s="426">
        <f t="shared" si="245"/>
        <v>0</v>
      </c>
      <c r="K382" s="426">
        <f t="shared" si="245"/>
        <v>0</v>
      </c>
      <c r="L382" s="426">
        <f t="shared" si="245"/>
        <v>0</v>
      </c>
      <c r="M382" s="426">
        <f t="shared" si="245"/>
        <v>0</v>
      </c>
      <c r="N382" s="426">
        <f t="shared" si="245"/>
        <v>0</v>
      </c>
      <c r="O382" s="69" t="s">
        <v>1447</v>
      </c>
      <c r="Q382" s="69">
        <f>CHOOSE(xxRound+1,S382,S382,S382,T382)</f>
        <v>3</v>
      </c>
      <c r="S382" s="69">
        <v>3</v>
      </c>
      <c r="T382" s="69">
        <v>3</v>
      </c>
    </row>
    <row r="383" spans="3:20">
      <c r="D383" s="69" t="s">
        <v>1448</v>
      </c>
      <c r="E383" s="426">
        <f t="shared" ref="E383:N383" si="246">calcFullREExpLeftPostY2Q1-calcY2Q2FullREExp</f>
        <v>0</v>
      </c>
      <c r="F383" s="426">
        <f t="shared" si="246"/>
        <v>0</v>
      </c>
      <c r="G383" s="426">
        <f t="shared" si="246"/>
        <v>0</v>
      </c>
      <c r="H383" s="426">
        <f t="shared" si="246"/>
        <v>0</v>
      </c>
      <c r="I383" s="426">
        <f t="shared" si="246"/>
        <v>0</v>
      </c>
      <c r="J383" s="426">
        <f t="shared" si="246"/>
        <v>0</v>
      </c>
      <c r="K383" s="426">
        <f t="shared" si="246"/>
        <v>0</v>
      </c>
      <c r="L383" s="426">
        <f t="shared" si="246"/>
        <v>0</v>
      </c>
      <c r="M383" s="426">
        <f t="shared" si="246"/>
        <v>0</v>
      </c>
      <c r="N383" s="426">
        <f t="shared" si="246"/>
        <v>0</v>
      </c>
      <c r="O383" s="69" t="s">
        <v>1449</v>
      </c>
    </row>
    <row r="384" spans="3:20" customFormat="1">
      <c r="E384" s="26"/>
      <c r="F384" s="26"/>
      <c r="G384" s="26"/>
      <c r="H384" s="26"/>
      <c r="I384" s="26"/>
      <c r="J384" s="26"/>
      <c r="K384" s="26"/>
      <c r="L384" s="26"/>
      <c r="M384" s="26"/>
      <c r="N384" s="26"/>
    </row>
    <row r="385" spans="1:20">
      <c r="D385" s="69" t="s">
        <v>1480</v>
      </c>
      <c r="E385" s="426">
        <f t="shared" ref="E385:N385" si="247">IF(calcFullREExpLeftPostY2Q2&lt;1,0,calcFullREExp*(1/calcRETimeline)*$S385)</f>
        <v>0</v>
      </c>
      <c r="F385" s="426">
        <f t="shared" si="247"/>
        <v>0</v>
      </c>
      <c r="G385" s="426">
        <f t="shared" si="247"/>
        <v>0</v>
      </c>
      <c r="H385" s="426">
        <f t="shared" si="247"/>
        <v>0</v>
      </c>
      <c r="I385" s="426">
        <f t="shared" si="247"/>
        <v>0</v>
      </c>
      <c r="J385" s="426">
        <f t="shared" si="247"/>
        <v>0</v>
      </c>
      <c r="K385" s="426">
        <f t="shared" si="247"/>
        <v>0</v>
      </c>
      <c r="L385" s="426">
        <f t="shared" si="247"/>
        <v>0</v>
      </c>
      <c r="M385" s="426">
        <f t="shared" si="247"/>
        <v>0</v>
      </c>
      <c r="N385" s="426">
        <f t="shared" si="247"/>
        <v>0</v>
      </c>
      <c r="O385" s="69" t="s">
        <v>1481</v>
      </c>
      <c r="Q385" s="69">
        <f>CHOOSE(xxRound+1,S385,S385,S385,T385)</f>
        <v>3</v>
      </c>
      <c r="S385" s="69">
        <v>3</v>
      </c>
      <c r="T385" s="69">
        <v>3</v>
      </c>
    </row>
    <row r="386" spans="1:20">
      <c r="D386" s="69" t="s">
        <v>1482</v>
      </c>
      <c r="E386" s="426">
        <f t="shared" ref="E386:N386" si="248">calcFullREExpLeftPostY2Q2-calcY2Q3FullREExp</f>
        <v>0</v>
      </c>
      <c r="F386" s="426">
        <f t="shared" si="248"/>
        <v>0</v>
      </c>
      <c r="G386" s="426">
        <f t="shared" si="248"/>
        <v>0</v>
      </c>
      <c r="H386" s="426">
        <f t="shared" si="248"/>
        <v>0</v>
      </c>
      <c r="I386" s="426">
        <f t="shared" si="248"/>
        <v>0</v>
      </c>
      <c r="J386" s="426">
        <f t="shared" si="248"/>
        <v>0</v>
      </c>
      <c r="K386" s="426">
        <f t="shared" si="248"/>
        <v>0</v>
      </c>
      <c r="L386" s="426">
        <f t="shared" si="248"/>
        <v>0</v>
      </c>
      <c r="M386" s="426">
        <f t="shared" si="248"/>
        <v>0</v>
      </c>
      <c r="N386" s="426">
        <f t="shared" si="248"/>
        <v>0</v>
      </c>
      <c r="O386" s="69" t="s">
        <v>1483</v>
      </c>
    </row>
    <row r="387" spans="1:20" customFormat="1">
      <c r="E387" s="26"/>
      <c r="F387" s="26"/>
      <c r="G387" s="26"/>
      <c r="H387" s="26"/>
      <c r="I387" s="26"/>
      <c r="J387" s="26"/>
      <c r="K387" s="26"/>
      <c r="L387" s="26"/>
      <c r="M387" s="26"/>
      <c r="N387" s="26"/>
    </row>
    <row r="388" spans="1:20">
      <c r="D388" s="69" t="s">
        <v>1514</v>
      </c>
      <c r="E388" s="426">
        <f t="shared" ref="E388:N388" si="249">IF(calcFullREExpLeftPostY2Q3&lt;1,0,calcFullREExp*(1/calcRETimeline)*$S388)</f>
        <v>0</v>
      </c>
      <c r="F388" s="426">
        <f t="shared" si="249"/>
        <v>0</v>
      </c>
      <c r="G388" s="426">
        <f t="shared" si="249"/>
        <v>0</v>
      </c>
      <c r="H388" s="426">
        <f t="shared" si="249"/>
        <v>0</v>
      </c>
      <c r="I388" s="426">
        <f t="shared" si="249"/>
        <v>0</v>
      </c>
      <c r="J388" s="426">
        <f t="shared" si="249"/>
        <v>0</v>
      </c>
      <c r="K388" s="426">
        <f t="shared" si="249"/>
        <v>0</v>
      </c>
      <c r="L388" s="426">
        <f t="shared" si="249"/>
        <v>0</v>
      </c>
      <c r="M388" s="426">
        <f t="shared" si="249"/>
        <v>0</v>
      </c>
      <c r="N388" s="426">
        <f t="shared" si="249"/>
        <v>0</v>
      </c>
      <c r="O388" s="69" t="s">
        <v>1515</v>
      </c>
      <c r="Q388" s="69">
        <f>CHOOSE(xxRound+1,S388,S388,S388,T388)</f>
        <v>3</v>
      </c>
      <c r="S388" s="69">
        <v>3</v>
      </c>
      <c r="T388" s="69">
        <v>3</v>
      </c>
    </row>
    <row r="389" spans="1:20">
      <c r="D389" s="69" t="s">
        <v>1516</v>
      </c>
      <c r="E389" s="426">
        <f t="shared" ref="E389:N389" si="250">calcFullREExpLeftPostY2Q3-calcY2Q4FullREExp</f>
        <v>0</v>
      </c>
      <c r="F389" s="426">
        <f t="shared" si="250"/>
        <v>0</v>
      </c>
      <c r="G389" s="426">
        <f t="shared" si="250"/>
        <v>0</v>
      </c>
      <c r="H389" s="426">
        <f t="shared" si="250"/>
        <v>0</v>
      </c>
      <c r="I389" s="426">
        <f t="shared" si="250"/>
        <v>0</v>
      </c>
      <c r="J389" s="426">
        <f t="shared" si="250"/>
        <v>0</v>
      </c>
      <c r="K389" s="426">
        <f t="shared" si="250"/>
        <v>0</v>
      </c>
      <c r="L389" s="426">
        <f t="shared" si="250"/>
        <v>0</v>
      </c>
      <c r="M389" s="426">
        <f t="shared" si="250"/>
        <v>0</v>
      </c>
      <c r="N389" s="426">
        <f t="shared" si="250"/>
        <v>0</v>
      </c>
      <c r="O389" s="69" t="s">
        <v>1517</v>
      </c>
    </row>
    <row r="390" spans="1:20">
      <c r="E390" s="426"/>
      <c r="F390" s="426"/>
      <c r="G390" s="426"/>
      <c r="H390" s="426"/>
      <c r="I390" s="426"/>
      <c r="J390" s="426"/>
      <c r="K390" s="426"/>
      <c r="L390" s="426"/>
      <c r="M390" s="426"/>
      <c r="N390" s="426"/>
    </row>
    <row r="391" spans="1:20">
      <c r="E391" s="426"/>
      <c r="F391" s="426"/>
      <c r="G391" s="426"/>
      <c r="H391" s="426"/>
      <c r="I391" s="426"/>
      <c r="J391" s="426"/>
      <c r="K391" s="426"/>
      <c r="L391" s="426"/>
      <c r="M391" s="426"/>
      <c r="N391" s="426"/>
    </row>
    <row r="392" spans="1:20">
      <c r="E392" s="426"/>
      <c r="F392" s="426"/>
      <c r="G392" s="426"/>
      <c r="H392" s="426"/>
      <c r="I392" s="426"/>
      <c r="J392" s="426"/>
      <c r="K392" s="426"/>
      <c r="L392" s="426"/>
      <c r="M392" s="426"/>
      <c r="N392" s="426"/>
    </row>
    <row r="393" spans="1:20">
      <c r="E393" s="426"/>
      <c r="F393" s="426"/>
      <c r="G393" s="426"/>
      <c r="H393" s="426"/>
      <c r="I393" s="426"/>
      <c r="J393" s="426"/>
      <c r="K393" s="426"/>
      <c r="L393" s="426"/>
      <c r="M393" s="426"/>
      <c r="N393" s="426"/>
    </row>
    <row r="394" spans="1:20" s="468" customFormat="1">
      <c r="A394" s="469" t="s">
        <v>409</v>
      </c>
    </row>
    <row r="395" spans="1:20">
      <c r="D395" s="69" t="s">
        <v>1064</v>
      </c>
      <c r="E395" s="69">
        <f t="shared" ref="E395:N395" si="251">obalTrustCostLeft</f>
        <v>0</v>
      </c>
      <c r="F395" s="69">
        <f t="shared" si="251"/>
        <v>0</v>
      </c>
      <c r="G395" s="69">
        <f t="shared" si="251"/>
        <v>0</v>
      </c>
      <c r="H395" s="69">
        <f t="shared" si="251"/>
        <v>0</v>
      </c>
      <c r="I395" s="69">
        <f t="shared" si="251"/>
        <v>0</v>
      </c>
      <c r="J395" s="69">
        <f t="shared" si="251"/>
        <v>0</v>
      </c>
      <c r="K395" s="69">
        <f t="shared" si="251"/>
        <v>0</v>
      </c>
      <c r="L395" s="69">
        <f t="shared" si="251"/>
        <v>0</v>
      </c>
      <c r="M395" s="69">
        <f t="shared" si="251"/>
        <v>0</v>
      </c>
      <c r="N395" s="69">
        <f t="shared" si="251"/>
        <v>0</v>
      </c>
    </row>
    <row r="397" spans="1:20">
      <c r="D397" s="69" t="s">
        <v>1065</v>
      </c>
      <c r="E397" s="439">
        <f>INDEX(dataRiskP0Cost,,MATCH(decSecurityP0RiskMitigation,Data!$D$49:$I$49,0))*INDEX(datatblSecurityTimeline,MATCH(decSecurityTimeline,Data!$C$126:$C$131,0),4)</f>
        <v>0</v>
      </c>
      <c r="F397" s="439">
        <f>INDEX(dataRiskP0Cost,,MATCH(decSecurityP0RiskMitigation,Data!$D$49:$I$49,0))*INDEX(datatblSecurityTimeline,MATCH(decSecurityTimeline,Data!$C$126:$C$131,0),4)</f>
        <v>0</v>
      </c>
      <c r="G397" s="439">
        <f>INDEX(dataRiskP0Cost,,MATCH(decSecurityP0RiskMitigation,Data!$D$49:$I$49,0))*INDEX(datatblSecurityTimeline,MATCH(decSecurityTimeline,Data!$C$126:$C$131,0),4)</f>
        <v>0</v>
      </c>
      <c r="H397" s="439">
        <f>INDEX(dataRiskP0Cost,,MATCH(decSecurityP0RiskMitigation,Data!$D$49:$I$49,0))*INDEX(datatblSecurityTimeline,MATCH(decSecurityTimeline,Data!$C$126:$C$131,0),4)</f>
        <v>0</v>
      </c>
      <c r="I397" s="439">
        <f>INDEX(dataRiskP0Cost,,MATCH(decSecurityP0RiskMitigation,Data!$D$49:$I$49,0))*INDEX(datatblSecurityTimeline,MATCH(decSecurityTimeline,Data!$C$126:$C$131,0),4)</f>
        <v>0</v>
      </c>
      <c r="J397" s="439">
        <f>INDEX(dataRiskP0Cost,,MATCH(decSecurityP0RiskMitigation,Data!$D$49:$I$49,0))*INDEX(datatblSecurityTimeline,MATCH(decSecurityTimeline,Data!$C$126:$C$131,0),4)</f>
        <v>0</v>
      </c>
      <c r="K397" s="439">
        <f>INDEX(dataRiskP0Cost,,MATCH(decSecurityP0RiskMitigation,Data!$D$49:$I$49,0))*INDEX(datatblSecurityTimeline,MATCH(decSecurityTimeline,Data!$C$126:$C$131,0),4)</f>
        <v>0</v>
      </c>
      <c r="L397" s="439">
        <f>INDEX(dataRiskP0Cost,,MATCH(decSecurityP0RiskMitigation,Data!$D$49:$I$49,0))*INDEX(datatblSecurityTimeline,MATCH(decSecurityTimeline,Data!$C$126:$C$131,0),4)</f>
        <v>0</v>
      </c>
      <c r="M397" s="439">
        <f>INDEX(dataRiskP0Cost,,MATCH(decSecurityP0RiskMitigation,Data!$D$49:$I$49,0))*INDEX(datatblSecurityTimeline,MATCH(decSecurityTimeline,Data!$C$126:$C$131,0),4)</f>
        <v>0</v>
      </c>
      <c r="N397" s="439">
        <f>INDEX(dataRiskP0Cost,,MATCH(decSecurityP0RiskMitigation,Data!$D$49:$I$49,0))*INDEX(datatblSecurityTimeline,MATCH(decSecurityTimeline,Data!$C$126:$C$131,0),4)</f>
        <v>0</v>
      </c>
      <c r="O397" s="69" t="s">
        <v>1067</v>
      </c>
    </row>
    <row r="398" spans="1:20">
      <c r="D398" s="69" t="s">
        <v>1066</v>
      </c>
      <c r="E398" s="439">
        <f>INDEX(dataRiskP1Cost,,MATCH(decSecurityP1RiskMitigation,Data!$D$49:$I$49,0))*INDEX(datatblSecurityTimeline,MATCH(decSecurityTimeline,Data!$C$126:$C$131,0),4)</f>
        <v>0</v>
      </c>
      <c r="F398" s="439">
        <f>INDEX(dataRiskP1Cost,,MATCH(decSecurityP1RiskMitigation,Data!$D$49:$I$49,0))*INDEX(datatblSecurityTimeline,MATCH(decSecurityTimeline,Data!$C$126:$C$131,0),4)</f>
        <v>0</v>
      </c>
      <c r="G398" s="439">
        <f>INDEX(dataRiskP1Cost,,MATCH(decSecurityP1RiskMitigation,Data!$D$49:$I$49,0))*INDEX(datatblSecurityTimeline,MATCH(decSecurityTimeline,Data!$C$126:$C$131,0),4)</f>
        <v>0</v>
      </c>
      <c r="H398" s="439">
        <f>INDEX(dataRiskP1Cost,,MATCH(decSecurityP1RiskMitigation,Data!$D$49:$I$49,0))*INDEX(datatblSecurityTimeline,MATCH(decSecurityTimeline,Data!$C$126:$C$131,0),4)</f>
        <v>0</v>
      </c>
      <c r="I398" s="439">
        <f>INDEX(dataRiskP1Cost,,MATCH(decSecurityP1RiskMitigation,Data!$D$49:$I$49,0))*INDEX(datatblSecurityTimeline,MATCH(decSecurityTimeline,Data!$C$126:$C$131,0),4)</f>
        <v>0</v>
      </c>
      <c r="J398" s="439">
        <f>INDEX(dataRiskP1Cost,,MATCH(decSecurityP1RiskMitigation,Data!$D$49:$I$49,0))*INDEX(datatblSecurityTimeline,MATCH(decSecurityTimeline,Data!$C$126:$C$131,0),4)</f>
        <v>0</v>
      </c>
      <c r="K398" s="439">
        <f>INDEX(dataRiskP1Cost,,MATCH(decSecurityP1RiskMitigation,Data!$D$49:$I$49,0))*INDEX(datatblSecurityTimeline,MATCH(decSecurityTimeline,Data!$C$126:$C$131,0),4)</f>
        <v>0</v>
      </c>
      <c r="L398" s="439">
        <f>INDEX(dataRiskP1Cost,,MATCH(decSecurityP1RiskMitigation,Data!$D$49:$I$49,0))*INDEX(datatblSecurityTimeline,MATCH(decSecurityTimeline,Data!$C$126:$C$131,0),4)</f>
        <v>0</v>
      </c>
      <c r="M398" s="439">
        <f>INDEX(dataRiskP1Cost,,MATCH(decSecurityP1RiskMitigation,Data!$D$49:$I$49,0))*INDEX(datatblSecurityTimeline,MATCH(decSecurityTimeline,Data!$C$126:$C$131,0),4)</f>
        <v>0</v>
      </c>
      <c r="N398" s="439">
        <f>INDEX(dataRiskP1Cost,,MATCH(decSecurityP1RiskMitigation,Data!$D$49:$I$49,0))*INDEX(datatblSecurityTimeline,MATCH(decSecurityTimeline,Data!$C$126:$C$131,0),4)</f>
        <v>0</v>
      </c>
      <c r="O398" s="69" t="s">
        <v>1068</v>
      </c>
    </row>
    <row r="399" spans="1:20">
      <c r="D399" s="69" t="s">
        <v>1069</v>
      </c>
      <c r="E399" s="439">
        <f>INDEX(dataRiskP2Cost,,MATCH(decSecurityP2RiskMitigation,Data!$D$49:$I$49,0))*INDEX(datatblSecurityTimeline,MATCH(decSecurityTimeline,Data!$C$126:$C$131,0),4)</f>
        <v>0</v>
      </c>
      <c r="F399" s="439">
        <f>INDEX(dataRiskP2Cost,,MATCH(decSecurityP2RiskMitigation,Data!$D$49:$I$49,0))*INDEX(datatblSecurityTimeline,MATCH(decSecurityTimeline,Data!$C$126:$C$131,0),4)</f>
        <v>0</v>
      </c>
      <c r="G399" s="439">
        <f>INDEX(dataRiskP2Cost,,MATCH(decSecurityP2RiskMitigation,Data!$D$49:$I$49,0))*INDEX(datatblSecurityTimeline,MATCH(decSecurityTimeline,Data!$C$126:$C$131,0),4)</f>
        <v>0</v>
      </c>
      <c r="H399" s="439">
        <f>INDEX(dataRiskP2Cost,,MATCH(decSecurityP2RiskMitigation,Data!$D$49:$I$49,0))*INDEX(datatblSecurityTimeline,MATCH(decSecurityTimeline,Data!$C$126:$C$131,0),4)</f>
        <v>0</v>
      </c>
      <c r="I399" s="439">
        <f>INDEX(dataRiskP2Cost,,MATCH(decSecurityP2RiskMitigation,Data!$D$49:$I$49,0))*INDEX(datatblSecurityTimeline,MATCH(decSecurityTimeline,Data!$C$126:$C$131,0),4)</f>
        <v>0</v>
      </c>
      <c r="J399" s="439">
        <f>INDEX(dataRiskP2Cost,,MATCH(decSecurityP2RiskMitigation,Data!$D$49:$I$49,0))*INDEX(datatblSecurityTimeline,MATCH(decSecurityTimeline,Data!$C$126:$C$131,0),4)</f>
        <v>0</v>
      </c>
      <c r="K399" s="439">
        <f>INDEX(dataRiskP2Cost,,MATCH(decSecurityP2RiskMitigation,Data!$D$49:$I$49,0))*INDEX(datatblSecurityTimeline,MATCH(decSecurityTimeline,Data!$C$126:$C$131,0),4)</f>
        <v>0</v>
      </c>
      <c r="L399" s="439">
        <f>INDEX(dataRiskP2Cost,,MATCH(decSecurityP2RiskMitigation,Data!$D$49:$I$49,0))*INDEX(datatblSecurityTimeline,MATCH(decSecurityTimeline,Data!$C$126:$C$131,0),4)</f>
        <v>0</v>
      </c>
      <c r="M399" s="439">
        <f>INDEX(dataRiskP2Cost,,MATCH(decSecurityP2RiskMitigation,Data!$D$49:$I$49,0))*INDEX(datatblSecurityTimeline,MATCH(decSecurityTimeline,Data!$C$126:$C$131,0),4)</f>
        <v>0</v>
      </c>
      <c r="N399" s="439">
        <f>INDEX(dataRiskP2Cost,,MATCH(decSecurityP2RiskMitigation,Data!$D$49:$I$49,0))*INDEX(datatblSecurityTimeline,MATCH(decSecurityTimeline,Data!$C$126:$C$131,0),4)</f>
        <v>0</v>
      </c>
      <c r="O399" s="69" t="s">
        <v>1070</v>
      </c>
    </row>
    <row r="401" spans="3:20" s="217" customFormat="1">
      <c r="D401" s="217" t="s">
        <v>1072</v>
      </c>
      <c r="E401" s="427">
        <f>SUM(E397:E400)</f>
        <v>0</v>
      </c>
      <c r="F401" s="427">
        <f>SUM(F397:F399)</f>
        <v>0</v>
      </c>
      <c r="G401" s="427">
        <f>SUM(G397:G399)</f>
        <v>0</v>
      </c>
      <c r="H401" s="427">
        <f>SUM(H397:H399)</f>
        <v>0</v>
      </c>
      <c r="I401" s="427">
        <f>SUM(I397:I399)</f>
        <v>0</v>
      </c>
      <c r="J401" s="427">
        <f t="shared" ref="J401:N401" si="252">SUM(J397:J399)</f>
        <v>0</v>
      </c>
      <c r="K401" s="427">
        <f t="shared" si="252"/>
        <v>0</v>
      </c>
      <c r="L401" s="427">
        <f t="shared" si="252"/>
        <v>0</v>
      </c>
      <c r="M401" s="427">
        <f t="shared" si="252"/>
        <v>0</v>
      </c>
      <c r="N401" s="427">
        <f t="shared" si="252"/>
        <v>0</v>
      </c>
      <c r="O401" s="217" t="s">
        <v>1071</v>
      </c>
    </row>
    <row r="403" spans="3:20" s="217" customFormat="1">
      <c r="D403" s="217" t="s">
        <v>1075</v>
      </c>
      <c r="E403" s="502">
        <f t="shared" ref="E403:N403" si="253">calcSecurityTimeline</f>
        <v>27</v>
      </c>
      <c r="F403" s="502">
        <f t="shared" si="253"/>
        <v>27</v>
      </c>
      <c r="G403" s="502">
        <f t="shared" si="253"/>
        <v>27</v>
      </c>
      <c r="H403" s="502">
        <f t="shared" si="253"/>
        <v>27</v>
      </c>
      <c r="I403" s="502">
        <f t="shared" si="253"/>
        <v>27</v>
      </c>
      <c r="J403" s="502">
        <f t="shared" si="253"/>
        <v>27</v>
      </c>
      <c r="K403" s="502">
        <f t="shared" si="253"/>
        <v>27</v>
      </c>
      <c r="L403" s="502">
        <f t="shared" si="253"/>
        <v>27</v>
      </c>
      <c r="M403" s="502">
        <f t="shared" si="253"/>
        <v>27</v>
      </c>
      <c r="N403" s="502">
        <f t="shared" si="253"/>
        <v>27</v>
      </c>
      <c r="O403" s="217" t="s">
        <v>1076</v>
      </c>
    </row>
    <row r="405" spans="3:20">
      <c r="C405" s="217" t="s">
        <v>1043</v>
      </c>
    </row>
    <row r="406" spans="3:20">
      <c r="D406" s="69" t="s">
        <v>1077</v>
      </c>
      <c r="E406" s="426">
        <f t="shared" ref="E406:N406" si="254">calcFullTrustExp*(1/calcTrustTimeline)*$S406</f>
        <v>0</v>
      </c>
      <c r="F406" s="426">
        <f t="shared" si="254"/>
        <v>0</v>
      </c>
      <c r="G406" s="426">
        <f t="shared" si="254"/>
        <v>0</v>
      </c>
      <c r="H406" s="426">
        <f t="shared" si="254"/>
        <v>0</v>
      </c>
      <c r="I406" s="426">
        <f t="shared" si="254"/>
        <v>0</v>
      </c>
      <c r="J406" s="426">
        <f t="shared" si="254"/>
        <v>0</v>
      </c>
      <c r="K406" s="426">
        <f t="shared" si="254"/>
        <v>0</v>
      </c>
      <c r="L406" s="426">
        <f t="shared" si="254"/>
        <v>0</v>
      </c>
      <c r="M406" s="426">
        <f t="shared" si="254"/>
        <v>0</v>
      </c>
      <c r="N406" s="426">
        <f t="shared" si="254"/>
        <v>0</v>
      </c>
      <c r="O406" s="69" t="s">
        <v>1078</v>
      </c>
      <c r="Q406" s="69">
        <f>CHOOSE(xxRound+1,S406,S406,S406,T406)</f>
        <v>3</v>
      </c>
      <c r="S406" s="69">
        <v>3</v>
      </c>
      <c r="T406" s="69">
        <v>3</v>
      </c>
    </row>
    <row r="407" spans="3:20">
      <c r="D407" s="69" t="s">
        <v>1079</v>
      </c>
      <c r="E407" s="426">
        <f t="shared" ref="E407:N407" si="255">calcFullTrustExp-calcQ1TrustExp</f>
        <v>0</v>
      </c>
      <c r="F407" s="426">
        <f t="shared" si="255"/>
        <v>0</v>
      </c>
      <c r="G407" s="426">
        <f t="shared" si="255"/>
        <v>0</v>
      </c>
      <c r="H407" s="426">
        <f t="shared" si="255"/>
        <v>0</v>
      </c>
      <c r="I407" s="426">
        <f t="shared" si="255"/>
        <v>0</v>
      </c>
      <c r="J407" s="426">
        <f t="shared" si="255"/>
        <v>0</v>
      </c>
      <c r="K407" s="426">
        <f t="shared" si="255"/>
        <v>0</v>
      </c>
      <c r="L407" s="426">
        <f t="shared" si="255"/>
        <v>0</v>
      </c>
      <c r="M407" s="426">
        <f t="shared" si="255"/>
        <v>0</v>
      </c>
      <c r="N407" s="426">
        <f t="shared" si="255"/>
        <v>0</v>
      </c>
      <c r="O407" s="69" t="s">
        <v>1080</v>
      </c>
    </row>
    <row r="408" spans="3:20" customFormat="1">
      <c r="E408" s="26"/>
      <c r="F408" s="26"/>
      <c r="G408" s="26"/>
      <c r="H408" s="26"/>
      <c r="I408" s="26"/>
      <c r="J408" s="26"/>
      <c r="K408" s="26"/>
      <c r="L408" s="26"/>
      <c r="M408" s="26"/>
      <c r="N408" s="26"/>
    </row>
    <row r="409" spans="3:20">
      <c r="D409" s="69" t="s">
        <v>1081</v>
      </c>
      <c r="E409" s="426">
        <f t="shared" ref="E409:N409" si="256">IF(calcTrustExpLeftPostQ1&lt;1,0,calcFullTrustExp*(1/calcTrustTimeline)*$S409)</f>
        <v>0</v>
      </c>
      <c r="F409" s="426">
        <f t="shared" si="256"/>
        <v>0</v>
      </c>
      <c r="G409" s="426">
        <f t="shared" si="256"/>
        <v>0</v>
      </c>
      <c r="H409" s="426">
        <f t="shared" si="256"/>
        <v>0</v>
      </c>
      <c r="I409" s="426">
        <f t="shared" si="256"/>
        <v>0</v>
      </c>
      <c r="J409" s="426">
        <f t="shared" si="256"/>
        <v>0</v>
      </c>
      <c r="K409" s="426">
        <f t="shared" si="256"/>
        <v>0</v>
      </c>
      <c r="L409" s="426">
        <f t="shared" si="256"/>
        <v>0</v>
      </c>
      <c r="M409" s="426">
        <f t="shared" si="256"/>
        <v>0</v>
      </c>
      <c r="N409" s="426">
        <f t="shared" si="256"/>
        <v>0</v>
      </c>
      <c r="O409" s="69" t="s">
        <v>1082</v>
      </c>
      <c r="Q409" s="69">
        <f>CHOOSE(xxRound+1,S409,S409,S409,T409)</f>
        <v>3</v>
      </c>
      <c r="S409" s="69">
        <v>3</v>
      </c>
      <c r="T409" s="69">
        <v>3</v>
      </c>
    </row>
    <row r="410" spans="3:20">
      <c r="D410" s="69" t="s">
        <v>1083</v>
      </c>
      <c r="E410" s="426">
        <f t="shared" ref="E410:N410" si="257">calcTrustExpLeftPostQ1-calcQ2TrustExp</f>
        <v>0</v>
      </c>
      <c r="F410" s="426">
        <f t="shared" si="257"/>
        <v>0</v>
      </c>
      <c r="G410" s="426">
        <f t="shared" si="257"/>
        <v>0</v>
      </c>
      <c r="H410" s="426">
        <f t="shared" si="257"/>
        <v>0</v>
      </c>
      <c r="I410" s="426">
        <f t="shared" si="257"/>
        <v>0</v>
      </c>
      <c r="J410" s="426">
        <f t="shared" si="257"/>
        <v>0</v>
      </c>
      <c r="K410" s="426">
        <f t="shared" si="257"/>
        <v>0</v>
      </c>
      <c r="L410" s="426">
        <f t="shared" si="257"/>
        <v>0</v>
      </c>
      <c r="M410" s="426">
        <f t="shared" si="257"/>
        <v>0</v>
      </c>
      <c r="N410" s="426">
        <f t="shared" si="257"/>
        <v>0</v>
      </c>
      <c r="O410" s="69" t="s">
        <v>1084</v>
      </c>
    </row>
    <row r="411" spans="3:20" customFormat="1">
      <c r="E411" s="26"/>
      <c r="F411" s="26"/>
      <c r="G411" s="26"/>
      <c r="H411" s="26"/>
      <c r="I411" s="26"/>
      <c r="J411" s="26"/>
      <c r="K411" s="26"/>
      <c r="L411" s="26"/>
      <c r="M411" s="26"/>
      <c r="N411" s="26"/>
    </row>
    <row r="412" spans="3:20">
      <c r="D412" s="69" t="s">
        <v>1085</v>
      </c>
      <c r="E412" s="426">
        <f t="shared" ref="E412:N412" si="258">IF(calcTrustExpLeftPostQ2&lt;1,0,calcFullTrustExp*(1/calcTrustTimeline)*$S412)</f>
        <v>0</v>
      </c>
      <c r="F412" s="426">
        <f t="shared" si="258"/>
        <v>0</v>
      </c>
      <c r="G412" s="426">
        <f t="shared" si="258"/>
        <v>0</v>
      </c>
      <c r="H412" s="426">
        <f t="shared" si="258"/>
        <v>0</v>
      </c>
      <c r="I412" s="426">
        <f t="shared" si="258"/>
        <v>0</v>
      </c>
      <c r="J412" s="426">
        <f t="shared" si="258"/>
        <v>0</v>
      </c>
      <c r="K412" s="426">
        <f t="shared" si="258"/>
        <v>0</v>
      </c>
      <c r="L412" s="426">
        <f t="shared" si="258"/>
        <v>0</v>
      </c>
      <c r="M412" s="426">
        <f t="shared" si="258"/>
        <v>0</v>
      </c>
      <c r="N412" s="426">
        <f t="shared" si="258"/>
        <v>0</v>
      </c>
      <c r="O412" s="69" t="s">
        <v>1086</v>
      </c>
      <c r="Q412" s="69">
        <f>CHOOSE(xxRound+1,S412,S412,S412,T412)</f>
        <v>3</v>
      </c>
      <c r="S412" s="69">
        <v>3</v>
      </c>
      <c r="T412" s="69">
        <v>3</v>
      </c>
    </row>
    <row r="413" spans="3:20">
      <c r="D413" s="69" t="s">
        <v>1087</v>
      </c>
      <c r="E413" s="426">
        <f t="shared" ref="E413:N413" si="259">calcTrustExpLeftPostQ2-calcQ3TrustExp</f>
        <v>0</v>
      </c>
      <c r="F413" s="426">
        <f t="shared" si="259"/>
        <v>0</v>
      </c>
      <c r="G413" s="426">
        <f t="shared" si="259"/>
        <v>0</v>
      </c>
      <c r="H413" s="426">
        <f t="shared" si="259"/>
        <v>0</v>
      </c>
      <c r="I413" s="426">
        <f t="shared" si="259"/>
        <v>0</v>
      </c>
      <c r="J413" s="426">
        <f t="shared" si="259"/>
        <v>0</v>
      </c>
      <c r="K413" s="426">
        <f t="shared" si="259"/>
        <v>0</v>
      </c>
      <c r="L413" s="426">
        <f t="shared" si="259"/>
        <v>0</v>
      </c>
      <c r="M413" s="426">
        <f t="shared" si="259"/>
        <v>0</v>
      </c>
      <c r="N413" s="426">
        <f t="shared" si="259"/>
        <v>0</v>
      </c>
      <c r="O413" s="69" t="s">
        <v>1088</v>
      </c>
    </row>
    <row r="414" spans="3:20" customFormat="1">
      <c r="E414" s="26"/>
      <c r="F414" s="26"/>
      <c r="G414" s="26"/>
      <c r="H414" s="26"/>
      <c r="I414" s="26"/>
      <c r="J414" s="26"/>
      <c r="K414" s="26"/>
      <c r="L414" s="26"/>
      <c r="M414" s="26"/>
      <c r="N414" s="26"/>
    </row>
    <row r="415" spans="3:20">
      <c r="D415" s="69" t="s">
        <v>1089</v>
      </c>
      <c r="E415" s="426">
        <f t="shared" ref="E415:N415" si="260">IF(calcTrustExpLeftPostQ3&lt;1,0,calcFullTrustExp*(1/calcTrustTimeline)*$S415)</f>
        <v>0</v>
      </c>
      <c r="F415" s="426">
        <f t="shared" si="260"/>
        <v>0</v>
      </c>
      <c r="G415" s="426">
        <f t="shared" si="260"/>
        <v>0</v>
      </c>
      <c r="H415" s="426">
        <f t="shared" si="260"/>
        <v>0</v>
      </c>
      <c r="I415" s="426">
        <f t="shared" si="260"/>
        <v>0</v>
      </c>
      <c r="J415" s="426">
        <f t="shared" si="260"/>
        <v>0</v>
      </c>
      <c r="K415" s="426">
        <f t="shared" si="260"/>
        <v>0</v>
      </c>
      <c r="L415" s="426">
        <f t="shared" si="260"/>
        <v>0</v>
      </c>
      <c r="M415" s="426">
        <f t="shared" si="260"/>
        <v>0</v>
      </c>
      <c r="N415" s="426">
        <f t="shared" si="260"/>
        <v>0</v>
      </c>
      <c r="O415" s="69" t="s">
        <v>1090</v>
      </c>
      <c r="Q415" s="69">
        <f>CHOOSE(xxRound+1,S415,S415,S415,T415)</f>
        <v>3</v>
      </c>
      <c r="S415" s="69">
        <v>3</v>
      </c>
      <c r="T415" s="69">
        <v>3</v>
      </c>
    </row>
    <row r="416" spans="3:20">
      <c r="D416" s="69" t="s">
        <v>1091</v>
      </c>
      <c r="E416" s="426">
        <f t="shared" ref="E416:N416" si="261">calcTrustExpLeftPostQ3-calcQ4TrustExp</f>
        <v>0</v>
      </c>
      <c r="F416" s="426">
        <f t="shared" si="261"/>
        <v>0</v>
      </c>
      <c r="G416" s="426">
        <f t="shared" si="261"/>
        <v>0</v>
      </c>
      <c r="H416" s="426">
        <f t="shared" si="261"/>
        <v>0</v>
      </c>
      <c r="I416" s="426">
        <f t="shared" si="261"/>
        <v>0</v>
      </c>
      <c r="J416" s="426">
        <f t="shared" si="261"/>
        <v>0</v>
      </c>
      <c r="K416" s="426">
        <f t="shared" si="261"/>
        <v>0</v>
      </c>
      <c r="L416" s="426">
        <f t="shared" si="261"/>
        <v>0</v>
      </c>
      <c r="M416" s="426">
        <f t="shared" si="261"/>
        <v>0</v>
      </c>
      <c r="N416" s="426">
        <f t="shared" si="261"/>
        <v>0</v>
      </c>
      <c r="O416" s="69" t="s">
        <v>1092</v>
      </c>
    </row>
    <row r="418" spans="1:20" s="476" customFormat="1">
      <c r="A418" s="475"/>
    </row>
    <row r="419" spans="1:20" s="217" customFormat="1">
      <c r="D419" s="217" t="s">
        <v>1072</v>
      </c>
      <c r="E419" s="69">
        <f t="shared" ref="E419:N419" si="262">calcTrustExpLeftPostQ4</f>
        <v>0</v>
      </c>
      <c r="F419" s="69">
        <f t="shared" si="262"/>
        <v>0</v>
      </c>
      <c r="G419" s="69">
        <f t="shared" si="262"/>
        <v>0</v>
      </c>
      <c r="H419" s="69">
        <f t="shared" si="262"/>
        <v>0</v>
      </c>
      <c r="I419" s="69">
        <f t="shared" si="262"/>
        <v>0</v>
      </c>
      <c r="J419" s="69">
        <f t="shared" si="262"/>
        <v>0</v>
      </c>
      <c r="K419" s="69">
        <f t="shared" si="262"/>
        <v>0</v>
      </c>
      <c r="L419" s="69">
        <f t="shared" si="262"/>
        <v>0</v>
      </c>
      <c r="M419" s="69">
        <f t="shared" si="262"/>
        <v>0</v>
      </c>
      <c r="N419" s="69">
        <f t="shared" si="262"/>
        <v>0</v>
      </c>
      <c r="O419" s="217" t="s">
        <v>1541</v>
      </c>
    </row>
    <row r="421" spans="1:20">
      <c r="C421" s="217" t="s">
        <v>1043</v>
      </c>
    </row>
    <row r="422" spans="1:20">
      <c r="D422" s="69" t="s">
        <v>1416</v>
      </c>
      <c r="E422" s="426">
        <f t="shared" ref="E422:N422" si="263">IF(calcTrustExpLeftPostQ4&lt;1,0,calcFullTrustExp*(1/calcTrustTimeline)*$S422)</f>
        <v>0</v>
      </c>
      <c r="F422" s="426">
        <f t="shared" si="263"/>
        <v>0</v>
      </c>
      <c r="G422" s="426">
        <f t="shared" si="263"/>
        <v>0</v>
      </c>
      <c r="H422" s="426">
        <f t="shared" si="263"/>
        <v>0</v>
      </c>
      <c r="I422" s="426">
        <f t="shared" si="263"/>
        <v>0</v>
      </c>
      <c r="J422" s="426">
        <f t="shared" si="263"/>
        <v>0</v>
      </c>
      <c r="K422" s="426">
        <f t="shared" si="263"/>
        <v>0</v>
      </c>
      <c r="L422" s="426">
        <f t="shared" si="263"/>
        <v>0</v>
      </c>
      <c r="M422" s="426">
        <f t="shared" si="263"/>
        <v>0</v>
      </c>
      <c r="N422" s="426">
        <f t="shared" si="263"/>
        <v>0</v>
      </c>
      <c r="O422" s="69" t="s">
        <v>1417</v>
      </c>
      <c r="Q422" s="69">
        <f>CHOOSE(xxRound+1,S422,S422,S422,T422)</f>
        <v>3</v>
      </c>
      <c r="S422" s="69">
        <v>3</v>
      </c>
      <c r="T422" s="69">
        <v>3</v>
      </c>
    </row>
    <row r="423" spans="1:20">
      <c r="D423" s="69" t="s">
        <v>1418</v>
      </c>
      <c r="E423" s="426">
        <f t="shared" ref="E423:N423" si="264">calcFullTrustExpY2-calcY2Q1TrustExp</f>
        <v>0</v>
      </c>
      <c r="F423" s="426">
        <f t="shared" si="264"/>
        <v>0</v>
      </c>
      <c r="G423" s="426">
        <f t="shared" si="264"/>
        <v>0</v>
      </c>
      <c r="H423" s="426">
        <f t="shared" si="264"/>
        <v>0</v>
      </c>
      <c r="I423" s="426">
        <f t="shared" si="264"/>
        <v>0</v>
      </c>
      <c r="J423" s="426">
        <f t="shared" si="264"/>
        <v>0</v>
      </c>
      <c r="K423" s="426">
        <f t="shared" si="264"/>
        <v>0</v>
      </c>
      <c r="L423" s="426">
        <f t="shared" si="264"/>
        <v>0</v>
      </c>
      <c r="M423" s="426">
        <f t="shared" si="264"/>
        <v>0</v>
      </c>
      <c r="N423" s="426">
        <f t="shared" si="264"/>
        <v>0</v>
      </c>
      <c r="O423" s="69" t="s">
        <v>1419</v>
      </c>
    </row>
    <row r="424" spans="1:20" customFormat="1">
      <c r="E424" s="26"/>
      <c r="F424" s="26"/>
      <c r="G424" s="26"/>
      <c r="H424" s="26"/>
      <c r="I424" s="26"/>
      <c r="J424" s="26"/>
      <c r="K424" s="26"/>
      <c r="L424" s="26"/>
      <c r="M424" s="26"/>
      <c r="N424" s="26"/>
    </row>
    <row r="425" spans="1:20">
      <c r="D425" s="69" t="s">
        <v>1450</v>
      </c>
      <c r="E425" s="426">
        <f t="shared" ref="E425:N425" si="265">IF(calcTrustExpLeftPostY2Q1&lt;1,0,calcFullTrustExp*(1/calcTrustTimeline)*$S425)</f>
        <v>0</v>
      </c>
      <c r="F425" s="426">
        <f t="shared" si="265"/>
        <v>0</v>
      </c>
      <c r="G425" s="426">
        <f t="shared" si="265"/>
        <v>0</v>
      </c>
      <c r="H425" s="426">
        <f t="shared" si="265"/>
        <v>0</v>
      </c>
      <c r="I425" s="426">
        <f t="shared" si="265"/>
        <v>0</v>
      </c>
      <c r="J425" s="426">
        <f t="shared" si="265"/>
        <v>0</v>
      </c>
      <c r="K425" s="426">
        <f t="shared" si="265"/>
        <v>0</v>
      </c>
      <c r="L425" s="426">
        <f t="shared" si="265"/>
        <v>0</v>
      </c>
      <c r="M425" s="426">
        <f t="shared" si="265"/>
        <v>0</v>
      </c>
      <c r="N425" s="426">
        <f t="shared" si="265"/>
        <v>0</v>
      </c>
      <c r="O425" s="69" t="s">
        <v>1451</v>
      </c>
      <c r="Q425" s="69">
        <f>CHOOSE(xxRound+1,S425,S425,S425,T425)</f>
        <v>3</v>
      </c>
      <c r="S425" s="69">
        <v>3</v>
      </c>
      <c r="T425" s="69">
        <v>3</v>
      </c>
    </row>
    <row r="426" spans="1:20">
      <c r="D426" s="69" t="s">
        <v>1452</v>
      </c>
      <c r="E426" s="426">
        <f t="shared" ref="E426:N426" si="266">calcTrustExpLeftPostY2Q1-calcY2Q2TrustExp</f>
        <v>0</v>
      </c>
      <c r="F426" s="426">
        <f t="shared" si="266"/>
        <v>0</v>
      </c>
      <c r="G426" s="426">
        <f t="shared" si="266"/>
        <v>0</v>
      </c>
      <c r="H426" s="426">
        <f t="shared" si="266"/>
        <v>0</v>
      </c>
      <c r="I426" s="426">
        <f t="shared" si="266"/>
        <v>0</v>
      </c>
      <c r="J426" s="426">
        <f t="shared" si="266"/>
        <v>0</v>
      </c>
      <c r="K426" s="426">
        <f t="shared" si="266"/>
        <v>0</v>
      </c>
      <c r="L426" s="426">
        <f t="shared" si="266"/>
        <v>0</v>
      </c>
      <c r="M426" s="426">
        <f t="shared" si="266"/>
        <v>0</v>
      </c>
      <c r="N426" s="426">
        <f t="shared" si="266"/>
        <v>0</v>
      </c>
      <c r="O426" s="69" t="s">
        <v>1453</v>
      </c>
    </row>
    <row r="427" spans="1:20" customFormat="1">
      <c r="E427" s="26"/>
      <c r="F427" s="26"/>
      <c r="G427" s="26"/>
      <c r="H427" s="26"/>
      <c r="I427" s="26"/>
      <c r="J427" s="26"/>
      <c r="K427" s="26"/>
      <c r="L427" s="26"/>
      <c r="M427" s="26"/>
      <c r="N427" s="26"/>
    </row>
    <row r="428" spans="1:20">
      <c r="D428" s="69" t="s">
        <v>1484</v>
      </c>
      <c r="E428" s="426">
        <f t="shared" ref="E428:N428" si="267">IF(calcTrustExpLeftPostY2Q2&lt;1,0,calcFullTrustExp*(1/calcTrustTimeline)*$S428)</f>
        <v>0</v>
      </c>
      <c r="F428" s="426">
        <f t="shared" si="267"/>
        <v>0</v>
      </c>
      <c r="G428" s="426">
        <f t="shared" si="267"/>
        <v>0</v>
      </c>
      <c r="H428" s="426">
        <f t="shared" si="267"/>
        <v>0</v>
      </c>
      <c r="I428" s="426">
        <f t="shared" si="267"/>
        <v>0</v>
      </c>
      <c r="J428" s="426">
        <f t="shared" si="267"/>
        <v>0</v>
      </c>
      <c r="K428" s="426">
        <f t="shared" si="267"/>
        <v>0</v>
      </c>
      <c r="L428" s="426">
        <f t="shared" si="267"/>
        <v>0</v>
      </c>
      <c r="M428" s="426">
        <f t="shared" si="267"/>
        <v>0</v>
      </c>
      <c r="N428" s="426">
        <f t="shared" si="267"/>
        <v>0</v>
      </c>
      <c r="O428" s="69" t="s">
        <v>1485</v>
      </c>
      <c r="Q428" s="69">
        <f>CHOOSE(xxRound+1,S428,S428,S428,T428)</f>
        <v>3</v>
      </c>
      <c r="S428" s="69">
        <v>3</v>
      </c>
      <c r="T428" s="69">
        <v>3</v>
      </c>
    </row>
    <row r="429" spans="1:20">
      <c r="D429" s="69" t="s">
        <v>1486</v>
      </c>
      <c r="E429" s="426">
        <f t="shared" ref="E429:N429" si="268">calcTrustExpLeftPostY2Q2-calcY2Q3TrustExp</f>
        <v>0</v>
      </c>
      <c r="F429" s="426">
        <f t="shared" si="268"/>
        <v>0</v>
      </c>
      <c r="G429" s="426">
        <f t="shared" si="268"/>
        <v>0</v>
      </c>
      <c r="H429" s="426">
        <f t="shared" si="268"/>
        <v>0</v>
      </c>
      <c r="I429" s="426">
        <f t="shared" si="268"/>
        <v>0</v>
      </c>
      <c r="J429" s="426">
        <f t="shared" si="268"/>
        <v>0</v>
      </c>
      <c r="K429" s="426">
        <f t="shared" si="268"/>
        <v>0</v>
      </c>
      <c r="L429" s="426">
        <f t="shared" si="268"/>
        <v>0</v>
      </c>
      <c r="M429" s="426">
        <f t="shared" si="268"/>
        <v>0</v>
      </c>
      <c r="N429" s="426">
        <f t="shared" si="268"/>
        <v>0</v>
      </c>
      <c r="O429" s="69" t="s">
        <v>1487</v>
      </c>
    </row>
    <row r="430" spans="1:20" customFormat="1">
      <c r="E430" s="26"/>
      <c r="F430" s="26"/>
      <c r="G430" s="26"/>
      <c r="H430" s="26"/>
      <c r="I430" s="26"/>
      <c r="J430" s="26"/>
      <c r="K430" s="26"/>
      <c r="L430" s="26"/>
      <c r="M430" s="26"/>
      <c r="N430" s="26"/>
    </row>
    <row r="431" spans="1:20">
      <c r="D431" s="69" t="s">
        <v>1518</v>
      </c>
      <c r="E431" s="426">
        <f t="shared" ref="E431:N431" si="269">IF(calcTrustExpLeftPostY2Q3&lt;1,0,calcFullTrustExp*(1/calcTrustTimeline)*$S431)</f>
        <v>0</v>
      </c>
      <c r="F431" s="426">
        <f t="shared" si="269"/>
        <v>0</v>
      </c>
      <c r="G431" s="426">
        <f t="shared" si="269"/>
        <v>0</v>
      </c>
      <c r="H431" s="426">
        <f t="shared" si="269"/>
        <v>0</v>
      </c>
      <c r="I431" s="426">
        <f t="shared" si="269"/>
        <v>0</v>
      </c>
      <c r="J431" s="426">
        <f t="shared" si="269"/>
        <v>0</v>
      </c>
      <c r="K431" s="426">
        <f t="shared" si="269"/>
        <v>0</v>
      </c>
      <c r="L431" s="426">
        <f t="shared" si="269"/>
        <v>0</v>
      </c>
      <c r="M431" s="426">
        <f t="shared" si="269"/>
        <v>0</v>
      </c>
      <c r="N431" s="426">
        <f t="shared" si="269"/>
        <v>0</v>
      </c>
      <c r="O431" s="69" t="s">
        <v>1519</v>
      </c>
      <c r="Q431" s="69">
        <f>CHOOSE(xxRound+1,S431,S431,S431,T431)</f>
        <v>3</v>
      </c>
      <c r="S431" s="69">
        <v>3</v>
      </c>
      <c r="T431" s="69">
        <v>3</v>
      </c>
    </row>
    <row r="432" spans="1:20">
      <c r="D432" s="69" t="s">
        <v>1520</v>
      </c>
      <c r="E432" s="426">
        <f t="shared" ref="E432:N432" si="270">calcTrustExpLeftPostY2Q3-calcY2Q4TrustExp</f>
        <v>0</v>
      </c>
      <c r="F432" s="426">
        <f t="shared" si="270"/>
        <v>0</v>
      </c>
      <c r="G432" s="426">
        <f t="shared" si="270"/>
        <v>0</v>
      </c>
      <c r="H432" s="426">
        <f t="shared" si="270"/>
        <v>0</v>
      </c>
      <c r="I432" s="426">
        <f t="shared" si="270"/>
        <v>0</v>
      </c>
      <c r="J432" s="426">
        <f t="shared" si="270"/>
        <v>0</v>
      </c>
      <c r="K432" s="426">
        <f t="shared" si="270"/>
        <v>0</v>
      </c>
      <c r="L432" s="426">
        <f t="shared" si="270"/>
        <v>0</v>
      </c>
      <c r="M432" s="426">
        <f t="shared" si="270"/>
        <v>0</v>
      </c>
      <c r="N432" s="426">
        <f t="shared" si="270"/>
        <v>0</v>
      </c>
      <c r="O432" s="69" t="s">
        <v>1521</v>
      </c>
    </row>
    <row r="434" spans="1:24" s="475" customFormat="1">
      <c r="A434" s="475" t="s">
        <v>1110</v>
      </c>
    </row>
    <row r="436" spans="1:24" s="102" customFormat="1">
      <c r="A436" s="529" t="s">
        <v>1099</v>
      </c>
    </row>
    <row r="437" spans="1:24">
      <c r="D437" s="217" t="s">
        <v>1111</v>
      </c>
      <c r="E437" s="357">
        <f t="shared" ref="E437:N437" si="271">obalOrg62CostLeft</f>
        <v>5000000</v>
      </c>
      <c r="F437" s="357">
        <f t="shared" si="271"/>
        <v>5000000</v>
      </c>
      <c r="G437" s="357">
        <f t="shared" si="271"/>
        <v>5000000</v>
      </c>
      <c r="H437" s="357">
        <f t="shared" si="271"/>
        <v>5000000</v>
      </c>
      <c r="I437" s="357">
        <f t="shared" si="271"/>
        <v>5000000</v>
      </c>
      <c r="J437" s="357">
        <f t="shared" si="271"/>
        <v>5000000</v>
      </c>
      <c r="K437" s="357">
        <f t="shared" si="271"/>
        <v>5000000</v>
      </c>
      <c r="L437" s="357">
        <f t="shared" si="271"/>
        <v>5000000</v>
      </c>
      <c r="M437" s="357">
        <f t="shared" si="271"/>
        <v>5000000</v>
      </c>
      <c r="N437" s="357">
        <f t="shared" si="271"/>
        <v>5000000</v>
      </c>
    </row>
    <row r="438" spans="1:24">
      <c r="C438" s="69" t="s">
        <v>899</v>
      </c>
      <c r="D438" s="69" t="s">
        <v>1725</v>
      </c>
      <c r="E438" s="357">
        <f t="shared" ref="E438:N442" si="272">$P438*(decGTMOrg62Timeline=$C438)</f>
        <v>0</v>
      </c>
      <c r="F438" s="357">
        <f t="shared" si="272"/>
        <v>0</v>
      </c>
      <c r="G438" s="357">
        <f t="shared" si="272"/>
        <v>0</v>
      </c>
      <c r="H438" s="357">
        <f t="shared" si="272"/>
        <v>0</v>
      </c>
      <c r="I438" s="357">
        <f t="shared" si="272"/>
        <v>0</v>
      </c>
      <c r="J438" s="357">
        <f t="shared" si="272"/>
        <v>0</v>
      </c>
      <c r="K438" s="357">
        <f t="shared" si="272"/>
        <v>0</v>
      </c>
      <c r="L438" s="357">
        <f t="shared" si="272"/>
        <v>0</v>
      </c>
      <c r="M438" s="357">
        <f t="shared" si="272"/>
        <v>0</v>
      </c>
      <c r="N438" s="357">
        <f t="shared" si="272"/>
        <v>0</v>
      </c>
      <c r="P438" s="504">
        <v>0</v>
      </c>
    </row>
    <row r="439" spans="1:24">
      <c r="C439" s="69" t="s">
        <v>900</v>
      </c>
      <c r="D439" s="69" t="s">
        <v>1724</v>
      </c>
      <c r="E439" s="357">
        <f t="shared" si="272"/>
        <v>0</v>
      </c>
      <c r="F439" s="357">
        <f t="shared" si="272"/>
        <v>0</v>
      </c>
      <c r="G439" s="357">
        <f t="shared" si="272"/>
        <v>0</v>
      </c>
      <c r="H439" s="357">
        <f t="shared" si="272"/>
        <v>0</v>
      </c>
      <c r="I439" s="357">
        <f t="shared" si="272"/>
        <v>0</v>
      </c>
      <c r="J439" s="357">
        <f t="shared" si="272"/>
        <v>0</v>
      </c>
      <c r="K439" s="357">
        <f t="shared" si="272"/>
        <v>0</v>
      </c>
      <c r="L439" s="357">
        <f t="shared" si="272"/>
        <v>0</v>
      </c>
      <c r="M439" s="357">
        <f t="shared" si="272"/>
        <v>0</v>
      </c>
      <c r="N439" s="357">
        <f t="shared" si="272"/>
        <v>0</v>
      </c>
      <c r="P439" s="504">
        <v>100000</v>
      </c>
    </row>
    <row r="440" spans="1:24">
      <c r="C440" s="69" t="s">
        <v>901</v>
      </c>
      <c r="D440" s="69" t="s">
        <v>1722</v>
      </c>
      <c r="E440" s="357">
        <f t="shared" si="272"/>
        <v>0</v>
      </c>
      <c r="F440" s="357">
        <f t="shared" si="272"/>
        <v>0</v>
      </c>
      <c r="G440" s="357">
        <f t="shared" si="272"/>
        <v>0</v>
      </c>
      <c r="H440" s="357">
        <f t="shared" si="272"/>
        <v>0</v>
      </c>
      <c r="I440" s="357">
        <f t="shared" si="272"/>
        <v>0</v>
      </c>
      <c r="J440" s="357">
        <f t="shared" si="272"/>
        <v>0</v>
      </c>
      <c r="K440" s="357">
        <f t="shared" si="272"/>
        <v>0</v>
      </c>
      <c r="L440" s="357">
        <f t="shared" si="272"/>
        <v>0</v>
      </c>
      <c r="M440" s="357">
        <f t="shared" si="272"/>
        <v>0</v>
      </c>
      <c r="N440" s="357">
        <f t="shared" si="272"/>
        <v>0</v>
      </c>
      <c r="P440" s="504">
        <v>200000</v>
      </c>
    </row>
    <row r="441" spans="1:24">
      <c r="C441" s="69" t="s">
        <v>902</v>
      </c>
      <c r="D441" s="69" t="s">
        <v>1721</v>
      </c>
      <c r="E441" s="357">
        <f t="shared" si="272"/>
        <v>0</v>
      </c>
      <c r="F441" s="357">
        <f t="shared" si="272"/>
        <v>0</v>
      </c>
      <c r="G441" s="357">
        <f t="shared" si="272"/>
        <v>0</v>
      </c>
      <c r="H441" s="357">
        <f t="shared" si="272"/>
        <v>0</v>
      </c>
      <c r="I441" s="357">
        <f t="shared" si="272"/>
        <v>0</v>
      </c>
      <c r="J441" s="357">
        <f t="shared" si="272"/>
        <v>0</v>
      </c>
      <c r="K441" s="357">
        <f t="shared" si="272"/>
        <v>0</v>
      </c>
      <c r="L441" s="357">
        <f t="shared" si="272"/>
        <v>0</v>
      </c>
      <c r="M441" s="357">
        <f t="shared" si="272"/>
        <v>0</v>
      </c>
      <c r="N441" s="357">
        <f t="shared" si="272"/>
        <v>0</v>
      </c>
      <c r="P441" s="504">
        <v>300000</v>
      </c>
    </row>
    <row r="442" spans="1:24">
      <c r="C442" s="69" t="s">
        <v>1284</v>
      </c>
      <c r="D442" s="69" t="s">
        <v>1723</v>
      </c>
      <c r="E442" s="357">
        <f t="shared" si="272"/>
        <v>0</v>
      </c>
      <c r="F442" s="357">
        <f t="shared" si="272"/>
        <v>0</v>
      </c>
      <c r="G442" s="357">
        <f t="shared" si="272"/>
        <v>0</v>
      </c>
      <c r="H442" s="357">
        <f t="shared" si="272"/>
        <v>0</v>
      </c>
      <c r="I442" s="357">
        <f t="shared" si="272"/>
        <v>0</v>
      </c>
      <c r="J442" s="357">
        <f t="shared" si="272"/>
        <v>0</v>
      </c>
      <c r="K442" s="357">
        <f t="shared" si="272"/>
        <v>0</v>
      </c>
      <c r="L442" s="357">
        <f t="shared" si="272"/>
        <v>0</v>
      </c>
      <c r="M442" s="357">
        <f t="shared" si="272"/>
        <v>0</v>
      </c>
      <c r="N442" s="357">
        <f t="shared" si="272"/>
        <v>0</v>
      </c>
      <c r="P442" s="504">
        <v>400000</v>
      </c>
    </row>
    <row r="443" spans="1:24">
      <c r="C443" s="69" t="s">
        <v>1665</v>
      </c>
      <c r="D443" s="69" t="s">
        <v>1723</v>
      </c>
      <c r="E443" s="357">
        <f t="shared" ref="E443:N443" si="273">E$437*(decGTMOrg62Timeline=$C443)*-1</f>
        <v>-5000000</v>
      </c>
      <c r="F443" s="357">
        <f t="shared" si="273"/>
        <v>-5000000</v>
      </c>
      <c r="G443" s="357">
        <f t="shared" si="273"/>
        <v>-5000000</v>
      </c>
      <c r="H443" s="357">
        <f t="shared" si="273"/>
        <v>-5000000</v>
      </c>
      <c r="I443" s="357">
        <f t="shared" si="273"/>
        <v>-5000000</v>
      </c>
      <c r="J443" s="357">
        <f t="shared" si="273"/>
        <v>-5000000</v>
      </c>
      <c r="K443" s="357">
        <f t="shared" si="273"/>
        <v>-5000000</v>
      </c>
      <c r="L443" s="357">
        <f t="shared" si="273"/>
        <v>-5000000</v>
      </c>
      <c r="M443" s="357">
        <f t="shared" si="273"/>
        <v>-5000000</v>
      </c>
      <c r="N443" s="357">
        <f t="shared" si="273"/>
        <v>-5000000</v>
      </c>
      <c r="P443" s="482">
        <v>0.05</v>
      </c>
    </row>
    <row r="444" spans="1:24">
      <c r="D444" s="69" t="s">
        <v>1726</v>
      </c>
      <c r="E444" s="357"/>
      <c r="F444" s="357"/>
      <c r="G444" s="357"/>
      <c r="H444" s="357"/>
      <c r="I444" s="357"/>
      <c r="J444" s="357"/>
      <c r="K444" s="357"/>
      <c r="L444" s="357"/>
      <c r="M444" s="357"/>
      <c r="N444" s="357"/>
      <c r="P444" s="482">
        <v>-0.03</v>
      </c>
      <c r="Q444" s="482">
        <v>0.01</v>
      </c>
      <c r="R444" s="482">
        <v>0</v>
      </c>
    </row>
    <row r="445" spans="1:24">
      <c r="D445" s="69" t="s">
        <v>487</v>
      </c>
      <c r="E445" s="357">
        <f>SUM(E437:E444)</f>
        <v>0</v>
      </c>
      <c r="F445" s="357">
        <f t="shared" ref="F445:I445" si="274">SUM(F437:F444)</f>
        <v>0</v>
      </c>
      <c r="G445" s="357">
        <f t="shared" si="274"/>
        <v>0</v>
      </c>
      <c r="H445" s="357">
        <f t="shared" si="274"/>
        <v>0</v>
      </c>
      <c r="I445" s="357">
        <f t="shared" si="274"/>
        <v>0</v>
      </c>
      <c r="J445" s="357">
        <f t="shared" ref="J445:N445" si="275">SUM(J437:J444)</f>
        <v>0</v>
      </c>
      <c r="K445" s="357">
        <f t="shared" si="275"/>
        <v>0</v>
      </c>
      <c r="L445" s="357">
        <f t="shared" si="275"/>
        <v>0</v>
      </c>
      <c r="M445" s="357">
        <f t="shared" si="275"/>
        <v>0</v>
      </c>
      <c r="N445" s="357">
        <f t="shared" si="275"/>
        <v>0</v>
      </c>
      <c r="O445" s="69" t="s">
        <v>1120</v>
      </c>
    </row>
    <row r="446" spans="1:24">
      <c r="S446" s="69" t="s">
        <v>899</v>
      </c>
      <c r="T446" s="69" t="s">
        <v>900</v>
      </c>
      <c r="U446" s="69" t="s">
        <v>901</v>
      </c>
      <c r="V446" s="69" t="s">
        <v>902</v>
      </c>
      <c r="W446" s="69" t="s">
        <v>1284</v>
      </c>
      <c r="X446" s="69" t="s">
        <v>1665</v>
      </c>
    </row>
    <row r="447" spans="1:24" s="217" customFormat="1">
      <c r="D447" s="217" t="s">
        <v>1122</v>
      </c>
      <c r="E447" s="217">
        <f t="shared" ref="E447:N447" si="276">INDEX($S$447:$X$447,1,MATCH(decGTMOrg62Timeline,$S$446:$X$446,0))</f>
        <v>24</v>
      </c>
      <c r="F447" s="217">
        <f t="shared" si="276"/>
        <v>24</v>
      </c>
      <c r="G447" s="217">
        <f t="shared" si="276"/>
        <v>24</v>
      </c>
      <c r="H447" s="217">
        <f t="shared" si="276"/>
        <v>24</v>
      </c>
      <c r="I447" s="217">
        <f t="shared" si="276"/>
        <v>24</v>
      </c>
      <c r="J447" s="217">
        <f t="shared" si="276"/>
        <v>24</v>
      </c>
      <c r="K447" s="217">
        <f t="shared" si="276"/>
        <v>24</v>
      </c>
      <c r="L447" s="217">
        <f t="shared" si="276"/>
        <v>24</v>
      </c>
      <c r="M447" s="217">
        <f t="shared" si="276"/>
        <v>24</v>
      </c>
      <c r="N447" s="217">
        <f t="shared" si="276"/>
        <v>24</v>
      </c>
      <c r="O447" s="217" t="s">
        <v>1121</v>
      </c>
      <c r="S447" s="69">
        <v>3</v>
      </c>
      <c r="T447" s="69">
        <v>6</v>
      </c>
      <c r="U447" s="69">
        <v>9</v>
      </c>
      <c r="V447" s="69">
        <v>12</v>
      </c>
      <c r="W447" s="69">
        <v>15</v>
      </c>
      <c r="X447" s="217">
        <v>24</v>
      </c>
    </row>
    <row r="449" spans="1:20">
      <c r="C449" s="217" t="s">
        <v>1043</v>
      </c>
    </row>
    <row r="450" spans="1:20">
      <c r="D450" s="69" t="s">
        <v>1123</v>
      </c>
      <c r="E450" s="426">
        <f t="shared" ref="E450:N450" si="277">IF(calcOrg62Timeline&lt;=$S450,calcFullOrg62Exp*(1/4),0)</f>
        <v>0</v>
      </c>
      <c r="F450" s="426">
        <f t="shared" si="277"/>
        <v>0</v>
      </c>
      <c r="G450" s="426">
        <f t="shared" si="277"/>
        <v>0</v>
      </c>
      <c r="H450" s="426">
        <f t="shared" si="277"/>
        <v>0</v>
      </c>
      <c r="I450" s="426">
        <f t="shared" si="277"/>
        <v>0</v>
      </c>
      <c r="J450" s="426">
        <f t="shared" si="277"/>
        <v>0</v>
      </c>
      <c r="K450" s="426">
        <f t="shared" si="277"/>
        <v>0</v>
      </c>
      <c r="L450" s="426">
        <f t="shared" si="277"/>
        <v>0</v>
      </c>
      <c r="M450" s="426">
        <f t="shared" si="277"/>
        <v>0</v>
      </c>
      <c r="N450" s="426">
        <f t="shared" si="277"/>
        <v>0</v>
      </c>
      <c r="O450" s="69" t="s">
        <v>1124</v>
      </c>
      <c r="S450" s="69">
        <v>3</v>
      </c>
      <c r="T450" s="69">
        <v>3</v>
      </c>
    </row>
    <row r="451" spans="1:20">
      <c r="D451" s="69" t="s">
        <v>1125</v>
      </c>
      <c r="E451" s="426">
        <f t="shared" ref="E451:N451" si="278">calcFullOrg62Exp-calcQ1Org62Exp</f>
        <v>0</v>
      </c>
      <c r="F451" s="426">
        <f t="shared" si="278"/>
        <v>0</v>
      </c>
      <c r="G451" s="426">
        <f t="shared" si="278"/>
        <v>0</v>
      </c>
      <c r="H451" s="426">
        <f t="shared" si="278"/>
        <v>0</v>
      </c>
      <c r="I451" s="426">
        <f t="shared" si="278"/>
        <v>0</v>
      </c>
      <c r="J451" s="426">
        <f t="shared" si="278"/>
        <v>0</v>
      </c>
      <c r="K451" s="426">
        <f t="shared" si="278"/>
        <v>0</v>
      </c>
      <c r="L451" s="426">
        <f t="shared" si="278"/>
        <v>0</v>
      </c>
      <c r="M451" s="426">
        <f t="shared" si="278"/>
        <v>0</v>
      </c>
      <c r="N451" s="426">
        <f t="shared" si="278"/>
        <v>0</v>
      </c>
      <c r="O451" s="69" t="s">
        <v>1126</v>
      </c>
    </row>
    <row r="452" spans="1:20" customFormat="1">
      <c r="E452" s="26"/>
      <c r="F452" s="26"/>
      <c r="G452" s="26"/>
      <c r="H452" s="26"/>
      <c r="I452" s="26"/>
      <c r="J452" s="26"/>
      <c r="K452" s="26"/>
      <c r="L452" s="26"/>
      <c r="M452" s="26"/>
      <c r="N452" s="26"/>
    </row>
    <row r="453" spans="1:20">
      <c r="D453" s="69" t="s">
        <v>1127</v>
      </c>
      <c r="E453" s="426">
        <f t="shared" ref="E453:N453" si="279">IF(calcOrg62Timeline&lt;=$S453,IF(calcOrg62ExpLeftPostQ1&lt;1,0,calcFullOrg62Exp*(1/4)),0)</f>
        <v>0</v>
      </c>
      <c r="F453" s="426">
        <f t="shared" si="279"/>
        <v>0</v>
      </c>
      <c r="G453" s="426">
        <f t="shared" si="279"/>
        <v>0</v>
      </c>
      <c r="H453" s="426">
        <f t="shared" si="279"/>
        <v>0</v>
      </c>
      <c r="I453" s="426">
        <f t="shared" si="279"/>
        <v>0</v>
      </c>
      <c r="J453" s="426">
        <f t="shared" si="279"/>
        <v>0</v>
      </c>
      <c r="K453" s="426">
        <f t="shared" si="279"/>
        <v>0</v>
      </c>
      <c r="L453" s="426">
        <f t="shared" si="279"/>
        <v>0</v>
      </c>
      <c r="M453" s="426">
        <f t="shared" si="279"/>
        <v>0</v>
      </c>
      <c r="N453" s="426">
        <f t="shared" si="279"/>
        <v>0</v>
      </c>
      <c r="O453" s="69" t="s">
        <v>1128</v>
      </c>
      <c r="S453" s="69">
        <v>6</v>
      </c>
      <c r="T453" s="69">
        <v>3</v>
      </c>
    </row>
    <row r="454" spans="1:20">
      <c r="D454" s="69" t="s">
        <v>1129</v>
      </c>
      <c r="E454" s="426">
        <f t="shared" ref="E454:N454" si="280">calcOrg62ExpLeftPostQ1-calcQ2Org62Exp</f>
        <v>0</v>
      </c>
      <c r="F454" s="426">
        <f t="shared" si="280"/>
        <v>0</v>
      </c>
      <c r="G454" s="426">
        <f t="shared" si="280"/>
        <v>0</v>
      </c>
      <c r="H454" s="426">
        <f t="shared" si="280"/>
        <v>0</v>
      </c>
      <c r="I454" s="426">
        <f t="shared" si="280"/>
        <v>0</v>
      </c>
      <c r="J454" s="426">
        <f t="shared" si="280"/>
        <v>0</v>
      </c>
      <c r="K454" s="426">
        <f t="shared" si="280"/>
        <v>0</v>
      </c>
      <c r="L454" s="426">
        <f t="shared" si="280"/>
        <v>0</v>
      </c>
      <c r="M454" s="426">
        <f t="shared" si="280"/>
        <v>0</v>
      </c>
      <c r="N454" s="426">
        <f t="shared" si="280"/>
        <v>0</v>
      </c>
      <c r="O454" s="69" t="s">
        <v>1130</v>
      </c>
    </row>
    <row r="455" spans="1:20" customFormat="1">
      <c r="E455" s="26"/>
      <c r="F455" s="26"/>
      <c r="G455" s="26"/>
      <c r="H455" s="26"/>
      <c r="I455" s="26"/>
      <c r="J455" s="26"/>
      <c r="K455" s="26"/>
      <c r="L455" s="26"/>
      <c r="M455" s="26"/>
      <c r="N455" s="26"/>
    </row>
    <row r="456" spans="1:20">
      <c r="D456" s="69" t="s">
        <v>1131</v>
      </c>
      <c r="E456" s="426">
        <f t="shared" ref="E456:N456" si="281">IF(calcOrg62Timeline&lt;=$S456,IF(calcOrg62ExpLeftPostQ2&lt;1,0,calcFullOrg62Exp*(1/4)),0)</f>
        <v>0</v>
      </c>
      <c r="F456" s="426">
        <f t="shared" si="281"/>
        <v>0</v>
      </c>
      <c r="G456" s="426">
        <f t="shared" si="281"/>
        <v>0</v>
      </c>
      <c r="H456" s="426">
        <f t="shared" si="281"/>
        <v>0</v>
      </c>
      <c r="I456" s="426">
        <f t="shared" si="281"/>
        <v>0</v>
      </c>
      <c r="J456" s="426">
        <f t="shared" si="281"/>
        <v>0</v>
      </c>
      <c r="K456" s="426">
        <f t="shared" si="281"/>
        <v>0</v>
      </c>
      <c r="L456" s="426">
        <f t="shared" si="281"/>
        <v>0</v>
      </c>
      <c r="M456" s="426">
        <f t="shared" si="281"/>
        <v>0</v>
      </c>
      <c r="N456" s="426">
        <f t="shared" si="281"/>
        <v>0</v>
      </c>
      <c r="O456" s="69" t="s">
        <v>1132</v>
      </c>
      <c r="S456" s="69">
        <v>9</v>
      </c>
      <c r="T456" s="69">
        <v>3</v>
      </c>
    </row>
    <row r="457" spans="1:20">
      <c r="D457" s="69" t="s">
        <v>1133</v>
      </c>
      <c r="E457" s="426">
        <f t="shared" ref="E457:N457" si="282">calcOrg62ExpLeftPostQ2-calcQ3Org62Exp</f>
        <v>0</v>
      </c>
      <c r="F457" s="426">
        <f t="shared" si="282"/>
        <v>0</v>
      </c>
      <c r="G457" s="426">
        <f t="shared" si="282"/>
        <v>0</v>
      </c>
      <c r="H457" s="426">
        <f t="shared" si="282"/>
        <v>0</v>
      </c>
      <c r="I457" s="426">
        <f t="shared" si="282"/>
        <v>0</v>
      </c>
      <c r="J457" s="426">
        <f t="shared" si="282"/>
        <v>0</v>
      </c>
      <c r="K457" s="426">
        <f t="shared" si="282"/>
        <v>0</v>
      </c>
      <c r="L457" s="426">
        <f t="shared" si="282"/>
        <v>0</v>
      </c>
      <c r="M457" s="426">
        <f t="shared" si="282"/>
        <v>0</v>
      </c>
      <c r="N457" s="426">
        <f t="shared" si="282"/>
        <v>0</v>
      </c>
      <c r="O457" s="69" t="s">
        <v>1134</v>
      </c>
    </row>
    <row r="458" spans="1:20" customFormat="1">
      <c r="E458" s="26"/>
      <c r="F458" s="26"/>
      <c r="G458" s="26"/>
      <c r="H458" s="26"/>
      <c r="I458" s="26"/>
      <c r="J458" s="26"/>
      <c r="K458" s="26"/>
      <c r="L458" s="26"/>
      <c r="M458" s="26"/>
      <c r="N458" s="26"/>
    </row>
    <row r="459" spans="1:20">
      <c r="D459" s="69" t="s">
        <v>1135</v>
      </c>
      <c r="E459" s="426">
        <f t="shared" ref="E459:N459" si="283">IF(calcOrg62Timeline&lt;=$S459,IF(calcOrg62ExpLeftPostQ3&lt;1,0,calcFullOrg62Exp*(1/4)),0)</f>
        <v>0</v>
      </c>
      <c r="F459" s="426">
        <f t="shared" si="283"/>
        <v>0</v>
      </c>
      <c r="G459" s="426">
        <f t="shared" si="283"/>
        <v>0</v>
      </c>
      <c r="H459" s="426">
        <f t="shared" si="283"/>
        <v>0</v>
      </c>
      <c r="I459" s="426">
        <f t="shared" si="283"/>
        <v>0</v>
      </c>
      <c r="J459" s="426">
        <f t="shared" si="283"/>
        <v>0</v>
      </c>
      <c r="K459" s="426">
        <f t="shared" si="283"/>
        <v>0</v>
      </c>
      <c r="L459" s="426">
        <f t="shared" si="283"/>
        <v>0</v>
      </c>
      <c r="M459" s="426">
        <f t="shared" si="283"/>
        <v>0</v>
      </c>
      <c r="N459" s="426">
        <f t="shared" si="283"/>
        <v>0</v>
      </c>
      <c r="O459" s="69" t="s">
        <v>1136</v>
      </c>
      <c r="S459" s="69">
        <v>12</v>
      </c>
      <c r="T459" s="69">
        <v>3</v>
      </c>
    </row>
    <row r="460" spans="1:20">
      <c r="D460" s="69" t="s">
        <v>1137</v>
      </c>
      <c r="E460" s="426">
        <f t="shared" ref="E460:N460" si="284">calcOrg62ExpLeftPostQ3-calcQ4Org62Exp</f>
        <v>0</v>
      </c>
      <c r="F460" s="426">
        <f t="shared" si="284"/>
        <v>0</v>
      </c>
      <c r="G460" s="426">
        <f t="shared" si="284"/>
        <v>0</v>
      </c>
      <c r="H460" s="426">
        <f t="shared" si="284"/>
        <v>0</v>
      </c>
      <c r="I460" s="426">
        <f t="shared" si="284"/>
        <v>0</v>
      </c>
      <c r="J460" s="426">
        <f t="shared" si="284"/>
        <v>0</v>
      </c>
      <c r="K460" s="426">
        <f t="shared" si="284"/>
        <v>0</v>
      </c>
      <c r="L460" s="426">
        <f t="shared" si="284"/>
        <v>0</v>
      </c>
      <c r="M460" s="426">
        <f t="shared" si="284"/>
        <v>0</v>
      </c>
      <c r="N460" s="426">
        <f t="shared" si="284"/>
        <v>0</v>
      </c>
      <c r="O460" s="69" t="s">
        <v>1138</v>
      </c>
    </row>
    <row r="461" spans="1:20" s="476" customFormat="1">
      <c r="A461" s="475"/>
    </row>
    <row r="462" spans="1:20">
      <c r="D462" s="69" t="s">
        <v>487</v>
      </c>
      <c r="E462" s="69">
        <f t="shared" ref="E462:N462" si="285">calcOrg62ExpLeftPostQ4</f>
        <v>0</v>
      </c>
      <c r="F462" s="69">
        <f t="shared" si="285"/>
        <v>0</v>
      </c>
      <c r="G462" s="69">
        <f t="shared" si="285"/>
        <v>0</v>
      </c>
      <c r="H462" s="69">
        <f t="shared" si="285"/>
        <v>0</v>
      </c>
      <c r="I462" s="69">
        <f t="shared" si="285"/>
        <v>0</v>
      </c>
      <c r="J462" s="69">
        <f t="shared" si="285"/>
        <v>0</v>
      </c>
      <c r="K462" s="69">
        <f t="shared" si="285"/>
        <v>0</v>
      </c>
      <c r="L462" s="69">
        <f t="shared" si="285"/>
        <v>0</v>
      </c>
      <c r="M462" s="69">
        <f t="shared" si="285"/>
        <v>0</v>
      </c>
      <c r="N462" s="69">
        <f t="shared" si="285"/>
        <v>0</v>
      </c>
      <c r="O462" s="410" t="s">
        <v>1542</v>
      </c>
    </row>
    <row r="464" spans="1:20">
      <c r="C464" s="217" t="s">
        <v>1043</v>
      </c>
    </row>
    <row r="465" spans="1:20">
      <c r="D465" s="69" t="s">
        <v>1420</v>
      </c>
      <c r="E465" s="426">
        <f t="shared" ref="E465:N465" si="286">IF(calcOrg62Timeline&lt;=$S465,IF(calcOrg62ExpLeftPostQ4&lt;1,0,calcFullOrg62Exp*(1/4)),0)</f>
        <v>0</v>
      </c>
      <c r="F465" s="426">
        <f t="shared" si="286"/>
        <v>0</v>
      </c>
      <c r="G465" s="426">
        <f t="shared" si="286"/>
        <v>0</v>
      </c>
      <c r="H465" s="426">
        <f t="shared" si="286"/>
        <v>0</v>
      </c>
      <c r="I465" s="426">
        <f t="shared" si="286"/>
        <v>0</v>
      </c>
      <c r="J465" s="426">
        <f t="shared" si="286"/>
        <v>0</v>
      </c>
      <c r="K465" s="426">
        <f t="shared" si="286"/>
        <v>0</v>
      </c>
      <c r="L465" s="426">
        <f t="shared" si="286"/>
        <v>0</v>
      </c>
      <c r="M465" s="426">
        <f t="shared" si="286"/>
        <v>0</v>
      </c>
      <c r="N465" s="426">
        <f t="shared" si="286"/>
        <v>0</v>
      </c>
      <c r="O465" s="69" t="s">
        <v>1421</v>
      </c>
      <c r="Q465" s="69">
        <f>CHOOSE(xxRound+1,S465,S465,S465,T465)</f>
        <v>15</v>
      </c>
      <c r="S465" s="69">
        <v>15</v>
      </c>
      <c r="T465" s="69">
        <v>3</v>
      </c>
    </row>
    <row r="466" spans="1:20">
      <c r="D466" s="69" t="s">
        <v>1422</v>
      </c>
      <c r="E466" s="426">
        <f t="shared" ref="E466:N466" si="287">calcFullOrg62ExpY2-calcY2Q1Org62Exp</f>
        <v>0</v>
      </c>
      <c r="F466" s="426">
        <f t="shared" si="287"/>
        <v>0</v>
      </c>
      <c r="G466" s="426">
        <f t="shared" si="287"/>
        <v>0</v>
      </c>
      <c r="H466" s="426">
        <f t="shared" si="287"/>
        <v>0</v>
      </c>
      <c r="I466" s="426">
        <f t="shared" si="287"/>
        <v>0</v>
      </c>
      <c r="J466" s="426">
        <f t="shared" si="287"/>
        <v>0</v>
      </c>
      <c r="K466" s="426">
        <f t="shared" si="287"/>
        <v>0</v>
      </c>
      <c r="L466" s="426">
        <f t="shared" si="287"/>
        <v>0</v>
      </c>
      <c r="M466" s="426">
        <f t="shared" si="287"/>
        <v>0</v>
      </c>
      <c r="N466" s="426">
        <f t="shared" si="287"/>
        <v>0</v>
      </c>
      <c r="O466" s="69" t="s">
        <v>1423</v>
      </c>
    </row>
    <row r="467" spans="1:20" customFormat="1">
      <c r="E467" s="26"/>
      <c r="F467" s="26"/>
      <c r="G467" s="26"/>
      <c r="H467" s="26"/>
      <c r="I467" s="26"/>
      <c r="J467" s="26"/>
      <c r="K467" s="26"/>
      <c r="L467" s="26"/>
      <c r="M467" s="26"/>
      <c r="N467" s="26"/>
    </row>
    <row r="468" spans="1:20">
      <c r="D468" s="69" t="s">
        <v>1454</v>
      </c>
      <c r="E468" s="426">
        <f t="shared" ref="E468:N468" si="288">IF(calcOrg62Timeline&lt;=$S468,IF(calcOrg62ExpLeftPostY2Q1&lt;1,0,calcFullOrg62Exp*(1/4)),0)</f>
        <v>0</v>
      </c>
      <c r="F468" s="426">
        <f t="shared" si="288"/>
        <v>0</v>
      </c>
      <c r="G468" s="426">
        <f t="shared" si="288"/>
        <v>0</v>
      </c>
      <c r="H468" s="426">
        <f t="shared" si="288"/>
        <v>0</v>
      </c>
      <c r="I468" s="426">
        <f t="shared" si="288"/>
        <v>0</v>
      </c>
      <c r="J468" s="426">
        <f t="shared" si="288"/>
        <v>0</v>
      </c>
      <c r="K468" s="426">
        <f t="shared" si="288"/>
        <v>0</v>
      </c>
      <c r="L468" s="426">
        <f t="shared" si="288"/>
        <v>0</v>
      </c>
      <c r="M468" s="426">
        <f t="shared" si="288"/>
        <v>0</v>
      </c>
      <c r="N468" s="426">
        <f t="shared" si="288"/>
        <v>0</v>
      </c>
      <c r="O468" s="69" t="s">
        <v>1455</v>
      </c>
      <c r="Q468" s="69">
        <f>CHOOSE(xxRound+1,S468,S468,S468,T468)</f>
        <v>18</v>
      </c>
      <c r="S468" s="69">
        <v>18</v>
      </c>
      <c r="T468" s="69">
        <v>3</v>
      </c>
    </row>
    <row r="469" spans="1:20">
      <c r="D469" s="69" t="s">
        <v>1456</v>
      </c>
      <c r="E469" s="426">
        <f t="shared" ref="E469:N469" si="289">calcOrg62ExpLeftPostY2Q1-calcY2Q2Org62Exp</f>
        <v>0</v>
      </c>
      <c r="F469" s="426">
        <f t="shared" si="289"/>
        <v>0</v>
      </c>
      <c r="G469" s="426">
        <f t="shared" si="289"/>
        <v>0</v>
      </c>
      <c r="H469" s="426">
        <f t="shared" si="289"/>
        <v>0</v>
      </c>
      <c r="I469" s="426">
        <f t="shared" si="289"/>
        <v>0</v>
      </c>
      <c r="J469" s="426">
        <f t="shared" si="289"/>
        <v>0</v>
      </c>
      <c r="K469" s="426">
        <f t="shared" si="289"/>
        <v>0</v>
      </c>
      <c r="L469" s="426">
        <f t="shared" si="289"/>
        <v>0</v>
      </c>
      <c r="M469" s="426">
        <f t="shared" si="289"/>
        <v>0</v>
      </c>
      <c r="N469" s="426">
        <f t="shared" si="289"/>
        <v>0</v>
      </c>
      <c r="O469" s="69" t="s">
        <v>1457</v>
      </c>
    </row>
    <row r="470" spans="1:20" customFormat="1">
      <c r="E470" s="26"/>
      <c r="F470" s="26"/>
      <c r="G470" s="26"/>
      <c r="H470" s="26"/>
      <c r="I470" s="26"/>
      <c r="J470" s="26"/>
      <c r="K470" s="26"/>
      <c r="L470" s="26"/>
      <c r="M470" s="26"/>
      <c r="N470" s="26"/>
    </row>
    <row r="471" spans="1:20">
      <c r="D471" s="69" t="s">
        <v>1488</v>
      </c>
      <c r="E471" s="426">
        <f t="shared" ref="E471:N471" si="290">IF(calcOrg62Timeline&lt;=$S471,IF(calcOrg62ExpLeftPostY2Q2&lt;1,0,calcFullOrg62Exp*(1/4)),0)</f>
        <v>0</v>
      </c>
      <c r="F471" s="426">
        <f t="shared" si="290"/>
        <v>0</v>
      </c>
      <c r="G471" s="426">
        <f t="shared" si="290"/>
        <v>0</v>
      </c>
      <c r="H471" s="426">
        <f t="shared" si="290"/>
        <v>0</v>
      </c>
      <c r="I471" s="426">
        <f t="shared" si="290"/>
        <v>0</v>
      </c>
      <c r="J471" s="426">
        <f t="shared" si="290"/>
        <v>0</v>
      </c>
      <c r="K471" s="426">
        <f t="shared" si="290"/>
        <v>0</v>
      </c>
      <c r="L471" s="426">
        <f t="shared" si="290"/>
        <v>0</v>
      </c>
      <c r="M471" s="426">
        <f t="shared" si="290"/>
        <v>0</v>
      </c>
      <c r="N471" s="426">
        <f t="shared" si="290"/>
        <v>0</v>
      </c>
      <c r="O471" s="69" t="s">
        <v>1489</v>
      </c>
      <c r="Q471" s="69">
        <f>CHOOSE(xxRound+1,S471,S471,S471,T471)</f>
        <v>21</v>
      </c>
      <c r="S471" s="69">
        <v>21</v>
      </c>
      <c r="T471" s="69">
        <v>3</v>
      </c>
    </row>
    <row r="472" spans="1:20">
      <c r="D472" s="69" t="s">
        <v>1490</v>
      </c>
      <c r="E472" s="426">
        <f t="shared" ref="E472:N472" si="291">calcOrg62ExpLeftPostY2Q2-calcY2Q3Org62Exp</f>
        <v>0</v>
      </c>
      <c r="F472" s="426">
        <f t="shared" si="291"/>
        <v>0</v>
      </c>
      <c r="G472" s="426">
        <f t="shared" si="291"/>
        <v>0</v>
      </c>
      <c r="H472" s="426">
        <f t="shared" si="291"/>
        <v>0</v>
      </c>
      <c r="I472" s="426">
        <f t="shared" si="291"/>
        <v>0</v>
      </c>
      <c r="J472" s="426">
        <f t="shared" si="291"/>
        <v>0</v>
      </c>
      <c r="K472" s="426">
        <f t="shared" si="291"/>
        <v>0</v>
      </c>
      <c r="L472" s="426">
        <f t="shared" si="291"/>
        <v>0</v>
      </c>
      <c r="M472" s="426">
        <f t="shared" si="291"/>
        <v>0</v>
      </c>
      <c r="N472" s="426">
        <f t="shared" si="291"/>
        <v>0</v>
      </c>
      <c r="O472" s="69" t="s">
        <v>1491</v>
      </c>
    </row>
    <row r="473" spans="1:20" customFormat="1">
      <c r="E473" s="26"/>
      <c r="F473" s="26"/>
      <c r="G473" s="26"/>
      <c r="H473" s="26"/>
      <c r="I473" s="26"/>
      <c r="J473" s="26"/>
      <c r="K473" s="26"/>
      <c r="L473" s="26"/>
      <c r="M473" s="26"/>
      <c r="N473" s="26"/>
    </row>
    <row r="474" spans="1:20">
      <c r="D474" s="69" t="s">
        <v>1522</v>
      </c>
      <c r="E474" s="426">
        <f t="shared" ref="E474:N474" si="292">IF(calcOrg62Timeline&lt;=$S474,IF(calcOrg62ExpLeftPostY2Q3&lt;1,0,calcFullOrg62Exp*(1/4)),0)</f>
        <v>0</v>
      </c>
      <c r="F474" s="426">
        <f t="shared" si="292"/>
        <v>0</v>
      </c>
      <c r="G474" s="426">
        <f t="shared" si="292"/>
        <v>0</v>
      </c>
      <c r="H474" s="426">
        <f t="shared" si="292"/>
        <v>0</v>
      </c>
      <c r="I474" s="426">
        <f t="shared" si="292"/>
        <v>0</v>
      </c>
      <c r="J474" s="426">
        <f t="shared" si="292"/>
        <v>0</v>
      </c>
      <c r="K474" s="426">
        <f t="shared" si="292"/>
        <v>0</v>
      </c>
      <c r="L474" s="426">
        <f t="shared" si="292"/>
        <v>0</v>
      </c>
      <c r="M474" s="426">
        <f t="shared" si="292"/>
        <v>0</v>
      </c>
      <c r="N474" s="426">
        <f t="shared" si="292"/>
        <v>0</v>
      </c>
      <c r="O474" s="69" t="s">
        <v>1523</v>
      </c>
      <c r="Q474" s="69">
        <f>CHOOSE(xxRound+1,S474,S474,S474,T474)</f>
        <v>24</v>
      </c>
      <c r="S474" s="69">
        <v>24</v>
      </c>
      <c r="T474" s="69">
        <v>3</v>
      </c>
    </row>
    <row r="475" spans="1:20">
      <c r="D475" s="69" t="s">
        <v>1524</v>
      </c>
      <c r="E475" s="426">
        <f t="shared" ref="E475:N475" si="293">calcOrg62ExpLeftPostY2Q3-calcY2Q4Org62Exp</f>
        <v>0</v>
      </c>
      <c r="F475" s="426">
        <f t="shared" si="293"/>
        <v>0</v>
      </c>
      <c r="G475" s="426">
        <f t="shared" si="293"/>
        <v>0</v>
      </c>
      <c r="H475" s="426">
        <f t="shared" si="293"/>
        <v>0</v>
      </c>
      <c r="I475" s="426">
        <f t="shared" si="293"/>
        <v>0</v>
      </c>
      <c r="J475" s="426">
        <f t="shared" si="293"/>
        <v>0</v>
      </c>
      <c r="K475" s="426">
        <f t="shared" si="293"/>
        <v>0</v>
      </c>
      <c r="L475" s="426">
        <f t="shared" si="293"/>
        <v>0</v>
      </c>
      <c r="M475" s="426">
        <f t="shared" si="293"/>
        <v>0</v>
      </c>
      <c r="N475" s="426">
        <f t="shared" si="293"/>
        <v>0</v>
      </c>
      <c r="O475" s="69" t="s">
        <v>1525</v>
      </c>
    </row>
    <row r="476" spans="1:20">
      <c r="E476" s="426"/>
      <c r="F476" s="426"/>
      <c r="G476" s="426"/>
      <c r="H476" s="426"/>
      <c r="I476" s="426"/>
      <c r="J476" s="426"/>
      <c r="K476" s="426"/>
      <c r="L476" s="426"/>
      <c r="M476" s="426"/>
      <c r="N476" s="426"/>
    </row>
    <row r="477" spans="1:20" s="528" customFormat="1">
      <c r="A477" s="527" t="s">
        <v>1971</v>
      </c>
    </row>
    <row r="478" spans="1:20" s="410" customFormat="1">
      <c r="D478" s="410" t="s">
        <v>1064</v>
      </c>
      <c r="E478" s="410">
        <f>IF(decProductStackFocus="Choose",0,INDEX(datatblStackFocusImpact,MATCH(decProductStackFocus,Data!$C$96:$C$101,0),5))</f>
        <v>0</v>
      </c>
      <c r="F478" s="410">
        <f>IF(decProductStackFocus="Choose",0,INDEX(datatblStackFocusImpact,MATCH(decProductStackFocus,Data!$C$96:$C$101,0),5))</f>
        <v>0</v>
      </c>
      <c r="G478" s="410">
        <f>IF(decProductStackFocus="Choose",0,INDEX(datatblStackFocusImpact,MATCH(decProductStackFocus,Data!$C$96:$C$101,0),5))</f>
        <v>0</v>
      </c>
      <c r="H478" s="410">
        <f>IF(decProductStackFocus="Choose",0,INDEX(datatblStackFocusImpact,MATCH(decProductStackFocus,Data!$C$96:$C$101,0),5))</f>
        <v>0</v>
      </c>
      <c r="I478" s="410">
        <f>IF(decProductStackFocus="Choose",0,INDEX(datatblStackFocusImpact,MATCH(decProductStackFocus,Data!$C$96:$C$101,0),5))</f>
        <v>0</v>
      </c>
      <c r="J478" s="410">
        <f>IF(decProductStackFocus="Choose",0,INDEX(datatblStackFocusImpact,MATCH(decProductStackFocus,Data!$C$96:$C$101,0),5))</f>
        <v>0</v>
      </c>
      <c r="K478" s="410">
        <f>IF(decProductStackFocus="Choose",0,INDEX(datatblStackFocusImpact,MATCH(decProductStackFocus,Data!$C$96:$C$101,0),5))</f>
        <v>0</v>
      </c>
      <c r="L478" s="410">
        <f>IF(decProductStackFocus="Choose",0,INDEX(datatblStackFocusImpact,MATCH(decProductStackFocus,Data!$C$96:$C$101,0),5))</f>
        <v>0</v>
      </c>
      <c r="M478" s="410">
        <f>IF(decProductStackFocus="Choose",0,INDEX(datatblStackFocusImpact,MATCH(decProductStackFocus,Data!$C$96:$C$101,0),5))</f>
        <v>0</v>
      </c>
      <c r="N478" s="410">
        <f>IF(decProductStackFocus="Choose",0,INDEX(datatblStackFocusImpact,MATCH(decProductStackFocus,Data!$C$96:$C$101,0),5))</f>
        <v>0</v>
      </c>
    </row>
    <row r="480" spans="1:20" s="217" customFormat="1">
      <c r="D480" s="217" t="s">
        <v>1158</v>
      </c>
      <c r="E480" s="217">
        <f>SUM(E478:E479)</f>
        <v>0</v>
      </c>
      <c r="F480" s="217">
        <f t="shared" ref="F480:I480" si="294">SUM(F478:F479)</f>
        <v>0</v>
      </c>
      <c r="G480" s="217">
        <f t="shared" si="294"/>
        <v>0</v>
      </c>
      <c r="H480" s="217">
        <f t="shared" si="294"/>
        <v>0</v>
      </c>
      <c r="I480" s="217">
        <f t="shared" si="294"/>
        <v>0</v>
      </c>
      <c r="J480" s="217">
        <f t="shared" ref="J480:N480" si="295">SUM(J478:J479)</f>
        <v>0</v>
      </c>
      <c r="K480" s="217">
        <f t="shared" si="295"/>
        <v>0</v>
      </c>
      <c r="L480" s="217">
        <f t="shared" si="295"/>
        <v>0</v>
      </c>
      <c r="M480" s="217">
        <f t="shared" si="295"/>
        <v>0</v>
      </c>
      <c r="N480" s="217">
        <f t="shared" si="295"/>
        <v>0</v>
      </c>
      <c r="O480" s="217" t="s">
        <v>1157</v>
      </c>
    </row>
    <row r="482" spans="3:20">
      <c r="D482" s="69" t="s">
        <v>1307</v>
      </c>
      <c r="E482" s="69">
        <f t="shared" ref="E482:N482" si="296">calcProductTimeline</f>
        <v>27</v>
      </c>
      <c r="F482" s="69">
        <f t="shared" si="296"/>
        <v>27</v>
      </c>
      <c r="G482" s="69">
        <f t="shared" si="296"/>
        <v>27</v>
      </c>
      <c r="H482" s="69">
        <f t="shared" si="296"/>
        <v>27</v>
      </c>
      <c r="I482" s="69">
        <f t="shared" si="296"/>
        <v>27</v>
      </c>
      <c r="J482" s="69">
        <f t="shared" si="296"/>
        <v>27</v>
      </c>
      <c r="K482" s="69">
        <f t="shared" si="296"/>
        <v>27</v>
      </c>
      <c r="L482" s="69">
        <f t="shared" si="296"/>
        <v>27</v>
      </c>
      <c r="M482" s="69">
        <f t="shared" si="296"/>
        <v>27</v>
      </c>
      <c r="N482" s="69">
        <f t="shared" si="296"/>
        <v>27</v>
      </c>
      <c r="O482" s="69" t="s">
        <v>1176</v>
      </c>
    </row>
    <row r="484" spans="3:20">
      <c r="C484" s="217" t="s">
        <v>1043</v>
      </c>
    </row>
    <row r="485" spans="3:20">
      <c r="D485" s="69" t="s">
        <v>1160</v>
      </c>
      <c r="E485" s="426">
        <f t="shared" ref="E485:N485" si="297">calcFullStackExp*(1/calcStackTimeline)*$S485</f>
        <v>0</v>
      </c>
      <c r="F485" s="426">
        <f t="shared" si="297"/>
        <v>0</v>
      </c>
      <c r="G485" s="426">
        <f t="shared" si="297"/>
        <v>0</v>
      </c>
      <c r="H485" s="426">
        <f t="shared" si="297"/>
        <v>0</v>
      </c>
      <c r="I485" s="426">
        <f t="shared" si="297"/>
        <v>0</v>
      </c>
      <c r="J485" s="426">
        <f t="shared" si="297"/>
        <v>0</v>
      </c>
      <c r="K485" s="426">
        <f t="shared" si="297"/>
        <v>0</v>
      </c>
      <c r="L485" s="426">
        <f t="shared" si="297"/>
        <v>0</v>
      </c>
      <c r="M485" s="426">
        <f t="shared" si="297"/>
        <v>0</v>
      </c>
      <c r="N485" s="426">
        <f t="shared" si="297"/>
        <v>0</v>
      </c>
      <c r="O485" s="69" t="s">
        <v>1161</v>
      </c>
      <c r="Q485" s="69">
        <f>CHOOSE(xxRound+1,S485,S485,S485,T485)</f>
        <v>3</v>
      </c>
      <c r="S485" s="69">
        <v>3</v>
      </c>
      <c r="T485" s="69">
        <v>3</v>
      </c>
    </row>
    <row r="486" spans="3:20">
      <c r="D486" s="69" t="s">
        <v>1162</v>
      </c>
      <c r="E486" s="426">
        <f t="shared" ref="E486:N486" si="298">calcFullStackExp-calcQ1StackExp</f>
        <v>0</v>
      </c>
      <c r="F486" s="426">
        <f t="shared" si="298"/>
        <v>0</v>
      </c>
      <c r="G486" s="426">
        <f t="shared" si="298"/>
        <v>0</v>
      </c>
      <c r="H486" s="426">
        <f t="shared" si="298"/>
        <v>0</v>
      </c>
      <c r="I486" s="426">
        <f t="shared" si="298"/>
        <v>0</v>
      </c>
      <c r="J486" s="426">
        <f t="shared" si="298"/>
        <v>0</v>
      </c>
      <c r="K486" s="426">
        <f t="shared" si="298"/>
        <v>0</v>
      </c>
      <c r="L486" s="426">
        <f t="shared" si="298"/>
        <v>0</v>
      </c>
      <c r="M486" s="426">
        <f t="shared" si="298"/>
        <v>0</v>
      </c>
      <c r="N486" s="426">
        <f t="shared" si="298"/>
        <v>0</v>
      </c>
      <c r="O486" s="69" t="s">
        <v>1163</v>
      </c>
    </row>
    <row r="487" spans="3:20" customFormat="1">
      <c r="E487" s="26"/>
      <c r="F487" s="26"/>
      <c r="G487" s="26"/>
      <c r="H487" s="26"/>
      <c r="I487" s="26"/>
      <c r="J487" s="26"/>
      <c r="K487" s="26"/>
      <c r="L487" s="26"/>
      <c r="M487" s="26"/>
      <c r="N487" s="26"/>
    </row>
    <row r="488" spans="3:20">
      <c r="D488" s="69" t="s">
        <v>1164</v>
      </c>
      <c r="E488" s="426">
        <f t="shared" ref="E488:N488" si="299">IF(calcStackExpLeftPostQ1&lt;1,0,calcFullStackExp*(1/calcStackTimeline)*$S488)</f>
        <v>0</v>
      </c>
      <c r="F488" s="426">
        <f t="shared" si="299"/>
        <v>0</v>
      </c>
      <c r="G488" s="426">
        <f t="shared" si="299"/>
        <v>0</v>
      </c>
      <c r="H488" s="426">
        <f t="shared" si="299"/>
        <v>0</v>
      </c>
      <c r="I488" s="426">
        <f t="shared" si="299"/>
        <v>0</v>
      </c>
      <c r="J488" s="426">
        <f t="shared" si="299"/>
        <v>0</v>
      </c>
      <c r="K488" s="426">
        <f t="shared" si="299"/>
        <v>0</v>
      </c>
      <c r="L488" s="426">
        <f t="shared" si="299"/>
        <v>0</v>
      </c>
      <c r="M488" s="426">
        <f t="shared" si="299"/>
        <v>0</v>
      </c>
      <c r="N488" s="426">
        <f t="shared" si="299"/>
        <v>0</v>
      </c>
      <c r="O488" s="69" t="s">
        <v>1165</v>
      </c>
      <c r="Q488" s="69">
        <f>CHOOSE(xxRound+1,S488,S488,S488,T488)</f>
        <v>3</v>
      </c>
      <c r="S488" s="69">
        <v>3</v>
      </c>
      <c r="T488" s="69">
        <v>3</v>
      </c>
    </row>
    <row r="489" spans="3:20">
      <c r="D489" s="69" t="s">
        <v>1166</v>
      </c>
      <c r="E489" s="426">
        <f t="shared" ref="E489:N489" si="300">calcStackExpLeftPostQ1-calcQ2StackExp</f>
        <v>0</v>
      </c>
      <c r="F489" s="426">
        <f t="shared" si="300"/>
        <v>0</v>
      </c>
      <c r="G489" s="426">
        <f t="shared" si="300"/>
        <v>0</v>
      </c>
      <c r="H489" s="426">
        <f t="shared" si="300"/>
        <v>0</v>
      </c>
      <c r="I489" s="426">
        <f t="shared" si="300"/>
        <v>0</v>
      </c>
      <c r="J489" s="426">
        <f t="shared" si="300"/>
        <v>0</v>
      </c>
      <c r="K489" s="426">
        <f t="shared" si="300"/>
        <v>0</v>
      </c>
      <c r="L489" s="426">
        <f t="shared" si="300"/>
        <v>0</v>
      </c>
      <c r="M489" s="426">
        <f t="shared" si="300"/>
        <v>0</v>
      </c>
      <c r="N489" s="426">
        <f t="shared" si="300"/>
        <v>0</v>
      </c>
      <c r="O489" s="69" t="s">
        <v>1167</v>
      </c>
    </row>
    <row r="490" spans="3:20" customFormat="1">
      <c r="E490" s="26"/>
      <c r="F490" s="26"/>
      <c r="G490" s="26"/>
      <c r="H490" s="26"/>
      <c r="I490" s="26"/>
      <c r="J490" s="26"/>
      <c r="K490" s="26"/>
      <c r="L490" s="26"/>
      <c r="M490" s="26"/>
      <c r="N490" s="26"/>
    </row>
    <row r="491" spans="3:20">
      <c r="D491" s="69" t="s">
        <v>1168</v>
      </c>
      <c r="E491" s="426">
        <f t="shared" ref="E491:N491" si="301">IF(calcStackExpLeftPostQ2&lt;1,0,calcFullStackExp*(1/calcStackTimeline)*$S491)</f>
        <v>0</v>
      </c>
      <c r="F491" s="426">
        <f t="shared" si="301"/>
        <v>0</v>
      </c>
      <c r="G491" s="426">
        <f t="shared" si="301"/>
        <v>0</v>
      </c>
      <c r="H491" s="426">
        <f t="shared" si="301"/>
        <v>0</v>
      </c>
      <c r="I491" s="426">
        <f t="shared" si="301"/>
        <v>0</v>
      </c>
      <c r="J491" s="426">
        <f t="shared" si="301"/>
        <v>0</v>
      </c>
      <c r="K491" s="426">
        <f t="shared" si="301"/>
        <v>0</v>
      </c>
      <c r="L491" s="426">
        <f t="shared" si="301"/>
        <v>0</v>
      </c>
      <c r="M491" s="426">
        <f t="shared" si="301"/>
        <v>0</v>
      </c>
      <c r="N491" s="426">
        <f t="shared" si="301"/>
        <v>0</v>
      </c>
      <c r="O491" s="69" t="s">
        <v>1169</v>
      </c>
      <c r="Q491" s="69">
        <f>CHOOSE(xxRound+1,S491,S491,S491,T491)</f>
        <v>3</v>
      </c>
      <c r="S491" s="69">
        <v>3</v>
      </c>
      <c r="T491" s="69">
        <v>3</v>
      </c>
    </row>
    <row r="492" spans="3:20">
      <c r="D492" s="69" t="s">
        <v>1170</v>
      </c>
      <c r="E492" s="426">
        <f t="shared" ref="E492:N492" si="302">calcStackExpLeftPostQ2-calcQ3StackExp</f>
        <v>0</v>
      </c>
      <c r="F492" s="426">
        <f t="shared" si="302"/>
        <v>0</v>
      </c>
      <c r="G492" s="426">
        <f t="shared" si="302"/>
        <v>0</v>
      </c>
      <c r="H492" s="426">
        <f t="shared" si="302"/>
        <v>0</v>
      </c>
      <c r="I492" s="426">
        <f t="shared" si="302"/>
        <v>0</v>
      </c>
      <c r="J492" s="426">
        <f t="shared" si="302"/>
        <v>0</v>
      </c>
      <c r="K492" s="426">
        <f t="shared" si="302"/>
        <v>0</v>
      </c>
      <c r="L492" s="426">
        <f t="shared" si="302"/>
        <v>0</v>
      </c>
      <c r="M492" s="426">
        <f t="shared" si="302"/>
        <v>0</v>
      </c>
      <c r="N492" s="426">
        <f t="shared" si="302"/>
        <v>0</v>
      </c>
      <c r="O492" s="69" t="s">
        <v>1171</v>
      </c>
    </row>
    <row r="493" spans="3:20" customFormat="1">
      <c r="E493" s="26"/>
      <c r="F493" s="26"/>
      <c r="G493" s="26"/>
      <c r="H493" s="26"/>
      <c r="I493" s="26"/>
      <c r="J493" s="26"/>
      <c r="K493" s="26"/>
      <c r="L493" s="26"/>
      <c r="M493" s="26"/>
      <c r="N493" s="26"/>
    </row>
    <row r="494" spans="3:20">
      <c r="D494" s="69" t="s">
        <v>1172</v>
      </c>
      <c r="E494" s="426">
        <f t="shared" ref="E494:N494" si="303">IF(calcStackExpLeftPostQ3&lt;1,0,calcFullStackExp*(1/calcStackTimeline)*$S494)</f>
        <v>0</v>
      </c>
      <c r="F494" s="426">
        <f t="shared" si="303"/>
        <v>0</v>
      </c>
      <c r="G494" s="426">
        <f t="shared" si="303"/>
        <v>0</v>
      </c>
      <c r="H494" s="426">
        <f t="shared" si="303"/>
        <v>0</v>
      </c>
      <c r="I494" s="426">
        <f t="shared" si="303"/>
        <v>0</v>
      </c>
      <c r="J494" s="426">
        <f t="shared" si="303"/>
        <v>0</v>
      </c>
      <c r="K494" s="426">
        <f t="shared" si="303"/>
        <v>0</v>
      </c>
      <c r="L494" s="426">
        <f t="shared" si="303"/>
        <v>0</v>
      </c>
      <c r="M494" s="426">
        <f t="shared" si="303"/>
        <v>0</v>
      </c>
      <c r="N494" s="426">
        <f t="shared" si="303"/>
        <v>0</v>
      </c>
      <c r="O494" s="69" t="s">
        <v>1173</v>
      </c>
      <c r="Q494" s="69">
        <f>CHOOSE(xxRound+1,S494,S494,S494,T494)</f>
        <v>3</v>
      </c>
      <c r="S494" s="69">
        <v>3</v>
      </c>
      <c r="T494" s="69">
        <v>3</v>
      </c>
    </row>
    <row r="495" spans="3:20">
      <c r="D495" s="69" t="s">
        <v>1174</v>
      </c>
      <c r="E495" s="426">
        <f t="shared" ref="E495:N495" si="304">calcStackExpLeftPostQ3-calcQ4StackExp</f>
        <v>0</v>
      </c>
      <c r="F495" s="426">
        <f t="shared" si="304"/>
        <v>0</v>
      </c>
      <c r="G495" s="426">
        <f t="shared" si="304"/>
        <v>0</v>
      </c>
      <c r="H495" s="426">
        <f t="shared" si="304"/>
        <v>0</v>
      </c>
      <c r="I495" s="426">
        <f t="shared" si="304"/>
        <v>0</v>
      </c>
      <c r="J495" s="426">
        <f t="shared" si="304"/>
        <v>0</v>
      </c>
      <c r="K495" s="426">
        <f t="shared" si="304"/>
        <v>0</v>
      </c>
      <c r="L495" s="426">
        <f t="shared" si="304"/>
        <v>0</v>
      </c>
      <c r="M495" s="426">
        <f t="shared" si="304"/>
        <v>0</v>
      </c>
      <c r="N495" s="426">
        <f t="shared" si="304"/>
        <v>0</v>
      </c>
      <c r="O495" s="69" t="s">
        <v>1175</v>
      </c>
    </row>
    <row r="497" spans="1:20">
      <c r="A497" s="217"/>
    </row>
    <row r="498" spans="1:20" s="217" customFormat="1">
      <c r="D498" s="217" t="s">
        <v>1158</v>
      </c>
      <c r="E498" s="217">
        <f t="shared" ref="E498:N498" si="305">calcStackExpLeftPostQ4</f>
        <v>0</v>
      </c>
      <c r="F498" s="217">
        <f t="shared" si="305"/>
        <v>0</v>
      </c>
      <c r="G498" s="217">
        <f t="shared" si="305"/>
        <v>0</v>
      </c>
      <c r="H498" s="217">
        <f t="shared" si="305"/>
        <v>0</v>
      </c>
      <c r="I498" s="217">
        <f t="shared" si="305"/>
        <v>0</v>
      </c>
      <c r="J498" s="217">
        <f t="shared" si="305"/>
        <v>0</v>
      </c>
      <c r="K498" s="217">
        <f t="shared" si="305"/>
        <v>0</v>
      </c>
      <c r="L498" s="217">
        <f t="shared" si="305"/>
        <v>0</v>
      </c>
      <c r="M498" s="217">
        <f t="shared" si="305"/>
        <v>0</v>
      </c>
      <c r="N498" s="217">
        <f t="shared" si="305"/>
        <v>0</v>
      </c>
      <c r="O498" s="69" t="s">
        <v>1543</v>
      </c>
    </row>
    <row r="500" spans="1:20">
      <c r="C500" s="217" t="s">
        <v>1043</v>
      </c>
    </row>
    <row r="501" spans="1:20">
      <c r="D501" s="69" t="s">
        <v>1424</v>
      </c>
      <c r="E501" s="426">
        <f t="shared" ref="E501:N501" si="306">IF(calcStackExpLeftPostQ4&lt;1,0,calcFullStackExp*(1/calcStackTimeline)*$S501)</f>
        <v>0</v>
      </c>
      <c r="F501" s="426">
        <f t="shared" si="306"/>
        <v>0</v>
      </c>
      <c r="G501" s="426">
        <f t="shared" si="306"/>
        <v>0</v>
      </c>
      <c r="H501" s="426">
        <f t="shared" si="306"/>
        <v>0</v>
      </c>
      <c r="I501" s="426">
        <f t="shared" si="306"/>
        <v>0</v>
      </c>
      <c r="J501" s="426">
        <f t="shared" si="306"/>
        <v>0</v>
      </c>
      <c r="K501" s="426">
        <f t="shared" si="306"/>
        <v>0</v>
      </c>
      <c r="L501" s="426">
        <f t="shared" si="306"/>
        <v>0</v>
      </c>
      <c r="M501" s="426">
        <f t="shared" si="306"/>
        <v>0</v>
      </c>
      <c r="N501" s="426">
        <f t="shared" si="306"/>
        <v>0</v>
      </c>
      <c r="O501" s="69" t="s">
        <v>1425</v>
      </c>
      <c r="Q501" s="69">
        <f>CHOOSE(xxRound+1,S501,S501,S501,T501)</f>
        <v>3</v>
      </c>
      <c r="S501" s="69">
        <v>3</v>
      </c>
      <c r="T501" s="69">
        <v>3</v>
      </c>
    </row>
    <row r="502" spans="1:20">
      <c r="D502" s="69" t="s">
        <v>1426</v>
      </c>
      <c r="E502" s="426">
        <f t="shared" ref="E502:N502" si="307">calcFullStackExpY2-calcY2Q1StackExp</f>
        <v>0</v>
      </c>
      <c r="F502" s="426">
        <f t="shared" si="307"/>
        <v>0</v>
      </c>
      <c r="G502" s="426">
        <f t="shared" si="307"/>
        <v>0</v>
      </c>
      <c r="H502" s="426">
        <f t="shared" si="307"/>
        <v>0</v>
      </c>
      <c r="I502" s="426">
        <f t="shared" si="307"/>
        <v>0</v>
      </c>
      <c r="J502" s="426">
        <f t="shared" si="307"/>
        <v>0</v>
      </c>
      <c r="K502" s="426">
        <f t="shared" si="307"/>
        <v>0</v>
      </c>
      <c r="L502" s="426">
        <f t="shared" si="307"/>
        <v>0</v>
      </c>
      <c r="M502" s="426">
        <f t="shared" si="307"/>
        <v>0</v>
      </c>
      <c r="N502" s="426">
        <f t="shared" si="307"/>
        <v>0</v>
      </c>
      <c r="O502" s="69" t="s">
        <v>1427</v>
      </c>
    </row>
    <row r="503" spans="1:20" customFormat="1">
      <c r="E503" s="26"/>
      <c r="F503" s="26"/>
      <c r="G503" s="26"/>
      <c r="H503" s="26"/>
      <c r="I503" s="26"/>
      <c r="J503" s="26"/>
      <c r="K503" s="26"/>
      <c r="L503" s="26"/>
      <c r="M503" s="26"/>
      <c r="N503" s="26"/>
    </row>
    <row r="504" spans="1:20">
      <c r="D504" s="69" t="s">
        <v>1458</v>
      </c>
      <c r="E504" s="426">
        <f t="shared" ref="E504:N504" si="308">IF(calcStackExpLeftPostY2Q1&lt;1,0,calcFullStackExp*(1/calcStackTimeline)*$S504)</f>
        <v>0</v>
      </c>
      <c r="F504" s="426">
        <f t="shared" si="308"/>
        <v>0</v>
      </c>
      <c r="G504" s="426">
        <f t="shared" si="308"/>
        <v>0</v>
      </c>
      <c r="H504" s="426">
        <f t="shared" si="308"/>
        <v>0</v>
      </c>
      <c r="I504" s="426">
        <f t="shared" si="308"/>
        <v>0</v>
      </c>
      <c r="J504" s="426">
        <f t="shared" si="308"/>
        <v>0</v>
      </c>
      <c r="K504" s="426">
        <f t="shared" si="308"/>
        <v>0</v>
      </c>
      <c r="L504" s="426">
        <f t="shared" si="308"/>
        <v>0</v>
      </c>
      <c r="M504" s="426">
        <f t="shared" si="308"/>
        <v>0</v>
      </c>
      <c r="N504" s="426">
        <f t="shared" si="308"/>
        <v>0</v>
      </c>
      <c r="O504" s="69" t="s">
        <v>1459</v>
      </c>
      <c r="Q504" s="69">
        <f>CHOOSE(xxRound+1,S504,S504,S504,T504)</f>
        <v>3</v>
      </c>
      <c r="S504" s="69">
        <v>3</v>
      </c>
      <c r="T504" s="69">
        <v>3</v>
      </c>
    </row>
    <row r="505" spans="1:20">
      <c r="D505" s="69" t="s">
        <v>1460</v>
      </c>
      <c r="E505" s="426">
        <f t="shared" ref="E505:N505" si="309">calcStackExpLeftPostY2Q1-calcY2Q2StackExp</f>
        <v>0</v>
      </c>
      <c r="F505" s="426">
        <f t="shared" si="309"/>
        <v>0</v>
      </c>
      <c r="G505" s="426">
        <f t="shared" si="309"/>
        <v>0</v>
      </c>
      <c r="H505" s="426">
        <f t="shared" si="309"/>
        <v>0</v>
      </c>
      <c r="I505" s="426">
        <f t="shared" si="309"/>
        <v>0</v>
      </c>
      <c r="J505" s="426">
        <f t="shared" si="309"/>
        <v>0</v>
      </c>
      <c r="K505" s="426">
        <f t="shared" si="309"/>
        <v>0</v>
      </c>
      <c r="L505" s="426">
        <f t="shared" si="309"/>
        <v>0</v>
      </c>
      <c r="M505" s="426">
        <f t="shared" si="309"/>
        <v>0</v>
      </c>
      <c r="N505" s="426">
        <f t="shared" si="309"/>
        <v>0</v>
      </c>
      <c r="O505" s="69" t="s">
        <v>1461</v>
      </c>
    </row>
    <row r="506" spans="1:20" customFormat="1">
      <c r="E506" s="26"/>
      <c r="F506" s="26"/>
      <c r="G506" s="26"/>
      <c r="H506" s="26"/>
      <c r="I506" s="26"/>
      <c r="J506" s="26"/>
      <c r="K506" s="26"/>
      <c r="L506" s="26"/>
      <c r="M506" s="26"/>
      <c r="N506" s="26"/>
    </row>
    <row r="507" spans="1:20">
      <c r="D507" s="69" t="s">
        <v>1492</v>
      </c>
      <c r="E507" s="426">
        <f t="shared" ref="E507:N507" si="310">IF(calcStackExpLeftPostY2Q2&lt;1,0,calcFullStackExp*(1/calcStackTimeline)*$S507)</f>
        <v>0</v>
      </c>
      <c r="F507" s="426">
        <f t="shared" si="310"/>
        <v>0</v>
      </c>
      <c r="G507" s="426">
        <f t="shared" si="310"/>
        <v>0</v>
      </c>
      <c r="H507" s="426">
        <f t="shared" si="310"/>
        <v>0</v>
      </c>
      <c r="I507" s="426">
        <f t="shared" si="310"/>
        <v>0</v>
      </c>
      <c r="J507" s="426">
        <f t="shared" si="310"/>
        <v>0</v>
      </c>
      <c r="K507" s="426">
        <f t="shared" si="310"/>
        <v>0</v>
      </c>
      <c r="L507" s="426">
        <f t="shared" si="310"/>
        <v>0</v>
      </c>
      <c r="M507" s="426">
        <f t="shared" si="310"/>
        <v>0</v>
      </c>
      <c r="N507" s="426">
        <f t="shared" si="310"/>
        <v>0</v>
      </c>
      <c r="O507" s="69" t="s">
        <v>1493</v>
      </c>
      <c r="Q507" s="69">
        <f>CHOOSE(xxRound+1,S507,S507,S507,T507)</f>
        <v>3</v>
      </c>
      <c r="S507" s="69">
        <v>3</v>
      </c>
      <c r="T507" s="69">
        <v>3</v>
      </c>
    </row>
    <row r="508" spans="1:20">
      <c r="D508" s="69" t="s">
        <v>1494</v>
      </c>
      <c r="E508" s="426">
        <f t="shared" ref="E508:N508" si="311">calcStackExpLeftPostY2Q2-calcY2Q3StackExp</f>
        <v>0</v>
      </c>
      <c r="F508" s="426">
        <f t="shared" si="311"/>
        <v>0</v>
      </c>
      <c r="G508" s="426">
        <f t="shared" si="311"/>
        <v>0</v>
      </c>
      <c r="H508" s="426">
        <f t="shared" si="311"/>
        <v>0</v>
      </c>
      <c r="I508" s="426">
        <f t="shared" si="311"/>
        <v>0</v>
      </c>
      <c r="J508" s="426">
        <f t="shared" si="311"/>
        <v>0</v>
      </c>
      <c r="K508" s="426">
        <f t="shared" si="311"/>
        <v>0</v>
      </c>
      <c r="L508" s="426">
        <f t="shared" si="311"/>
        <v>0</v>
      </c>
      <c r="M508" s="426">
        <f t="shared" si="311"/>
        <v>0</v>
      </c>
      <c r="N508" s="426">
        <f t="shared" si="311"/>
        <v>0</v>
      </c>
      <c r="O508" s="69" t="s">
        <v>1495</v>
      </c>
    </row>
    <row r="509" spans="1:20" customFormat="1">
      <c r="E509" s="26"/>
      <c r="F509" s="26"/>
      <c r="G509" s="26"/>
      <c r="H509" s="26"/>
      <c r="I509" s="26"/>
      <c r="J509" s="26"/>
      <c r="K509" s="26"/>
      <c r="L509" s="26"/>
      <c r="M509" s="26"/>
      <c r="N509" s="26"/>
    </row>
    <row r="510" spans="1:20">
      <c r="D510" s="69" t="s">
        <v>1526</v>
      </c>
      <c r="E510" s="426">
        <f t="shared" ref="E510:N510" si="312">IF(calcStackExpLeftPostY2Q3&lt;1,0,calcFullStackExp*(1/calcStackTimeline)*$S510)</f>
        <v>0</v>
      </c>
      <c r="F510" s="426">
        <f t="shared" si="312"/>
        <v>0</v>
      </c>
      <c r="G510" s="426">
        <f t="shared" si="312"/>
        <v>0</v>
      </c>
      <c r="H510" s="426">
        <f t="shared" si="312"/>
        <v>0</v>
      </c>
      <c r="I510" s="426">
        <f t="shared" si="312"/>
        <v>0</v>
      </c>
      <c r="J510" s="426">
        <f t="shared" si="312"/>
        <v>0</v>
      </c>
      <c r="K510" s="426">
        <f t="shared" si="312"/>
        <v>0</v>
      </c>
      <c r="L510" s="426">
        <f t="shared" si="312"/>
        <v>0</v>
      </c>
      <c r="M510" s="426">
        <f t="shared" si="312"/>
        <v>0</v>
      </c>
      <c r="N510" s="426">
        <f t="shared" si="312"/>
        <v>0</v>
      </c>
      <c r="O510" s="69" t="s">
        <v>1527</v>
      </c>
      <c r="Q510" s="69">
        <f>CHOOSE(xxRound+1,S510,S510,S510,T510)</f>
        <v>3</v>
      </c>
      <c r="S510" s="69">
        <v>3</v>
      </c>
      <c r="T510" s="69">
        <v>3</v>
      </c>
    </row>
    <row r="511" spans="1:20">
      <c r="D511" s="69" t="s">
        <v>1528</v>
      </c>
      <c r="E511" s="426">
        <f t="shared" ref="E511:N511" si="313">calcStackExpLeftPostY2Q3-calcY2Q4StackExp</f>
        <v>0</v>
      </c>
      <c r="F511" s="426">
        <f t="shared" si="313"/>
        <v>0</v>
      </c>
      <c r="G511" s="426">
        <f t="shared" si="313"/>
        <v>0</v>
      </c>
      <c r="H511" s="426">
        <f t="shared" si="313"/>
        <v>0</v>
      </c>
      <c r="I511" s="426">
        <f t="shared" si="313"/>
        <v>0</v>
      </c>
      <c r="J511" s="426">
        <f t="shared" si="313"/>
        <v>0</v>
      </c>
      <c r="K511" s="426">
        <f t="shared" si="313"/>
        <v>0</v>
      </c>
      <c r="L511" s="426">
        <f t="shared" si="313"/>
        <v>0</v>
      </c>
      <c r="M511" s="426">
        <f t="shared" si="313"/>
        <v>0</v>
      </c>
      <c r="N511" s="426">
        <f t="shared" si="313"/>
        <v>0</v>
      </c>
      <c r="O511" s="69" t="s">
        <v>1529</v>
      </c>
    </row>
    <row r="513" spans="1:20">
      <c r="E513" s="426"/>
      <c r="F513" s="426"/>
      <c r="G513" s="426"/>
      <c r="H513" s="426"/>
      <c r="I513" s="426"/>
      <c r="J513" s="426"/>
      <c r="K513" s="426"/>
      <c r="L513" s="426"/>
      <c r="M513" s="426"/>
      <c r="N513" s="426"/>
    </row>
    <row r="514" spans="1:20" s="471" customFormat="1">
      <c r="A514" s="471" t="s">
        <v>2354</v>
      </c>
    </row>
    <row r="515" spans="1:20">
      <c r="E515" s="426"/>
      <c r="F515" s="426"/>
      <c r="G515" s="426"/>
      <c r="H515" s="426"/>
      <c r="I515" s="426"/>
      <c r="J515" s="426"/>
      <c r="K515" s="426"/>
      <c r="L515" s="426"/>
      <c r="M515" s="426"/>
      <c r="N515" s="426"/>
    </row>
    <row r="516" spans="1:20">
      <c r="D516" s="69" t="s">
        <v>2197</v>
      </c>
      <c r="E516" s="426">
        <f>INDEX(datatblLeadPass,MATCH(decGTMLeadPass,Data!$C$212:$C$217,0),4)*calcLeadPassActivate</f>
        <v>0</v>
      </c>
      <c r="F516" s="426">
        <f>INDEX(datatblLeadPass,MATCH(decGTMLeadPass,Data!$C$212:$C$217,0),4)*calcLeadPassActivate</f>
        <v>0</v>
      </c>
      <c r="G516" s="426">
        <f>INDEX(datatblLeadPass,MATCH(decGTMLeadPass,Data!$C$212:$C$217,0),4)*calcLeadPassActivate</f>
        <v>0</v>
      </c>
      <c r="H516" s="426">
        <f>INDEX(datatblLeadPass,MATCH(decGTMLeadPass,Data!$C$212:$C$217,0),4)*calcLeadPassActivate</f>
        <v>0</v>
      </c>
      <c r="I516" s="426">
        <f>INDEX(datatblLeadPass,MATCH(decGTMLeadPass,Data!$C$212:$C$217,0),4)*calcLeadPassActivate</f>
        <v>0</v>
      </c>
      <c r="J516" s="426">
        <f>INDEX(datatblLeadPass,MATCH(decGTMLeadPass,Data!$C$212:$C$217,0),4)*calcLeadPassActivate</f>
        <v>0</v>
      </c>
      <c r="K516" s="426">
        <f>INDEX(datatblLeadPass,MATCH(decGTMLeadPass,Data!$C$212:$C$217,0),4)*calcLeadPassActivate</f>
        <v>0</v>
      </c>
      <c r="L516" s="426">
        <f>INDEX(datatblLeadPass,MATCH(decGTMLeadPass,Data!$C$212:$C$217,0),4)*calcLeadPassActivate</f>
        <v>0</v>
      </c>
      <c r="M516" s="426">
        <f>INDEX(datatblLeadPass,MATCH(decGTMLeadPass,Data!$C$212:$C$217,0),4)*calcLeadPassActivate</f>
        <v>0</v>
      </c>
      <c r="N516" s="426">
        <f>INDEX(datatblLeadPass,MATCH(decGTMLeadPass,Data!$C$212:$C$217,0),4)*calcLeadPassActivate</f>
        <v>0</v>
      </c>
      <c r="O516" s="217" t="s">
        <v>2355</v>
      </c>
    </row>
    <row r="517" spans="1:20">
      <c r="E517" s="426"/>
      <c r="F517" s="426"/>
      <c r="G517" s="426"/>
      <c r="H517" s="426"/>
      <c r="I517" s="426"/>
      <c r="J517" s="426"/>
      <c r="K517" s="426"/>
      <c r="L517" s="426"/>
      <c r="M517" s="426"/>
      <c r="N517" s="426"/>
    </row>
    <row r="518" spans="1:20">
      <c r="D518" s="69" t="s">
        <v>974</v>
      </c>
      <c r="E518" s="674">
        <v>12</v>
      </c>
      <c r="F518" s="674">
        <v>12</v>
      </c>
      <c r="G518" s="674">
        <v>12</v>
      </c>
      <c r="H518" s="674">
        <v>12</v>
      </c>
      <c r="I518" s="674">
        <v>12</v>
      </c>
      <c r="J518" s="674">
        <v>12</v>
      </c>
      <c r="K518" s="674">
        <v>12</v>
      </c>
      <c r="L518" s="674">
        <v>12</v>
      </c>
      <c r="M518" s="674">
        <v>12</v>
      </c>
      <c r="N518" s="674">
        <v>12</v>
      </c>
      <c r="O518" s="69" t="s">
        <v>2390</v>
      </c>
    </row>
    <row r="519" spans="1:20">
      <c r="E519" s="426"/>
      <c r="F519" s="426"/>
      <c r="G519" s="426"/>
      <c r="H519" s="426"/>
      <c r="I519" s="426"/>
      <c r="J519" s="426"/>
      <c r="K519" s="426"/>
      <c r="L519" s="426"/>
      <c r="M519" s="426"/>
      <c r="N519" s="426"/>
    </row>
    <row r="520" spans="1:20">
      <c r="C520" s="217" t="s">
        <v>1043</v>
      </c>
    </row>
    <row r="521" spans="1:20">
      <c r="D521" s="69" t="s">
        <v>2356</v>
      </c>
      <c r="E521" s="426">
        <f t="shared" ref="E521:N521" si="314">calcFullLeadPassExp*(1/calcLeadPassTimeline)*$S521</f>
        <v>0</v>
      </c>
      <c r="F521" s="426">
        <f t="shared" si="314"/>
        <v>0</v>
      </c>
      <c r="G521" s="426">
        <f t="shared" si="314"/>
        <v>0</v>
      </c>
      <c r="H521" s="426">
        <f t="shared" si="314"/>
        <v>0</v>
      </c>
      <c r="I521" s="426">
        <f t="shared" si="314"/>
        <v>0</v>
      </c>
      <c r="J521" s="426">
        <f t="shared" si="314"/>
        <v>0</v>
      </c>
      <c r="K521" s="426">
        <f t="shared" si="314"/>
        <v>0</v>
      </c>
      <c r="L521" s="426">
        <f t="shared" si="314"/>
        <v>0</v>
      </c>
      <c r="M521" s="426">
        <f t="shared" si="314"/>
        <v>0</v>
      </c>
      <c r="N521" s="426">
        <f t="shared" si="314"/>
        <v>0</v>
      </c>
      <c r="O521" s="69" t="s">
        <v>2357</v>
      </c>
      <c r="Q521" s="69">
        <f>CHOOSE(xxRound+1,S521,S521,S521,T521)</f>
        <v>3</v>
      </c>
      <c r="S521" s="69">
        <v>3</v>
      </c>
      <c r="T521" s="69">
        <v>3</v>
      </c>
    </row>
    <row r="522" spans="1:20">
      <c r="D522" s="69" t="s">
        <v>2358</v>
      </c>
      <c r="E522" s="426">
        <f t="shared" ref="E522:N522" si="315">calcFullLeadPassExp-calcQ1LeadPassExp</f>
        <v>0</v>
      </c>
      <c r="F522" s="426">
        <f t="shared" si="315"/>
        <v>0</v>
      </c>
      <c r="G522" s="426">
        <f t="shared" si="315"/>
        <v>0</v>
      </c>
      <c r="H522" s="426">
        <f t="shared" si="315"/>
        <v>0</v>
      </c>
      <c r="I522" s="426">
        <f t="shared" si="315"/>
        <v>0</v>
      </c>
      <c r="J522" s="426">
        <f t="shared" si="315"/>
        <v>0</v>
      </c>
      <c r="K522" s="426">
        <f t="shared" si="315"/>
        <v>0</v>
      </c>
      <c r="L522" s="426">
        <f t="shared" si="315"/>
        <v>0</v>
      </c>
      <c r="M522" s="426">
        <f t="shared" si="315"/>
        <v>0</v>
      </c>
      <c r="N522" s="426">
        <f t="shared" si="315"/>
        <v>0</v>
      </c>
      <c r="O522" s="69" t="s">
        <v>2359</v>
      </c>
    </row>
    <row r="523" spans="1:20" customFormat="1">
      <c r="E523" s="26"/>
      <c r="F523" s="26"/>
      <c r="G523" s="26"/>
      <c r="H523" s="26"/>
      <c r="I523" s="26"/>
      <c r="J523" s="26"/>
      <c r="K523" s="26"/>
      <c r="L523" s="26"/>
      <c r="M523" s="26"/>
      <c r="N523" s="26"/>
    </row>
    <row r="524" spans="1:20">
      <c r="D524" s="69" t="s">
        <v>2360</v>
      </c>
      <c r="E524" s="426">
        <f t="shared" ref="E524:N524" si="316">IF(calcLeadPassExpLeftPostQ1&lt;1,0,calcFullLeadPassExp*(1/calcLeadPassTimeline)*$S524)</f>
        <v>0</v>
      </c>
      <c r="F524" s="426">
        <f t="shared" si="316"/>
        <v>0</v>
      </c>
      <c r="G524" s="426">
        <f t="shared" si="316"/>
        <v>0</v>
      </c>
      <c r="H524" s="426">
        <f t="shared" si="316"/>
        <v>0</v>
      </c>
      <c r="I524" s="426">
        <f t="shared" si="316"/>
        <v>0</v>
      </c>
      <c r="J524" s="426">
        <f t="shared" si="316"/>
        <v>0</v>
      </c>
      <c r="K524" s="426">
        <f t="shared" si="316"/>
        <v>0</v>
      </c>
      <c r="L524" s="426">
        <f t="shared" si="316"/>
        <v>0</v>
      </c>
      <c r="M524" s="426">
        <f t="shared" si="316"/>
        <v>0</v>
      </c>
      <c r="N524" s="426">
        <f t="shared" si="316"/>
        <v>0</v>
      </c>
      <c r="O524" s="69" t="s">
        <v>2361</v>
      </c>
      <c r="Q524" s="69">
        <f>CHOOSE(xxRound+1,S524,S524,S524,T524)</f>
        <v>3</v>
      </c>
      <c r="S524" s="69">
        <v>3</v>
      </c>
      <c r="T524" s="69">
        <v>3</v>
      </c>
    </row>
    <row r="525" spans="1:20">
      <c r="D525" s="69" t="s">
        <v>2362</v>
      </c>
      <c r="E525" s="426">
        <f t="shared" ref="E525:N525" si="317">calcLeadPassExpLeftPostQ1-calcQ2LeadPassExp</f>
        <v>0</v>
      </c>
      <c r="F525" s="426">
        <f t="shared" si="317"/>
        <v>0</v>
      </c>
      <c r="G525" s="426">
        <f t="shared" si="317"/>
        <v>0</v>
      </c>
      <c r="H525" s="426">
        <f t="shared" si="317"/>
        <v>0</v>
      </c>
      <c r="I525" s="426">
        <f t="shared" si="317"/>
        <v>0</v>
      </c>
      <c r="J525" s="426">
        <f t="shared" si="317"/>
        <v>0</v>
      </c>
      <c r="K525" s="426">
        <f t="shared" si="317"/>
        <v>0</v>
      </c>
      <c r="L525" s="426">
        <f t="shared" si="317"/>
        <v>0</v>
      </c>
      <c r="M525" s="426">
        <f t="shared" si="317"/>
        <v>0</v>
      </c>
      <c r="N525" s="426">
        <f t="shared" si="317"/>
        <v>0</v>
      </c>
      <c r="O525" s="69" t="s">
        <v>2363</v>
      </c>
    </row>
    <row r="526" spans="1:20" customFormat="1">
      <c r="E526" s="26"/>
      <c r="F526" s="26"/>
      <c r="G526" s="26"/>
      <c r="H526" s="26"/>
      <c r="I526" s="26"/>
      <c r="J526" s="26"/>
      <c r="K526" s="26"/>
      <c r="L526" s="26"/>
      <c r="M526" s="26"/>
      <c r="N526" s="26"/>
    </row>
    <row r="527" spans="1:20">
      <c r="D527" s="69" t="s">
        <v>2364</v>
      </c>
      <c r="E527" s="426">
        <f t="shared" ref="E527:N527" si="318">IF(calcLeadPassExpLeftPostQ2&lt;1,0,calcFullLeadPassExp*(1/calcLeadPassTimeline)*$S527)</f>
        <v>0</v>
      </c>
      <c r="F527" s="426">
        <f t="shared" si="318"/>
        <v>0</v>
      </c>
      <c r="G527" s="426">
        <f t="shared" si="318"/>
        <v>0</v>
      </c>
      <c r="H527" s="426">
        <f t="shared" si="318"/>
        <v>0</v>
      </c>
      <c r="I527" s="426">
        <f t="shared" si="318"/>
        <v>0</v>
      </c>
      <c r="J527" s="426">
        <f t="shared" si="318"/>
        <v>0</v>
      </c>
      <c r="K527" s="426">
        <f t="shared" si="318"/>
        <v>0</v>
      </c>
      <c r="L527" s="426">
        <f t="shared" si="318"/>
        <v>0</v>
      </c>
      <c r="M527" s="426">
        <f t="shared" si="318"/>
        <v>0</v>
      </c>
      <c r="N527" s="426">
        <f t="shared" si="318"/>
        <v>0</v>
      </c>
      <c r="O527" s="69" t="s">
        <v>2365</v>
      </c>
      <c r="Q527" s="69">
        <f>CHOOSE(xxRound+1,S527,S527,S527,T527)</f>
        <v>3</v>
      </c>
      <c r="S527" s="69">
        <v>3</v>
      </c>
      <c r="T527" s="69">
        <v>3</v>
      </c>
    </row>
    <row r="528" spans="1:20">
      <c r="D528" s="69" t="s">
        <v>2366</v>
      </c>
      <c r="E528" s="426">
        <f t="shared" ref="E528:N528" si="319">calcLeadPassExpLeftPostQ2-calcQ3LeadPassExp</f>
        <v>0</v>
      </c>
      <c r="F528" s="426">
        <f t="shared" si="319"/>
        <v>0</v>
      </c>
      <c r="G528" s="426">
        <f t="shared" si="319"/>
        <v>0</v>
      </c>
      <c r="H528" s="426">
        <f t="shared" si="319"/>
        <v>0</v>
      </c>
      <c r="I528" s="426">
        <f t="shared" si="319"/>
        <v>0</v>
      </c>
      <c r="J528" s="426">
        <f t="shared" si="319"/>
        <v>0</v>
      </c>
      <c r="K528" s="426">
        <f t="shared" si="319"/>
        <v>0</v>
      </c>
      <c r="L528" s="426">
        <f t="shared" si="319"/>
        <v>0</v>
      </c>
      <c r="M528" s="426">
        <f t="shared" si="319"/>
        <v>0</v>
      </c>
      <c r="N528" s="426">
        <f t="shared" si="319"/>
        <v>0</v>
      </c>
      <c r="O528" s="69" t="s">
        <v>2367</v>
      </c>
    </row>
    <row r="529" spans="1:20" customFormat="1">
      <c r="E529" s="26"/>
      <c r="F529" s="26"/>
      <c r="G529" s="26"/>
      <c r="H529" s="26"/>
      <c r="I529" s="26"/>
      <c r="J529" s="26"/>
      <c r="K529" s="26"/>
      <c r="L529" s="26"/>
      <c r="M529" s="26"/>
      <c r="N529" s="26"/>
    </row>
    <row r="530" spans="1:20">
      <c r="D530" s="69" t="s">
        <v>2368</v>
      </c>
      <c r="E530" s="426">
        <f t="shared" ref="E530:N530" si="320">IF(calcLeadPassExpLeftPostQ3&lt;1,0,calcFullLeadPassExp*(1/calcLeadPassTimeline)*$S530)</f>
        <v>0</v>
      </c>
      <c r="F530" s="426">
        <f t="shared" si="320"/>
        <v>0</v>
      </c>
      <c r="G530" s="426">
        <f t="shared" si="320"/>
        <v>0</v>
      </c>
      <c r="H530" s="426">
        <f t="shared" si="320"/>
        <v>0</v>
      </c>
      <c r="I530" s="426">
        <f t="shared" si="320"/>
        <v>0</v>
      </c>
      <c r="J530" s="426">
        <f t="shared" si="320"/>
        <v>0</v>
      </c>
      <c r="K530" s="426">
        <f t="shared" si="320"/>
        <v>0</v>
      </c>
      <c r="L530" s="426">
        <f t="shared" si="320"/>
        <v>0</v>
      </c>
      <c r="M530" s="426">
        <f t="shared" si="320"/>
        <v>0</v>
      </c>
      <c r="N530" s="426">
        <f t="shared" si="320"/>
        <v>0</v>
      </c>
      <c r="O530" s="69" t="s">
        <v>2369</v>
      </c>
      <c r="Q530" s="69">
        <f>CHOOSE(xxRound+1,S530,S530,S530,T530)</f>
        <v>3</v>
      </c>
      <c r="S530" s="69">
        <v>3</v>
      </c>
      <c r="T530" s="69">
        <v>3</v>
      </c>
    </row>
    <row r="531" spans="1:20">
      <c r="D531" s="69" t="s">
        <v>2370</v>
      </c>
      <c r="E531" s="426">
        <f t="shared" ref="E531:N531" si="321">calcLeadPassExpLeftPostQ3-calcQ4LeadPassExp</f>
        <v>0</v>
      </c>
      <c r="F531" s="426">
        <f t="shared" si="321"/>
        <v>0</v>
      </c>
      <c r="G531" s="426">
        <f t="shared" si="321"/>
        <v>0</v>
      </c>
      <c r="H531" s="426">
        <f t="shared" si="321"/>
        <v>0</v>
      </c>
      <c r="I531" s="426">
        <f t="shared" si="321"/>
        <v>0</v>
      </c>
      <c r="J531" s="426">
        <f t="shared" si="321"/>
        <v>0</v>
      </c>
      <c r="K531" s="426">
        <f t="shared" si="321"/>
        <v>0</v>
      </c>
      <c r="L531" s="426">
        <f t="shared" si="321"/>
        <v>0</v>
      </c>
      <c r="M531" s="426">
        <f t="shared" si="321"/>
        <v>0</v>
      </c>
      <c r="N531" s="426">
        <f t="shared" si="321"/>
        <v>0</v>
      </c>
      <c r="O531" s="69" t="s">
        <v>2371</v>
      </c>
    </row>
    <row r="533" spans="1:20">
      <c r="A533" s="217"/>
    </row>
    <row r="534" spans="1:20" s="217" customFormat="1">
      <c r="D534" s="217" t="s">
        <v>2372</v>
      </c>
      <c r="E534" s="217">
        <f t="shared" ref="E534:N534" si="322">calcLeadPassExpLeftPostQ4</f>
        <v>0</v>
      </c>
      <c r="F534" s="217">
        <f t="shared" si="322"/>
        <v>0</v>
      </c>
      <c r="G534" s="217">
        <f t="shared" si="322"/>
        <v>0</v>
      </c>
      <c r="H534" s="217">
        <f t="shared" si="322"/>
        <v>0</v>
      </c>
      <c r="I534" s="217">
        <f t="shared" si="322"/>
        <v>0</v>
      </c>
      <c r="J534" s="217">
        <f t="shared" si="322"/>
        <v>0</v>
      </c>
      <c r="K534" s="217">
        <f t="shared" si="322"/>
        <v>0</v>
      </c>
      <c r="L534" s="217">
        <f t="shared" si="322"/>
        <v>0</v>
      </c>
      <c r="M534" s="217">
        <f t="shared" si="322"/>
        <v>0</v>
      </c>
      <c r="N534" s="217">
        <f t="shared" si="322"/>
        <v>0</v>
      </c>
      <c r="O534" s="69" t="s">
        <v>2373</v>
      </c>
    </row>
    <row r="536" spans="1:20">
      <c r="C536" s="217" t="s">
        <v>1043</v>
      </c>
    </row>
    <row r="537" spans="1:20">
      <c r="D537" s="69" t="s">
        <v>2374</v>
      </c>
      <c r="E537" s="426">
        <f t="shared" ref="E537:N537" si="323">IF(calcLeadPassExpLeftPostQ4&lt;1,0,calcFullLeadPassExp*(1/calcLeadPassTimeline)*$S537)</f>
        <v>0</v>
      </c>
      <c r="F537" s="426">
        <f t="shared" si="323"/>
        <v>0</v>
      </c>
      <c r="G537" s="426">
        <f t="shared" si="323"/>
        <v>0</v>
      </c>
      <c r="H537" s="426">
        <f t="shared" si="323"/>
        <v>0</v>
      </c>
      <c r="I537" s="426">
        <f t="shared" si="323"/>
        <v>0</v>
      </c>
      <c r="J537" s="426">
        <f t="shared" si="323"/>
        <v>0</v>
      </c>
      <c r="K537" s="426">
        <f t="shared" si="323"/>
        <v>0</v>
      </c>
      <c r="L537" s="426">
        <f t="shared" si="323"/>
        <v>0</v>
      </c>
      <c r="M537" s="426">
        <f t="shared" si="323"/>
        <v>0</v>
      </c>
      <c r="N537" s="426">
        <f t="shared" si="323"/>
        <v>0</v>
      </c>
      <c r="O537" s="69" t="s">
        <v>2375</v>
      </c>
      <c r="Q537" s="69">
        <f>CHOOSE(xxRound+1,S537,S537,S537,T537)</f>
        <v>3</v>
      </c>
      <c r="S537" s="69">
        <v>3</v>
      </c>
      <c r="T537" s="69">
        <v>3</v>
      </c>
    </row>
    <row r="538" spans="1:20">
      <c r="D538" s="69" t="s">
        <v>2376</v>
      </c>
      <c r="E538" s="426">
        <f t="shared" ref="E538:N538" si="324">calcFullLeadPassExpY2-calcY2Q1LeadPassExp</f>
        <v>0</v>
      </c>
      <c r="F538" s="426">
        <f t="shared" si="324"/>
        <v>0</v>
      </c>
      <c r="G538" s="426">
        <f t="shared" si="324"/>
        <v>0</v>
      </c>
      <c r="H538" s="426">
        <f t="shared" si="324"/>
        <v>0</v>
      </c>
      <c r="I538" s="426">
        <f t="shared" si="324"/>
        <v>0</v>
      </c>
      <c r="J538" s="426">
        <f t="shared" si="324"/>
        <v>0</v>
      </c>
      <c r="K538" s="426">
        <f t="shared" si="324"/>
        <v>0</v>
      </c>
      <c r="L538" s="426">
        <f t="shared" si="324"/>
        <v>0</v>
      </c>
      <c r="M538" s="426">
        <f t="shared" si="324"/>
        <v>0</v>
      </c>
      <c r="N538" s="426">
        <f t="shared" si="324"/>
        <v>0</v>
      </c>
      <c r="O538" s="69" t="s">
        <v>2377</v>
      </c>
    </row>
    <row r="539" spans="1:20" customFormat="1">
      <c r="E539" s="26"/>
      <c r="F539" s="26"/>
      <c r="G539" s="26"/>
      <c r="H539" s="26"/>
      <c r="I539" s="26"/>
      <c r="J539" s="26"/>
      <c r="K539" s="26"/>
      <c r="L539" s="26"/>
      <c r="M539" s="26"/>
      <c r="N539" s="26"/>
    </row>
    <row r="540" spans="1:20">
      <c r="D540" s="69" t="s">
        <v>2378</v>
      </c>
      <c r="E540" s="426">
        <f t="shared" ref="E540:N540" si="325">IF(calcLeadPassExpLeftPostY2Q1&lt;1,0,calcFullLeadPassExp*(1/calcLeadPassTimeline)*$S540)</f>
        <v>0</v>
      </c>
      <c r="F540" s="426">
        <f t="shared" si="325"/>
        <v>0</v>
      </c>
      <c r="G540" s="426">
        <f t="shared" si="325"/>
        <v>0</v>
      </c>
      <c r="H540" s="426">
        <f t="shared" si="325"/>
        <v>0</v>
      </c>
      <c r="I540" s="426">
        <f t="shared" si="325"/>
        <v>0</v>
      </c>
      <c r="J540" s="426">
        <f t="shared" si="325"/>
        <v>0</v>
      </c>
      <c r="K540" s="426">
        <f t="shared" si="325"/>
        <v>0</v>
      </c>
      <c r="L540" s="426">
        <f t="shared" si="325"/>
        <v>0</v>
      </c>
      <c r="M540" s="426">
        <f t="shared" si="325"/>
        <v>0</v>
      </c>
      <c r="N540" s="426">
        <f t="shared" si="325"/>
        <v>0</v>
      </c>
      <c r="O540" s="69" t="s">
        <v>2379</v>
      </c>
      <c r="Q540" s="69">
        <f>CHOOSE(xxRound+1,S540,S540,S540,T540)</f>
        <v>3</v>
      </c>
      <c r="S540" s="69">
        <v>3</v>
      </c>
      <c r="T540" s="69">
        <v>3</v>
      </c>
    </row>
    <row r="541" spans="1:20">
      <c r="D541" s="69" t="s">
        <v>2380</v>
      </c>
      <c r="E541" s="426">
        <f t="shared" ref="E541:N541" si="326">calcLeadPassExpLeftPostY2Q1-calcY2Q2LeadPassExp</f>
        <v>0</v>
      </c>
      <c r="F541" s="426">
        <f t="shared" si="326"/>
        <v>0</v>
      </c>
      <c r="G541" s="426">
        <f t="shared" si="326"/>
        <v>0</v>
      </c>
      <c r="H541" s="426">
        <f t="shared" si="326"/>
        <v>0</v>
      </c>
      <c r="I541" s="426">
        <f t="shared" si="326"/>
        <v>0</v>
      </c>
      <c r="J541" s="426">
        <f t="shared" si="326"/>
        <v>0</v>
      </c>
      <c r="K541" s="426">
        <f t="shared" si="326"/>
        <v>0</v>
      </c>
      <c r="L541" s="426">
        <f t="shared" si="326"/>
        <v>0</v>
      </c>
      <c r="M541" s="426">
        <f t="shared" si="326"/>
        <v>0</v>
      </c>
      <c r="N541" s="426">
        <f t="shared" si="326"/>
        <v>0</v>
      </c>
      <c r="O541" s="69" t="s">
        <v>2381</v>
      </c>
    </row>
    <row r="542" spans="1:20" customFormat="1">
      <c r="E542" s="26"/>
      <c r="F542" s="26"/>
      <c r="G542" s="26"/>
      <c r="H542" s="26"/>
      <c r="I542" s="26"/>
      <c r="J542" s="26"/>
      <c r="K542" s="26"/>
      <c r="L542" s="26"/>
      <c r="M542" s="26"/>
      <c r="N542" s="26"/>
    </row>
    <row r="543" spans="1:20">
      <c r="D543" s="69" t="s">
        <v>2382</v>
      </c>
      <c r="E543" s="426">
        <f t="shared" ref="E543:N543" si="327">IF(calcLeadPassExpLeftPostY2Q2&lt;1,0,calcFullLeadPassExp*(1/calcLeadPassTimeline)*$S543)</f>
        <v>0</v>
      </c>
      <c r="F543" s="426">
        <f t="shared" si="327"/>
        <v>0</v>
      </c>
      <c r="G543" s="426">
        <f t="shared" si="327"/>
        <v>0</v>
      </c>
      <c r="H543" s="426">
        <f t="shared" si="327"/>
        <v>0</v>
      </c>
      <c r="I543" s="426">
        <f t="shared" si="327"/>
        <v>0</v>
      </c>
      <c r="J543" s="426">
        <f t="shared" si="327"/>
        <v>0</v>
      </c>
      <c r="K543" s="426">
        <f t="shared" si="327"/>
        <v>0</v>
      </c>
      <c r="L543" s="426">
        <f t="shared" si="327"/>
        <v>0</v>
      </c>
      <c r="M543" s="426">
        <f t="shared" si="327"/>
        <v>0</v>
      </c>
      <c r="N543" s="426">
        <f t="shared" si="327"/>
        <v>0</v>
      </c>
      <c r="O543" s="69" t="s">
        <v>2383</v>
      </c>
      <c r="Q543" s="69">
        <f>CHOOSE(xxRound+1,S543,S543,S543,T543)</f>
        <v>3</v>
      </c>
      <c r="S543" s="69">
        <v>3</v>
      </c>
      <c r="T543" s="69">
        <v>3</v>
      </c>
    </row>
    <row r="544" spans="1:20">
      <c r="D544" s="69" t="s">
        <v>2384</v>
      </c>
      <c r="E544" s="426">
        <f t="shared" ref="E544:N544" si="328">calcLeadPassExpLeftPostY2Q2-calcY2Q3LeadPassExp</f>
        <v>0</v>
      </c>
      <c r="F544" s="426">
        <f t="shared" si="328"/>
        <v>0</v>
      </c>
      <c r="G544" s="426">
        <f t="shared" si="328"/>
        <v>0</v>
      </c>
      <c r="H544" s="426">
        <f t="shared" si="328"/>
        <v>0</v>
      </c>
      <c r="I544" s="426">
        <f t="shared" si="328"/>
        <v>0</v>
      </c>
      <c r="J544" s="426">
        <f t="shared" si="328"/>
        <v>0</v>
      </c>
      <c r="K544" s="426">
        <f t="shared" si="328"/>
        <v>0</v>
      </c>
      <c r="L544" s="426">
        <f t="shared" si="328"/>
        <v>0</v>
      </c>
      <c r="M544" s="426">
        <f t="shared" si="328"/>
        <v>0</v>
      </c>
      <c r="N544" s="426">
        <f t="shared" si="328"/>
        <v>0</v>
      </c>
      <c r="O544" s="69" t="s">
        <v>2385</v>
      </c>
    </row>
    <row r="545" spans="1:20" customFormat="1">
      <c r="E545" s="26"/>
      <c r="F545" s="26"/>
      <c r="G545" s="26"/>
      <c r="H545" s="26"/>
      <c r="I545" s="26"/>
      <c r="J545" s="26"/>
      <c r="K545" s="26"/>
      <c r="L545" s="26"/>
      <c r="M545" s="26"/>
      <c r="N545" s="26"/>
    </row>
    <row r="546" spans="1:20">
      <c r="D546" s="69" t="s">
        <v>2386</v>
      </c>
      <c r="E546" s="426">
        <f t="shared" ref="E546:N546" si="329">IF(calcLeadPassExpLeftPostY2Q3&lt;1,0,calcFullLeadPassExp*(1/calcLeadPassTimeline)*$S546)</f>
        <v>0</v>
      </c>
      <c r="F546" s="426">
        <f t="shared" si="329"/>
        <v>0</v>
      </c>
      <c r="G546" s="426">
        <f t="shared" si="329"/>
        <v>0</v>
      </c>
      <c r="H546" s="426">
        <f t="shared" si="329"/>
        <v>0</v>
      </c>
      <c r="I546" s="426">
        <f t="shared" si="329"/>
        <v>0</v>
      </c>
      <c r="J546" s="426">
        <f t="shared" si="329"/>
        <v>0</v>
      </c>
      <c r="K546" s="426">
        <f t="shared" si="329"/>
        <v>0</v>
      </c>
      <c r="L546" s="426">
        <f t="shared" si="329"/>
        <v>0</v>
      </c>
      <c r="M546" s="426">
        <f t="shared" si="329"/>
        <v>0</v>
      </c>
      <c r="N546" s="426">
        <f t="shared" si="329"/>
        <v>0</v>
      </c>
      <c r="O546" s="69" t="s">
        <v>2387</v>
      </c>
      <c r="Q546" s="69">
        <f>CHOOSE(xxRound+1,S546,S546,S546,T546)</f>
        <v>3</v>
      </c>
      <c r="S546" s="69">
        <v>3</v>
      </c>
      <c r="T546" s="69">
        <v>3</v>
      </c>
    </row>
    <row r="547" spans="1:20">
      <c r="D547" s="69" t="s">
        <v>2388</v>
      </c>
      <c r="E547" s="426">
        <f t="shared" ref="E547:N547" si="330">calcLeadPassExpLeftPostY2Q3-calcY2Q4LeadPassExp</f>
        <v>0</v>
      </c>
      <c r="F547" s="426">
        <f t="shared" si="330"/>
        <v>0</v>
      </c>
      <c r="G547" s="426">
        <f t="shared" si="330"/>
        <v>0</v>
      </c>
      <c r="H547" s="426">
        <f t="shared" si="330"/>
        <v>0</v>
      </c>
      <c r="I547" s="426">
        <f t="shared" si="330"/>
        <v>0</v>
      </c>
      <c r="J547" s="426">
        <f t="shared" si="330"/>
        <v>0</v>
      </c>
      <c r="K547" s="426">
        <f t="shared" si="330"/>
        <v>0</v>
      </c>
      <c r="L547" s="426">
        <f t="shared" si="330"/>
        <v>0</v>
      </c>
      <c r="M547" s="426">
        <f t="shared" si="330"/>
        <v>0</v>
      </c>
      <c r="N547" s="426">
        <f t="shared" si="330"/>
        <v>0</v>
      </c>
      <c r="O547" s="69" t="s">
        <v>2389</v>
      </c>
    </row>
    <row r="548" spans="1:20">
      <c r="E548" s="426"/>
      <c r="F548" s="426"/>
      <c r="G548" s="426"/>
      <c r="H548" s="426"/>
      <c r="I548" s="426"/>
      <c r="J548" s="426"/>
      <c r="K548" s="426"/>
      <c r="L548" s="426"/>
      <c r="M548" s="426"/>
      <c r="N548" s="426"/>
    </row>
    <row r="549" spans="1:20" s="471" customFormat="1">
      <c r="A549" s="471" t="s">
        <v>2289</v>
      </c>
    </row>
    <row r="550" spans="1:20">
      <c r="E550" s="426"/>
      <c r="F550" s="426"/>
      <c r="G550" s="426"/>
      <c r="H550" s="426"/>
      <c r="I550" s="426"/>
      <c r="J550" s="426"/>
      <c r="K550" s="426"/>
      <c r="L550" s="426"/>
      <c r="M550" s="426"/>
      <c r="N550" s="426"/>
    </row>
    <row r="551" spans="1:20">
      <c r="D551" s="69" t="s">
        <v>2197</v>
      </c>
      <c r="E551" s="426">
        <f>INDEX(datatblCSGPostSales,MATCH(decGTMCSGPostSales,Data!$C$204:$C$209,0),4)</f>
        <v>0</v>
      </c>
      <c r="F551" s="426">
        <f>INDEX(datatblCSGPostSales,MATCH(decGTMCSGPostSales,Data!$C$204:$C$209,0),4)</f>
        <v>0</v>
      </c>
      <c r="G551" s="426">
        <f>INDEX(datatblCSGPostSales,MATCH(decGTMCSGPostSales,Data!$C$204:$C$209,0),4)</f>
        <v>0</v>
      </c>
      <c r="H551" s="426">
        <f>INDEX(datatblCSGPostSales,MATCH(decGTMCSGPostSales,Data!$C$204:$C$209,0),4)</f>
        <v>0</v>
      </c>
      <c r="I551" s="426">
        <f>INDEX(datatblCSGPostSales,MATCH(decGTMCSGPostSales,Data!$C$204:$C$209,0),4)</f>
        <v>0</v>
      </c>
      <c r="J551" s="426">
        <f>INDEX(datatblCSGPostSales,MATCH(decGTMCSGPostSales,Data!$C$204:$C$209,0),4)</f>
        <v>0</v>
      </c>
      <c r="K551" s="426">
        <f>INDEX(datatblCSGPostSales,MATCH(decGTMCSGPostSales,Data!$C$204:$C$209,0),4)</f>
        <v>0</v>
      </c>
      <c r="L551" s="426">
        <f>INDEX(datatblCSGPostSales,MATCH(decGTMCSGPostSales,Data!$C$204:$C$209,0),4)</f>
        <v>0</v>
      </c>
      <c r="M551" s="426">
        <f>INDEX(datatblCSGPostSales,MATCH(decGTMCSGPostSales,Data!$C$204:$C$209,0),4)</f>
        <v>0</v>
      </c>
      <c r="N551" s="426">
        <f>INDEX(datatblCSGPostSales,MATCH(decGTMCSGPostSales,Data!$C$204:$C$209,0),4)</f>
        <v>0</v>
      </c>
      <c r="O551" s="217" t="s">
        <v>2290</v>
      </c>
    </row>
    <row r="552" spans="1:20">
      <c r="E552" s="426"/>
      <c r="F552" s="426"/>
      <c r="G552" s="426"/>
      <c r="H552" s="426"/>
      <c r="I552" s="426"/>
      <c r="J552" s="426"/>
      <c r="K552" s="426"/>
      <c r="L552" s="426"/>
      <c r="M552" s="426"/>
      <c r="N552" s="426"/>
    </row>
    <row r="553" spans="1:20">
      <c r="D553" s="69" t="s">
        <v>974</v>
      </c>
      <c r="E553" s="674">
        <f t="shared" ref="E553:N553" si="331">calcCSGTimeline</f>
        <v>27</v>
      </c>
      <c r="F553" s="674">
        <f t="shared" si="331"/>
        <v>27</v>
      </c>
      <c r="G553" s="674">
        <f t="shared" si="331"/>
        <v>27</v>
      </c>
      <c r="H553" s="674">
        <f t="shared" si="331"/>
        <v>27</v>
      </c>
      <c r="I553" s="674">
        <f t="shared" si="331"/>
        <v>27</v>
      </c>
      <c r="J553" s="674">
        <f t="shared" si="331"/>
        <v>27</v>
      </c>
      <c r="K553" s="674">
        <f t="shared" si="331"/>
        <v>27</v>
      </c>
      <c r="L553" s="674">
        <f t="shared" si="331"/>
        <v>27</v>
      </c>
      <c r="M553" s="674">
        <f t="shared" si="331"/>
        <v>27</v>
      </c>
      <c r="N553" s="674">
        <f t="shared" si="331"/>
        <v>27</v>
      </c>
    </row>
    <row r="554" spans="1:20">
      <c r="E554" s="426"/>
      <c r="F554" s="426"/>
      <c r="G554" s="426"/>
      <c r="H554" s="426"/>
      <c r="I554" s="426"/>
      <c r="J554" s="426"/>
      <c r="K554" s="426"/>
      <c r="L554" s="426"/>
      <c r="M554" s="426"/>
      <c r="N554" s="426"/>
    </row>
    <row r="555" spans="1:20">
      <c r="C555" s="217" t="s">
        <v>1043</v>
      </c>
    </row>
    <row r="556" spans="1:20">
      <c r="D556" s="69" t="s">
        <v>2306</v>
      </c>
      <c r="E556" s="426">
        <f t="shared" ref="E556:N556" si="332">calcFullCSGExp*(1/calcCSGTimeline)*$S556</f>
        <v>0</v>
      </c>
      <c r="F556" s="426">
        <f t="shared" si="332"/>
        <v>0</v>
      </c>
      <c r="G556" s="426">
        <f t="shared" si="332"/>
        <v>0</v>
      </c>
      <c r="H556" s="426">
        <f t="shared" si="332"/>
        <v>0</v>
      </c>
      <c r="I556" s="426">
        <f t="shared" si="332"/>
        <v>0</v>
      </c>
      <c r="J556" s="426">
        <f t="shared" si="332"/>
        <v>0</v>
      </c>
      <c r="K556" s="426">
        <f t="shared" si="332"/>
        <v>0</v>
      </c>
      <c r="L556" s="426">
        <f t="shared" si="332"/>
        <v>0</v>
      </c>
      <c r="M556" s="426">
        <f t="shared" si="332"/>
        <v>0</v>
      </c>
      <c r="N556" s="426">
        <f t="shared" si="332"/>
        <v>0</v>
      </c>
      <c r="O556" s="69" t="s">
        <v>2291</v>
      </c>
      <c r="Q556" s="69">
        <f>CHOOSE(xxRound+1,S556,S556,S556,T556)</f>
        <v>3</v>
      </c>
      <c r="S556" s="69">
        <v>3</v>
      </c>
      <c r="T556" s="69">
        <v>3</v>
      </c>
    </row>
    <row r="557" spans="1:20">
      <c r="D557" s="69" t="s">
        <v>2307</v>
      </c>
      <c r="E557" s="426">
        <f t="shared" ref="E557:N557" si="333">calcFullCSGExp-calcQ1CSGExp</f>
        <v>0</v>
      </c>
      <c r="F557" s="426">
        <f t="shared" si="333"/>
        <v>0</v>
      </c>
      <c r="G557" s="426">
        <f t="shared" si="333"/>
        <v>0</v>
      </c>
      <c r="H557" s="426">
        <f t="shared" si="333"/>
        <v>0</v>
      </c>
      <c r="I557" s="426">
        <f t="shared" si="333"/>
        <v>0</v>
      </c>
      <c r="J557" s="426">
        <f t="shared" si="333"/>
        <v>0</v>
      </c>
      <c r="K557" s="426">
        <f t="shared" si="333"/>
        <v>0</v>
      </c>
      <c r="L557" s="426">
        <f t="shared" si="333"/>
        <v>0</v>
      </c>
      <c r="M557" s="426">
        <f t="shared" si="333"/>
        <v>0</v>
      </c>
      <c r="N557" s="426">
        <f t="shared" si="333"/>
        <v>0</v>
      </c>
      <c r="O557" s="69" t="s">
        <v>2308</v>
      </c>
    </row>
    <row r="558" spans="1:20" customFormat="1">
      <c r="E558" s="26"/>
      <c r="F558" s="26"/>
      <c r="G558" s="26"/>
      <c r="H558" s="26"/>
      <c r="I558" s="26"/>
      <c r="J558" s="26"/>
      <c r="K558" s="26"/>
      <c r="L558" s="26"/>
      <c r="M558" s="26"/>
      <c r="N558" s="26"/>
    </row>
    <row r="559" spans="1:20">
      <c r="D559" s="69" t="s">
        <v>2309</v>
      </c>
      <c r="E559" s="426">
        <f t="shared" ref="E559:N559" si="334">IF(calcCSGExpLeftPostQ1&lt;1,0,calcFullCSGExp*(1/calcCSGTimeline)*$S559)</f>
        <v>0</v>
      </c>
      <c r="F559" s="426">
        <f t="shared" si="334"/>
        <v>0</v>
      </c>
      <c r="G559" s="426">
        <f t="shared" si="334"/>
        <v>0</v>
      </c>
      <c r="H559" s="426">
        <f t="shared" si="334"/>
        <v>0</v>
      </c>
      <c r="I559" s="426">
        <f t="shared" si="334"/>
        <v>0</v>
      </c>
      <c r="J559" s="426">
        <f t="shared" si="334"/>
        <v>0</v>
      </c>
      <c r="K559" s="426">
        <f t="shared" si="334"/>
        <v>0</v>
      </c>
      <c r="L559" s="426">
        <f t="shared" si="334"/>
        <v>0</v>
      </c>
      <c r="M559" s="426">
        <f t="shared" si="334"/>
        <v>0</v>
      </c>
      <c r="N559" s="426">
        <f t="shared" si="334"/>
        <v>0</v>
      </c>
      <c r="O559" s="69" t="s">
        <v>2294</v>
      </c>
      <c r="Q559" s="69">
        <f>CHOOSE(xxRound+1,S559,S559,S559,T559)</f>
        <v>3</v>
      </c>
      <c r="S559" s="69">
        <v>3</v>
      </c>
      <c r="T559" s="69">
        <v>3</v>
      </c>
    </row>
    <row r="560" spans="1:20">
      <c r="D560" s="69" t="s">
        <v>2310</v>
      </c>
      <c r="E560" s="426">
        <f t="shared" ref="E560:N560" si="335">calcCSGExpLeftPostQ1-calcQ2CSGExp</f>
        <v>0</v>
      </c>
      <c r="F560" s="426">
        <f t="shared" si="335"/>
        <v>0</v>
      </c>
      <c r="G560" s="426">
        <f t="shared" si="335"/>
        <v>0</v>
      </c>
      <c r="H560" s="426">
        <f t="shared" si="335"/>
        <v>0</v>
      </c>
      <c r="I560" s="426">
        <f t="shared" si="335"/>
        <v>0</v>
      </c>
      <c r="J560" s="426">
        <f t="shared" si="335"/>
        <v>0</v>
      </c>
      <c r="K560" s="426">
        <f t="shared" si="335"/>
        <v>0</v>
      </c>
      <c r="L560" s="426">
        <f t="shared" si="335"/>
        <v>0</v>
      </c>
      <c r="M560" s="426">
        <f t="shared" si="335"/>
        <v>0</v>
      </c>
      <c r="N560" s="426">
        <f t="shared" si="335"/>
        <v>0</v>
      </c>
      <c r="O560" s="69" t="s">
        <v>2311</v>
      </c>
    </row>
    <row r="561" spans="1:20" customFormat="1">
      <c r="E561" s="26"/>
      <c r="F561" s="26"/>
      <c r="G561" s="26"/>
      <c r="H561" s="26"/>
      <c r="I561" s="26"/>
      <c r="J561" s="26"/>
      <c r="K561" s="26"/>
      <c r="L561" s="26"/>
      <c r="M561" s="26"/>
      <c r="N561" s="26"/>
    </row>
    <row r="562" spans="1:20">
      <c r="D562" s="69" t="s">
        <v>2312</v>
      </c>
      <c r="E562" s="426">
        <f t="shared" ref="E562:N562" si="336">IF(calcCSGExpLeftPostQ2&lt;1,0,calcFullCSGExp*(1/calcCSGTimeline)*$S562)</f>
        <v>0</v>
      </c>
      <c r="F562" s="426">
        <f t="shared" si="336"/>
        <v>0</v>
      </c>
      <c r="G562" s="426">
        <f t="shared" si="336"/>
        <v>0</v>
      </c>
      <c r="H562" s="426">
        <f t="shared" si="336"/>
        <v>0</v>
      </c>
      <c r="I562" s="426">
        <f t="shared" si="336"/>
        <v>0</v>
      </c>
      <c r="J562" s="426">
        <f t="shared" si="336"/>
        <v>0</v>
      </c>
      <c r="K562" s="426">
        <f t="shared" si="336"/>
        <v>0</v>
      </c>
      <c r="L562" s="426">
        <f t="shared" si="336"/>
        <v>0</v>
      </c>
      <c r="M562" s="426">
        <f t="shared" si="336"/>
        <v>0</v>
      </c>
      <c r="N562" s="426">
        <f t="shared" si="336"/>
        <v>0</v>
      </c>
      <c r="O562" s="69" t="s">
        <v>2293</v>
      </c>
      <c r="Q562" s="69">
        <f>CHOOSE(xxRound+1,S562,S562,S562,T562)</f>
        <v>3</v>
      </c>
      <c r="S562" s="69">
        <v>3</v>
      </c>
      <c r="T562" s="69">
        <v>3</v>
      </c>
    </row>
    <row r="563" spans="1:20">
      <c r="D563" s="69" t="s">
        <v>2313</v>
      </c>
      <c r="E563" s="426">
        <f t="shared" ref="E563:N563" si="337">calcCSGExpLeftPostQ2-calcQ3CSGExp</f>
        <v>0</v>
      </c>
      <c r="F563" s="426">
        <f t="shared" si="337"/>
        <v>0</v>
      </c>
      <c r="G563" s="426">
        <f t="shared" si="337"/>
        <v>0</v>
      </c>
      <c r="H563" s="426">
        <f t="shared" si="337"/>
        <v>0</v>
      </c>
      <c r="I563" s="426">
        <f t="shared" si="337"/>
        <v>0</v>
      </c>
      <c r="J563" s="426">
        <f t="shared" si="337"/>
        <v>0</v>
      </c>
      <c r="K563" s="426">
        <f t="shared" si="337"/>
        <v>0</v>
      </c>
      <c r="L563" s="426">
        <f t="shared" si="337"/>
        <v>0</v>
      </c>
      <c r="M563" s="426">
        <f t="shared" si="337"/>
        <v>0</v>
      </c>
      <c r="N563" s="426">
        <f t="shared" si="337"/>
        <v>0</v>
      </c>
      <c r="O563" s="69" t="s">
        <v>2314</v>
      </c>
    </row>
    <row r="564" spans="1:20" customFormat="1">
      <c r="E564" s="26"/>
      <c r="F564" s="26"/>
      <c r="G564" s="26"/>
      <c r="H564" s="26"/>
      <c r="I564" s="26"/>
      <c r="J564" s="26"/>
      <c r="K564" s="26"/>
      <c r="L564" s="26"/>
      <c r="M564" s="26"/>
      <c r="N564" s="26"/>
    </row>
    <row r="565" spans="1:20">
      <c r="D565" s="69" t="s">
        <v>2315</v>
      </c>
      <c r="E565" s="426">
        <f t="shared" ref="E565:N565" si="338">IF(calcCSGExpLeftPostQ3&lt;1,0,calcFullCSGExp*(1/calcCSGTimeline)*$S565)</f>
        <v>0</v>
      </c>
      <c r="F565" s="426">
        <f t="shared" si="338"/>
        <v>0</v>
      </c>
      <c r="G565" s="426">
        <f t="shared" si="338"/>
        <v>0</v>
      </c>
      <c r="H565" s="426">
        <f t="shared" si="338"/>
        <v>0</v>
      </c>
      <c r="I565" s="426">
        <f t="shared" si="338"/>
        <v>0</v>
      </c>
      <c r="J565" s="426">
        <f t="shared" si="338"/>
        <v>0</v>
      </c>
      <c r="K565" s="426">
        <f t="shared" si="338"/>
        <v>0</v>
      </c>
      <c r="L565" s="426">
        <f t="shared" si="338"/>
        <v>0</v>
      </c>
      <c r="M565" s="426">
        <f t="shared" si="338"/>
        <v>0</v>
      </c>
      <c r="N565" s="426">
        <f t="shared" si="338"/>
        <v>0</v>
      </c>
      <c r="O565" s="69" t="s">
        <v>2292</v>
      </c>
      <c r="Q565" s="69">
        <f>CHOOSE(xxRound+1,S565,S565,S565,T565)</f>
        <v>3</v>
      </c>
      <c r="S565" s="69">
        <v>3</v>
      </c>
      <c r="T565" s="69">
        <v>3</v>
      </c>
    </row>
    <row r="566" spans="1:20">
      <c r="D566" s="69" t="s">
        <v>2316</v>
      </c>
      <c r="E566" s="426">
        <f t="shared" ref="E566:N566" si="339">calcCSGExpLeftPostQ3-calcQ4CSGExp</f>
        <v>0</v>
      </c>
      <c r="F566" s="426">
        <f t="shared" si="339"/>
        <v>0</v>
      </c>
      <c r="G566" s="426">
        <f t="shared" si="339"/>
        <v>0</v>
      </c>
      <c r="H566" s="426">
        <f t="shared" si="339"/>
        <v>0</v>
      </c>
      <c r="I566" s="426">
        <f t="shared" si="339"/>
        <v>0</v>
      </c>
      <c r="J566" s="426">
        <f t="shared" si="339"/>
        <v>0</v>
      </c>
      <c r="K566" s="426">
        <f t="shared" si="339"/>
        <v>0</v>
      </c>
      <c r="L566" s="426">
        <f t="shared" si="339"/>
        <v>0</v>
      </c>
      <c r="M566" s="426">
        <f t="shared" si="339"/>
        <v>0</v>
      </c>
      <c r="N566" s="426">
        <f t="shared" si="339"/>
        <v>0</v>
      </c>
      <c r="O566" s="69" t="s">
        <v>2317</v>
      </c>
    </row>
    <row r="568" spans="1:20">
      <c r="A568" s="217"/>
    </row>
    <row r="569" spans="1:20" s="217" customFormat="1">
      <c r="D569" s="217" t="s">
        <v>2318</v>
      </c>
      <c r="E569" s="217">
        <f t="shared" ref="E569:N569" si="340">calcCSGExpLeftPostQ4</f>
        <v>0</v>
      </c>
      <c r="F569" s="217">
        <f t="shared" si="340"/>
        <v>0</v>
      </c>
      <c r="G569" s="217">
        <f t="shared" si="340"/>
        <v>0</v>
      </c>
      <c r="H569" s="217">
        <f t="shared" si="340"/>
        <v>0</v>
      </c>
      <c r="I569" s="217">
        <f t="shared" si="340"/>
        <v>0</v>
      </c>
      <c r="J569" s="217">
        <f t="shared" si="340"/>
        <v>0</v>
      </c>
      <c r="K569" s="217">
        <f t="shared" si="340"/>
        <v>0</v>
      </c>
      <c r="L569" s="217">
        <f t="shared" si="340"/>
        <v>0</v>
      </c>
      <c r="M569" s="217">
        <f t="shared" si="340"/>
        <v>0</v>
      </c>
      <c r="N569" s="217">
        <f t="shared" si="340"/>
        <v>0</v>
      </c>
      <c r="O569" s="69" t="s">
        <v>2319</v>
      </c>
    </row>
    <row r="571" spans="1:20">
      <c r="C571" s="217" t="s">
        <v>1043</v>
      </c>
    </row>
    <row r="572" spans="1:20">
      <c r="D572" s="69" t="s">
        <v>2320</v>
      </c>
      <c r="E572" s="426">
        <f t="shared" ref="E572:N572" si="341">IF(calcCSGExpLeftPostQ4&lt;1,0,calcFullCSGExp*(1/calcCSGTimeline)*$S572)</f>
        <v>0</v>
      </c>
      <c r="F572" s="426">
        <f t="shared" si="341"/>
        <v>0</v>
      </c>
      <c r="G572" s="426">
        <f t="shared" si="341"/>
        <v>0</v>
      </c>
      <c r="H572" s="426">
        <f t="shared" si="341"/>
        <v>0</v>
      </c>
      <c r="I572" s="426">
        <f t="shared" si="341"/>
        <v>0</v>
      </c>
      <c r="J572" s="426">
        <f t="shared" si="341"/>
        <v>0</v>
      </c>
      <c r="K572" s="426">
        <f t="shared" si="341"/>
        <v>0</v>
      </c>
      <c r="L572" s="426">
        <f t="shared" si="341"/>
        <v>0</v>
      </c>
      <c r="M572" s="426">
        <f t="shared" si="341"/>
        <v>0</v>
      </c>
      <c r="N572" s="426">
        <f t="shared" si="341"/>
        <v>0</v>
      </c>
      <c r="O572" s="69" t="s">
        <v>2321</v>
      </c>
      <c r="Q572" s="69">
        <f>CHOOSE(xxRound+1,S572,S572,S572,T572)</f>
        <v>3</v>
      </c>
      <c r="S572" s="69">
        <v>3</v>
      </c>
      <c r="T572" s="69">
        <v>3</v>
      </c>
    </row>
    <row r="573" spans="1:20">
      <c r="D573" s="69" t="s">
        <v>2322</v>
      </c>
      <c r="E573" s="426">
        <f t="shared" ref="E573:N573" si="342">calcFullCSGExpY2-calcY2Q1CSGExp</f>
        <v>0</v>
      </c>
      <c r="F573" s="426">
        <f t="shared" si="342"/>
        <v>0</v>
      </c>
      <c r="G573" s="426">
        <f t="shared" si="342"/>
        <v>0</v>
      </c>
      <c r="H573" s="426">
        <f t="shared" si="342"/>
        <v>0</v>
      </c>
      <c r="I573" s="426">
        <f t="shared" si="342"/>
        <v>0</v>
      </c>
      <c r="J573" s="426">
        <f t="shared" si="342"/>
        <v>0</v>
      </c>
      <c r="K573" s="426">
        <f t="shared" si="342"/>
        <v>0</v>
      </c>
      <c r="L573" s="426">
        <f t="shared" si="342"/>
        <v>0</v>
      </c>
      <c r="M573" s="426">
        <f t="shared" si="342"/>
        <v>0</v>
      </c>
      <c r="N573" s="426">
        <f t="shared" si="342"/>
        <v>0</v>
      </c>
      <c r="O573" s="69" t="s">
        <v>2323</v>
      </c>
    </row>
    <row r="574" spans="1:20" customFormat="1">
      <c r="E574" s="26"/>
      <c r="F574" s="26"/>
      <c r="G574" s="26"/>
      <c r="H574" s="26"/>
      <c r="I574" s="26"/>
      <c r="J574" s="26"/>
      <c r="K574" s="26"/>
      <c r="L574" s="26"/>
      <c r="M574" s="26"/>
      <c r="N574" s="26"/>
    </row>
    <row r="575" spans="1:20">
      <c r="D575" s="69" t="s">
        <v>2324</v>
      </c>
      <c r="E575" s="426">
        <f t="shared" ref="E575:N575" si="343">IF(calcCSGExpLeftPostY2Q1&lt;1,0,calcFullCSGExp*(1/calcCSGTimeline)*$S575)</f>
        <v>0</v>
      </c>
      <c r="F575" s="426">
        <f t="shared" si="343"/>
        <v>0</v>
      </c>
      <c r="G575" s="426">
        <f t="shared" si="343"/>
        <v>0</v>
      </c>
      <c r="H575" s="426">
        <f t="shared" si="343"/>
        <v>0</v>
      </c>
      <c r="I575" s="426">
        <f t="shared" si="343"/>
        <v>0</v>
      </c>
      <c r="J575" s="426">
        <f t="shared" si="343"/>
        <v>0</v>
      </c>
      <c r="K575" s="426">
        <f t="shared" si="343"/>
        <v>0</v>
      </c>
      <c r="L575" s="426">
        <f t="shared" si="343"/>
        <v>0</v>
      </c>
      <c r="M575" s="426">
        <f t="shared" si="343"/>
        <v>0</v>
      </c>
      <c r="N575" s="426">
        <f t="shared" si="343"/>
        <v>0</v>
      </c>
      <c r="O575" s="69" t="s">
        <v>2325</v>
      </c>
      <c r="Q575" s="69">
        <f>CHOOSE(xxRound+1,S575,S575,S575,T575)</f>
        <v>3</v>
      </c>
      <c r="S575" s="69">
        <v>3</v>
      </c>
      <c r="T575" s="69">
        <v>3</v>
      </c>
    </row>
    <row r="576" spans="1:20">
      <c r="D576" s="69" t="s">
        <v>2326</v>
      </c>
      <c r="E576" s="426">
        <f t="shared" ref="E576:N576" si="344">calcCSGExpLeftPostY2Q1-calcY2Q2CSGExp</f>
        <v>0</v>
      </c>
      <c r="F576" s="426">
        <f t="shared" si="344"/>
        <v>0</v>
      </c>
      <c r="G576" s="426">
        <f t="shared" si="344"/>
        <v>0</v>
      </c>
      <c r="H576" s="426">
        <f t="shared" si="344"/>
        <v>0</v>
      </c>
      <c r="I576" s="426">
        <f t="shared" si="344"/>
        <v>0</v>
      </c>
      <c r="J576" s="426">
        <f t="shared" si="344"/>
        <v>0</v>
      </c>
      <c r="K576" s="426">
        <f t="shared" si="344"/>
        <v>0</v>
      </c>
      <c r="L576" s="426">
        <f t="shared" si="344"/>
        <v>0</v>
      </c>
      <c r="M576" s="426">
        <f t="shared" si="344"/>
        <v>0</v>
      </c>
      <c r="N576" s="426">
        <f t="shared" si="344"/>
        <v>0</v>
      </c>
      <c r="O576" s="69" t="s">
        <v>2327</v>
      </c>
    </row>
    <row r="577" spans="1:20" customFormat="1">
      <c r="E577" s="26"/>
      <c r="F577" s="26"/>
      <c r="G577" s="26"/>
      <c r="H577" s="26"/>
      <c r="I577" s="26"/>
      <c r="J577" s="26"/>
      <c r="K577" s="26"/>
      <c r="L577" s="26"/>
      <c r="M577" s="26"/>
      <c r="N577" s="26"/>
    </row>
    <row r="578" spans="1:20">
      <c r="D578" s="69" t="s">
        <v>2328</v>
      </c>
      <c r="E578" s="426">
        <f t="shared" ref="E578:N578" si="345">IF(calcCSGExpLeftPostY2Q2&lt;1,0,calcFullCSGExp*(1/calcCSGTimeline)*$S578)</f>
        <v>0</v>
      </c>
      <c r="F578" s="426">
        <f t="shared" si="345"/>
        <v>0</v>
      </c>
      <c r="G578" s="426">
        <f t="shared" si="345"/>
        <v>0</v>
      </c>
      <c r="H578" s="426">
        <f t="shared" si="345"/>
        <v>0</v>
      </c>
      <c r="I578" s="426">
        <f t="shared" si="345"/>
        <v>0</v>
      </c>
      <c r="J578" s="426">
        <f t="shared" si="345"/>
        <v>0</v>
      </c>
      <c r="K578" s="426">
        <f t="shared" si="345"/>
        <v>0</v>
      </c>
      <c r="L578" s="426">
        <f t="shared" si="345"/>
        <v>0</v>
      </c>
      <c r="M578" s="426">
        <f t="shared" si="345"/>
        <v>0</v>
      </c>
      <c r="N578" s="426">
        <f t="shared" si="345"/>
        <v>0</v>
      </c>
      <c r="O578" s="69" t="s">
        <v>2329</v>
      </c>
      <c r="Q578" s="69">
        <f>CHOOSE(xxRound+1,S578,S578,S578,T578)</f>
        <v>3</v>
      </c>
      <c r="S578" s="69">
        <v>3</v>
      </c>
      <c r="T578" s="69">
        <v>3</v>
      </c>
    </row>
    <row r="579" spans="1:20">
      <c r="D579" s="69" t="s">
        <v>2330</v>
      </c>
      <c r="E579" s="426">
        <f t="shared" ref="E579:N579" si="346">calcCSGExpLeftPostY2Q2-calcY2Q3CSGExp</f>
        <v>0</v>
      </c>
      <c r="F579" s="426">
        <f t="shared" si="346"/>
        <v>0</v>
      </c>
      <c r="G579" s="426">
        <f t="shared" si="346"/>
        <v>0</v>
      </c>
      <c r="H579" s="426">
        <f t="shared" si="346"/>
        <v>0</v>
      </c>
      <c r="I579" s="426">
        <f t="shared" si="346"/>
        <v>0</v>
      </c>
      <c r="J579" s="426">
        <f t="shared" si="346"/>
        <v>0</v>
      </c>
      <c r="K579" s="426">
        <f t="shared" si="346"/>
        <v>0</v>
      </c>
      <c r="L579" s="426">
        <f t="shared" si="346"/>
        <v>0</v>
      </c>
      <c r="M579" s="426">
        <f t="shared" si="346"/>
        <v>0</v>
      </c>
      <c r="N579" s="426">
        <f t="shared" si="346"/>
        <v>0</v>
      </c>
      <c r="O579" s="69" t="s">
        <v>2331</v>
      </c>
    </row>
    <row r="580" spans="1:20" customFormat="1">
      <c r="E580" s="26"/>
      <c r="F580" s="26"/>
      <c r="G580" s="26"/>
      <c r="H580" s="26"/>
      <c r="I580" s="26"/>
      <c r="J580" s="26"/>
      <c r="K580" s="26"/>
      <c r="L580" s="26"/>
      <c r="M580" s="26"/>
      <c r="N580" s="26"/>
    </row>
    <row r="581" spans="1:20">
      <c r="D581" s="69" t="s">
        <v>2332</v>
      </c>
      <c r="E581" s="426">
        <f t="shared" ref="E581:N581" si="347">IF(calcCSGExpLeftPostY2Q3&lt;1,0,calcFullCSGExp*(1/calcCSGTimeline)*$S581)</f>
        <v>0</v>
      </c>
      <c r="F581" s="426">
        <f t="shared" si="347"/>
        <v>0</v>
      </c>
      <c r="G581" s="426">
        <f t="shared" si="347"/>
        <v>0</v>
      </c>
      <c r="H581" s="426">
        <f t="shared" si="347"/>
        <v>0</v>
      </c>
      <c r="I581" s="426">
        <f t="shared" si="347"/>
        <v>0</v>
      </c>
      <c r="J581" s="426">
        <f t="shared" si="347"/>
        <v>0</v>
      </c>
      <c r="K581" s="426">
        <f t="shared" si="347"/>
        <v>0</v>
      </c>
      <c r="L581" s="426">
        <f t="shared" si="347"/>
        <v>0</v>
      </c>
      <c r="M581" s="426">
        <f t="shared" si="347"/>
        <v>0</v>
      </c>
      <c r="N581" s="426">
        <f t="shared" si="347"/>
        <v>0</v>
      </c>
      <c r="O581" s="69" t="s">
        <v>2333</v>
      </c>
      <c r="Q581" s="69">
        <f>CHOOSE(xxRound+1,S581,S581,S581,T581)</f>
        <v>3</v>
      </c>
      <c r="S581" s="69">
        <v>3</v>
      </c>
      <c r="T581" s="69">
        <v>3</v>
      </c>
    </row>
    <row r="582" spans="1:20">
      <c r="D582" s="69" t="s">
        <v>2334</v>
      </c>
      <c r="E582" s="426">
        <f t="shared" ref="E582:N582" si="348">calcCSGExpLeftPostY2Q3-calcY2Q4CSGExp</f>
        <v>0</v>
      </c>
      <c r="F582" s="426">
        <f t="shared" si="348"/>
        <v>0</v>
      </c>
      <c r="G582" s="426">
        <f t="shared" si="348"/>
        <v>0</v>
      </c>
      <c r="H582" s="426">
        <f t="shared" si="348"/>
        <v>0</v>
      </c>
      <c r="I582" s="426">
        <f t="shared" si="348"/>
        <v>0</v>
      </c>
      <c r="J582" s="426">
        <f t="shared" si="348"/>
        <v>0</v>
      </c>
      <c r="K582" s="426">
        <f t="shared" si="348"/>
        <v>0</v>
      </c>
      <c r="L582" s="426">
        <f t="shared" si="348"/>
        <v>0</v>
      </c>
      <c r="M582" s="426">
        <f t="shared" si="348"/>
        <v>0</v>
      </c>
      <c r="N582" s="426">
        <f t="shared" si="348"/>
        <v>0</v>
      </c>
      <c r="O582" s="69" t="s">
        <v>2335</v>
      </c>
    </row>
    <row r="583" spans="1:20">
      <c r="E583" s="426"/>
      <c r="F583" s="426"/>
      <c r="G583" s="426"/>
      <c r="H583" s="426"/>
      <c r="I583" s="426"/>
      <c r="J583" s="426"/>
      <c r="K583" s="426"/>
      <c r="L583" s="426"/>
      <c r="M583" s="426"/>
      <c r="N583" s="426"/>
    </row>
    <row r="584" spans="1:20">
      <c r="E584" s="426"/>
      <c r="F584" s="426"/>
      <c r="G584" s="426"/>
      <c r="H584" s="426"/>
      <c r="I584" s="426"/>
      <c r="J584" s="426"/>
      <c r="K584" s="426"/>
      <c r="L584" s="426"/>
      <c r="M584" s="426"/>
      <c r="N584" s="426"/>
    </row>
    <row r="585" spans="1:20" s="471" customFormat="1">
      <c r="A585" s="471" t="s">
        <v>3079</v>
      </c>
    </row>
    <row r="586" spans="1:20">
      <c r="E586" s="426"/>
      <c r="F586" s="426"/>
      <c r="G586" s="426"/>
      <c r="H586" s="426"/>
      <c r="I586" s="426"/>
      <c r="J586" s="426"/>
      <c r="K586" s="426"/>
      <c r="L586" s="426"/>
      <c r="M586" s="426"/>
      <c r="N586" s="426"/>
    </row>
    <row r="587" spans="1:20">
      <c r="D587" s="69" t="s">
        <v>2197</v>
      </c>
      <c r="E587" s="426">
        <f>INDEX(datatblBrandIntegration,MATCH(decGTMBrandIntegration,Data!$C$220:$C$226,0),4)</f>
        <v>0</v>
      </c>
      <c r="F587" s="426">
        <f>INDEX(datatblBrandIntegration,MATCH(decGTMBrandIntegration,Data!$C$220:$C$226,0),4)</f>
        <v>0</v>
      </c>
      <c r="G587" s="426">
        <f>INDEX(datatblBrandIntegration,MATCH(decGTMBrandIntegration,Data!$C$220:$C$226,0),4)</f>
        <v>0</v>
      </c>
      <c r="H587" s="426">
        <f>INDEX(datatblBrandIntegration,MATCH(decGTMBrandIntegration,Data!$C$220:$C$226,0),4)</f>
        <v>0</v>
      </c>
      <c r="I587" s="426">
        <f>INDEX(datatblBrandIntegration,MATCH(decGTMBrandIntegration,Data!$C$220:$C$226,0),4)</f>
        <v>0</v>
      </c>
      <c r="J587" s="426">
        <f>INDEX(datatblBrandIntegration,MATCH(decGTMBrandIntegration,Data!$C$220:$C$226,0),4)</f>
        <v>0</v>
      </c>
      <c r="K587" s="426">
        <f>INDEX(datatblBrandIntegration,MATCH(decGTMBrandIntegration,Data!$C$220:$C$226,0),4)</f>
        <v>0</v>
      </c>
      <c r="L587" s="426">
        <f>INDEX(datatblBrandIntegration,MATCH(decGTMBrandIntegration,Data!$C$220:$C$226,0),4)</f>
        <v>0</v>
      </c>
      <c r="M587" s="426">
        <f>INDEX(datatblBrandIntegration,MATCH(decGTMBrandIntegration,Data!$C$220:$C$226,0),4)</f>
        <v>0</v>
      </c>
      <c r="N587" s="426">
        <f>INDEX(datatblBrandIntegration,MATCH(decGTMBrandIntegration,Data!$C$220:$C$226,0),4)</f>
        <v>0</v>
      </c>
      <c r="O587" s="217" t="s">
        <v>3081</v>
      </c>
    </row>
    <row r="588" spans="1:20">
      <c r="E588" s="426"/>
      <c r="F588" s="426"/>
      <c r="G588" s="426"/>
      <c r="H588" s="426"/>
      <c r="I588" s="426"/>
      <c r="J588" s="426"/>
      <c r="K588" s="426"/>
      <c r="L588" s="426"/>
      <c r="M588" s="426"/>
      <c r="N588" s="426"/>
    </row>
    <row r="589" spans="1:20">
      <c r="D589" s="69" t="s">
        <v>974</v>
      </c>
      <c r="E589" s="803">
        <f t="shared" ref="E589:N589" si="349">calcBrandIntegrationTimeline</f>
        <v>27</v>
      </c>
      <c r="F589" s="803">
        <f t="shared" si="349"/>
        <v>27</v>
      </c>
      <c r="G589" s="803">
        <f t="shared" si="349"/>
        <v>27</v>
      </c>
      <c r="H589" s="803">
        <f t="shared" si="349"/>
        <v>27</v>
      </c>
      <c r="I589" s="803">
        <f t="shared" si="349"/>
        <v>27</v>
      </c>
      <c r="J589" s="803">
        <f t="shared" si="349"/>
        <v>27</v>
      </c>
      <c r="K589" s="803">
        <f t="shared" si="349"/>
        <v>27</v>
      </c>
      <c r="L589" s="803">
        <f t="shared" si="349"/>
        <v>27</v>
      </c>
      <c r="M589" s="803">
        <f t="shared" si="349"/>
        <v>27</v>
      </c>
      <c r="N589" s="803">
        <f t="shared" si="349"/>
        <v>27</v>
      </c>
      <c r="O589" s="69" t="s">
        <v>3112</v>
      </c>
    </row>
    <row r="590" spans="1:20">
      <c r="E590" s="426"/>
      <c r="F590" s="426"/>
      <c r="G590" s="426"/>
      <c r="H590" s="426"/>
      <c r="I590" s="426"/>
      <c r="J590" s="426"/>
      <c r="K590" s="426"/>
      <c r="L590" s="426"/>
      <c r="M590" s="426"/>
      <c r="N590" s="426"/>
    </row>
    <row r="591" spans="1:20">
      <c r="C591" s="217" t="s">
        <v>1043</v>
      </c>
    </row>
    <row r="592" spans="1:20">
      <c r="D592" s="69" t="s">
        <v>3113</v>
      </c>
      <c r="E592" s="426">
        <f t="shared" ref="E592:N592" si="350">IF(calcBrandIntegrationTimeline&lt;$S592,calcFullBrandIntExp/$T592,0)</f>
        <v>0</v>
      </c>
      <c r="F592" s="426">
        <f t="shared" si="350"/>
        <v>0</v>
      </c>
      <c r="G592" s="426">
        <f t="shared" si="350"/>
        <v>0</v>
      </c>
      <c r="H592" s="426">
        <f t="shared" si="350"/>
        <v>0</v>
      </c>
      <c r="I592" s="426">
        <f t="shared" si="350"/>
        <v>0</v>
      </c>
      <c r="J592" s="426">
        <f t="shared" si="350"/>
        <v>0</v>
      </c>
      <c r="K592" s="426">
        <f t="shared" si="350"/>
        <v>0</v>
      </c>
      <c r="L592" s="426">
        <f t="shared" si="350"/>
        <v>0</v>
      </c>
      <c r="M592" s="426">
        <f t="shared" si="350"/>
        <v>0</v>
      </c>
      <c r="N592" s="426">
        <f t="shared" si="350"/>
        <v>0</v>
      </c>
      <c r="O592" s="69" t="s">
        <v>3083</v>
      </c>
      <c r="Q592" s="69">
        <f>CHOOSE(xxRound+1,S592,S592,S592,T592)</f>
        <v>3.01</v>
      </c>
      <c r="S592" s="69">
        <v>3.01</v>
      </c>
      <c r="T592" s="69">
        <v>4</v>
      </c>
    </row>
    <row r="593" spans="1:20">
      <c r="D593" s="69" t="s">
        <v>3114</v>
      </c>
      <c r="E593" s="426">
        <f t="shared" ref="E593:N593" si="351">calcFullBrandIntExp-calcQ1BrandIntExp</f>
        <v>0</v>
      </c>
      <c r="F593" s="426">
        <f t="shared" si="351"/>
        <v>0</v>
      </c>
      <c r="G593" s="426">
        <f t="shared" si="351"/>
        <v>0</v>
      </c>
      <c r="H593" s="426">
        <f t="shared" si="351"/>
        <v>0</v>
      </c>
      <c r="I593" s="426">
        <f t="shared" si="351"/>
        <v>0</v>
      </c>
      <c r="J593" s="426">
        <f t="shared" si="351"/>
        <v>0</v>
      </c>
      <c r="K593" s="426">
        <f t="shared" si="351"/>
        <v>0</v>
      </c>
      <c r="L593" s="426">
        <f t="shared" si="351"/>
        <v>0</v>
      </c>
      <c r="M593" s="426">
        <f t="shared" si="351"/>
        <v>0</v>
      </c>
      <c r="N593" s="426">
        <f t="shared" si="351"/>
        <v>0</v>
      </c>
      <c r="O593" s="69" t="s">
        <v>3084</v>
      </c>
    </row>
    <row r="594" spans="1:20" customFormat="1">
      <c r="E594" s="26"/>
      <c r="F594" s="26"/>
      <c r="G594" s="26"/>
      <c r="H594" s="26"/>
      <c r="I594" s="26"/>
      <c r="J594" s="26"/>
      <c r="K594" s="26"/>
      <c r="L594" s="26"/>
      <c r="M594" s="26"/>
      <c r="N594" s="26"/>
    </row>
    <row r="595" spans="1:20">
      <c r="D595" s="69" t="s">
        <v>3115</v>
      </c>
      <c r="E595" s="426">
        <f t="shared" ref="E595:N595" si="352">IF(calcBrandIntegrationTimeline&lt;$S595,calcFullBrandIntExp/$T595,0)</f>
        <v>0</v>
      </c>
      <c r="F595" s="426">
        <f t="shared" si="352"/>
        <v>0</v>
      </c>
      <c r="G595" s="426">
        <f t="shared" si="352"/>
        <v>0</v>
      </c>
      <c r="H595" s="426">
        <f t="shared" si="352"/>
        <v>0</v>
      </c>
      <c r="I595" s="426">
        <f t="shared" si="352"/>
        <v>0</v>
      </c>
      <c r="J595" s="426">
        <f t="shared" si="352"/>
        <v>0</v>
      </c>
      <c r="K595" s="426">
        <f t="shared" si="352"/>
        <v>0</v>
      </c>
      <c r="L595" s="426">
        <f t="shared" si="352"/>
        <v>0</v>
      </c>
      <c r="M595" s="426">
        <f t="shared" si="352"/>
        <v>0</v>
      </c>
      <c r="N595" s="426">
        <f t="shared" si="352"/>
        <v>0</v>
      </c>
      <c r="O595" s="69" t="s">
        <v>3085</v>
      </c>
      <c r="Q595" s="69">
        <f>CHOOSE(xxRound+1,S595,S595,S595,T595)</f>
        <v>6.01</v>
      </c>
      <c r="S595" s="69">
        <v>6.01</v>
      </c>
      <c r="T595" s="69">
        <v>4</v>
      </c>
    </row>
    <row r="596" spans="1:20">
      <c r="D596" s="69" t="s">
        <v>3116</v>
      </c>
      <c r="E596" s="426">
        <f t="shared" ref="E596:N596" si="353">calcBrandIntExpLeftPostQ1-calcQ2BrandIntExp</f>
        <v>0</v>
      </c>
      <c r="F596" s="426">
        <f t="shared" si="353"/>
        <v>0</v>
      </c>
      <c r="G596" s="426">
        <f t="shared" si="353"/>
        <v>0</v>
      </c>
      <c r="H596" s="426">
        <f t="shared" si="353"/>
        <v>0</v>
      </c>
      <c r="I596" s="426">
        <f t="shared" si="353"/>
        <v>0</v>
      </c>
      <c r="J596" s="426">
        <f t="shared" si="353"/>
        <v>0</v>
      </c>
      <c r="K596" s="426">
        <f t="shared" si="353"/>
        <v>0</v>
      </c>
      <c r="L596" s="426">
        <f t="shared" si="353"/>
        <v>0</v>
      </c>
      <c r="M596" s="426">
        <f t="shared" si="353"/>
        <v>0</v>
      </c>
      <c r="N596" s="426">
        <f t="shared" si="353"/>
        <v>0</v>
      </c>
      <c r="O596" s="69" t="s">
        <v>3086</v>
      </c>
    </row>
    <row r="597" spans="1:20" customFormat="1">
      <c r="E597" s="26"/>
      <c r="F597" s="26"/>
      <c r="G597" s="26"/>
      <c r="H597" s="26"/>
      <c r="I597" s="26"/>
      <c r="J597" s="26"/>
      <c r="K597" s="26"/>
      <c r="L597" s="26"/>
      <c r="M597" s="26"/>
      <c r="N597" s="26"/>
    </row>
    <row r="598" spans="1:20">
      <c r="D598" s="69" t="s">
        <v>3117</v>
      </c>
      <c r="E598" s="426">
        <f t="shared" ref="E598:N598" si="354">IF(calcBrandIntegrationTimeline&lt;$S598,calcFullBrandIntExp/$T598,0)</f>
        <v>0</v>
      </c>
      <c r="F598" s="426">
        <f t="shared" si="354"/>
        <v>0</v>
      </c>
      <c r="G598" s="426">
        <f t="shared" si="354"/>
        <v>0</v>
      </c>
      <c r="H598" s="426">
        <f t="shared" si="354"/>
        <v>0</v>
      </c>
      <c r="I598" s="426">
        <f t="shared" si="354"/>
        <v>0</v>
      </c>
      <c r="J598" s="426">
        <f t="shared" si="354"/>
        <v>0</v>
      </c>
      <c r="K598" s="426">
        <f t="shared" si="354"/>
        <v>0</v>
      </c>
      <c r="L598" s="426">
        <f t="shared" si="354"/>
        <v>0</v>
      </c>
      <c r="M598" s="426">
        <f t="shared" si="354"/>
        <v>0</v>
      </c>
      <c r="N598" s="426">
        <f t="shared" si="354"/>
        <v>0</v>
      </c>
      <c r="O598" s="69" t="s">
        <v>3087</v>
      </c>
      <c r="Q598" s="69">
        <f>CHOOSE(xxRound+1,S598,S598,S598,T598)</f>
        <v>9.01</v>
      </c>
      <c r="S598" s="69">
        <v>9.01</v>
      </c>
      <c r="T598" s="69">
        <v>4</v>
      </c>
    </row>
    <row r="599" spans="1:20">
      <c r="D599" s="69" t="s">
        <v>3118</v>
      </c>
      <c r="E599" s="426">
        <f t="shared" ref="E599:N599" si="355">calcBrandIntExpLeftPostQ2-calcQ3BrandIntExp</f>
        <v>0</v>
      </c>
      <c r="F599" s="426">
        <f t="shared" si="355"/>
        <v>0</v>
      </c>
      <c r="G599" s="426">
        <f t="shared" si="355"/>
        <v>0</v>
      </c>
      <c r="H599" s="426">
        <f t="shared" si="355"/>
        <v>0</v>
      </c>
      <c r="I599" s="426">
        <f t="shared" si="355"/>
        <v>0</v>
      </c>
      <c r="J599" s="426">
        <f t="shared" si="355"/>
        <v>0</v>
      </c>
      <c r="K599" s="426">
        <f t="shared" si="355"/>
        <v>0</v>
      </c>
      <c r="L599" s="426">
        <f t="shared" si="355"/>
        <v>0</v>
      </c>
      <c r="M599" s="426">
        <f t="shared" si="355"/>
        <v>0</v>
      </c>
      <c r="N599" s="426">
        <f t="shared" si="355"/>
        <v>0</v>
      </c>
      <c r="O599" s="69" t="s">
        <v>3088</v>
      </c>
    </row>
    <row r="600" spans="1:20" customFormat="1">
      <c r="E600" s="26"/>
      <c r="F600" s="26"/>
      <c r="G600" s="26"/>
      <c r="H600" s="26"/>
      <c r="I600" s="26"/>
      <c r="J600" s="26"/>
      <c r="K600" s="26"/>
      <c r="L600" s="26"/>
      <c r="M600" s="26"/>
      <c r="N600" s="26"/>
    </row>
    <row r="601" spans="1:20">
      <c r="D601" s="69" t="s">
        <v>3119</v>
      </c>
      <c r="E601" s="426">
        <f t="shared" ref="E601:N601" si="356">IF(calcBrandIntegrationTimeline&lt;$S601,calcFullBrandIntExp/$T601,0)</f>
        <v>0</v>
      </c>
      <c r="F601" s="426">
        <f t="shared" si="356"/>
        <v>0</v>
      </c>
      <c r="G601" s="426">
        <f t="shared" si="356"/>
        <v>0</v>
      </c>
      <c r="H601" s="426">
        <f t="shared" si="356"/>
        <v>0</v>
      </c>
      <c r="I601" s="426">
        <f t="shared" si="356"/>
        <v>0</v>
      </c>
      <c r="J601" s="426">
        <f t="shared" si="356"/>
        <v>0</v>
      </c>
      <c r="K601" s="426">
        <f t="shared" si="356"/>
        <v>0</v>
      </c>
      <c r="L601" s="426">
        <f t="shared" si="356"/>
        <v>0</v>
      </c>
      <c r="M601" s="426">
        <f t="shared" si="356"/>
        <v>0</v>
      </c>
      <c r="N601" s="426">
        <f t="shared" si="356"/>
        <v>0</v>
      </c>
      <c r="O601" s="69" t="s">
        <v>3089</v>
      </c>
      <c r="Q601" s="69">
        <f>CHOOSE(xxRound+1,S601,S601,S601,T601)</f>
        <v>12.01</v>
      </c>
      <c r="S601" s="69">
        <v>12.01</v>
      </c>
      <c r="T601" s="69">
        <v>4</v>
      </c>
    </row>
    <row r="602" spans="1:20">
      <c r="D602" s="69" t="s">
        <v>3120</v>
      </c>
      <c r="E602" s="426">
        <f t="shared" ref="E602:N602" si="357">calcBrandIntExpLeftPostQ3-calcQ4BrandIntExp</f>
        <v>0</v>
      </c>
      <c r="F602" s="426">
        <f t="shared" si="357"/>
        <v>0</v>
      </c>
      <c r="G602" s="426">
        <f t="shared" si="357"/>
        <v>0</v>
      </c>
      <c r="H602" s="426">
        <f t="shared" si="357"/>
        <v>0</v>
      </c>
      <c r="I602" s="426">
        <f t="shared" si="357"/>
        <v>0</v>
      </c>
      <c r="J602" s="426">
        <f t="shared" si="357"/>
        <v>0</v>
      </c>
      <c r="K602" s="426">
        <f t="shared" si="357"/>
        <v>0</v>
      </c>
      <c r="L602" s="426">
        <f t="shared" si="357"/>
        <v>0</v>
      </c>
      <c r="M602" s="426">
        <f t="shared" si="357"/>
        <v>0</v>
      </c>
      <c r="N602" s="426">
        <f t="shared" si="357"/>
        <v>0</v>
      </c>
      <c r="O602" s="69" t="s">
        <v>3090</v>
      </c>
      <c r="S602" s="217"/>
      <c r="T602" s="217"/>
    </row>
    <row r="603" spans="1:20">
      <c r="S603"/>
      <c r="T603"/>
    </row>
    <row r="604" spans="1:20">
      <c r="A604" s="217"/>
      <c r="S604" s="476"/>
      <c r="T604" s="476"/>
    </row>
    <row r="605" spans="1:20" s="217" customFormat="1">
      <c r="D605" s="217" t="s">
        <v>3121</v>
      </c>
      <c r="E605" s="217">
        <f t="shared" ref="E605:N605" si="358">calcBrandIntExpLeftPostQ4</f>
        <v>0</v>
      </c>
      <c r="F605" s="217">
        <f t="shared" si="358"/>
        <v>0</v>
      </c>
      <c r="G605" s="217">
        <f t="shared" si="358"/>
        <v>0</v>
      </c>
      <c r="H605" s="217">
        <f t="shared" si="358"/>
        <v>0</v>
      </c>
      <c r="I605" s="217">
        <f t="shared" si="358"/>
        <v>0</v>
      </c>
      <c r="J605" s="217">
        <f t="shared" si="358"/>
        <v>0</v>
      </c>
      <c r="K605" s="217">
        <f t="shared" si="358"/>
        <v>0</v>
      </c>
      <c r="L605" s="217">
        <f t="shared" si="358"/>
        <v>0</v>
      </c>
      <c r="M605" s="217">
        <f t="shared" si="358"/>
        <v>0</v>
      </c>
      <c r="N605" s="217">
        <f t="shared" si="358"/>
        <v>0</v>
      </c>
      <c r="O605" s="69" t="s">
        <v>3091</v>
      </c>
      <c r="S605" s="69"/>
      <c r="T605" s="69"/>
    </row>
    <row r="607" spans="1:20">
      <c r="C607" s="217" t="s">
        <v>1043</v>
      </c>
    </row>
    <row r="608" spans="1:20">
      <c r="D608" s="69" t="s">
        <v>3122</v>
      </c>
      <c r="E608" s="426">
        <f t="shared" ref="E608:N608" si="359">IF(calcFullBrandIntExpY2&lt;1,0,IF(calcBrandIntegrationTimeline&lt;$S608,calcFullBrandIntExp/$T608,0))</f>
        <v>0</v>
      </c>
      <c r="F608" s="426">
        <f t="shared" si="359"/>
        <v>0</v>
      </c>
      <c r="G608" s="426">
        <f t="shared" si="359"/>
        <v>0</v>
      </c>
      <c r="H608" s="426">
        <f t="shared" si="359"/>
        <v>0</v>
      </c>
      <c r="I608" s="426">
        <f t="shared" si="359"/>
        <v>0</v>
      </c>
      <c r="J608" s="426">
        <f t="shared" si="359"/>
        <v>0</v>
      </c>
      <c r="K608" s="426">
        <f t="shared" si="359"/>
        <v>0</v>
      </c>
      <c r="L608" s="426">
        <f t="shared" si="359"/>
        <v>0</v>
      </c>
      <c r="M608" s="426">
        <f t="shared" si="359"/>
        <v>0</v>
      </c>
      <c r="N608" s="426">
        <f t="shared" si="359"/>
        <v>0</v>
      </c>
      <c r="O608" s="69" t="s">
        <v>3092</v>
      </c>
      <c r="Q608" s="69">
        <f>CHOOSE(xxRound+1,S608,S608,S608,T608)</f>
        <v>15.01</v>
      </c>
      <c r="S608" s="69">
        <v>15.01</v>
      </c>
      <c r="T608" s="69">
        <v>4</v>
      </c>
    </row>
    <row r="609" spans="1:20">
      <c r="D609" s="69" t="s">
        <v>3123</v>
      </c>
      <c r="E609" s="426">
        <f t="shared" ref="E609:N609" si="360">calcFullBrandIntExpY2-calcY2Q1BrandIntExp</f>
        <v>0</v>
      </c>
      <c r="F609" s="426">
        <f t="shared" si="360"/>
        <v>0</v>
      </c>
      <c r="G609" s="426">
        <f t="shared" si="360"/>
        <v>0</v>
      </c>
      <c r="H609" s="426">
        <f t="shared" si="360"/>
        <v>0</v>
      </c>
      <c r="I609" s="426">
        <f t="shared" si="360"/>
        <v>0</v>
      </c>
      <c r="J609" s="426">
        <f t="shared" si="360"/>
        <v>0</v>
      </c>
      <c r="K609" s="426">
        <f t="shared" si="360"/>
        <v>0</v>
      </c>
      <c r="L609" s="426">
        <f t="shared" si="360"/>
        <v>0</v>
      </c>
      <c r="M609" s="426">
        <f t="shared" si="360"/>
        <v>0</v>
      </c>
      <c r="N609" s="426">
        <f t="shared" si="360"/>
        <v>0</v>
      </c>
      <c r="O609" s="69" t="s">
        <v>3093</v>
      </c>
    </row>
    <row r="610" spans="1:20" customFormat="1">
      <c r="E610" s="26"/>
      <c r="F610" s="26"/>
      <c r="G610" s="26"/>
      <c r="H610" s="26"/>
      <c r="I610" s="26"/>
      <c r="J610" s="26"/>
      <c r="K610" s="26"/>
      <c r="L610" s="26"/>
      <c r="M610" s="26"/>
      <c r="N610" s="26"/>
    </row>
    <row r="611" spans="1:20">
      <c r="D611" s="69" t="s">
        <v>3124</v>
      </c>
      <c r="E611" s="426">
        <f t="shared" ref="E611:N611" si="361">IF(calcBrandIntExpLeftPostY2Q1&lt;1,0,IF(calcBrandIntegrationTimeline&lt;$S611,calcFullBrandIntExp/$T611,0))</f>
        <v>0</v>
      </c>
      <c r="F611" s="426">
        <f t="shared" si="361"/>
        <v>0</v>
      </c>
      <c r="G611" s="426">
        <f t="shared" si="361"/>
        <v>0</v>
      </c>
      <c r="H611" s="426">
        <f t="shared" si="361"/>
        <v>0</v>
      </c>
      <c r="I611" s="426">
        <f t="shared" si="361"/>
        <v>0</v>
      </c>
      <c r="J611" s="426">
        <f t="shared" si="361"/>
        <v>0</v>
      </c>
      <c r="K611" s="426">
        <f t="shared" si="361"/>
        <v>0</v>
      </c>
      <c r="L611" s="426">
        <f t="shared" si="361"/>
        <v>0</v>
      </c>
      <c r="M611" s="426">
        <f t="shared" si="361"/>
        <v>0</v>
      </c>
      <c r="N611" s="426">
        <f t="shared" si="361"/>
        <v>0</v>
      </c>
      <c r="O611" s="69" t="s">
        <v>3094</v>
      </c>
      <c r="Q611" s="69">
        <f>CHOOSE(xxRound+1,S611,S611,S611,T611)</f>
        <v>18.010000000000002</v>
      </c>
      <c r="S611" s="69">
        <v>18.010000000000002</v>
      </c>
      <c r="T611" s="69">
        <v>4</v>
      </c>
    </row>
    <row r="612" spans="1:20">
      <c r="D612" s="69" t="s">
        <v>3125</v>
      </c>
      <c r="E612" s="426">
        <f t="shared" ref="E612:N612" si="362">calcBrandIntExpLeftPostY2Q1-calcY2Q2BrandIntExp</f>
        <v>0</v>
      </c>
      <c r="F612" s="426">
        <f t="shared" si="362"/>
        <v>0</v>
      </c>
      <c r="G612" s="426">
        <f t="shared" si="362"/>
        <v>0</v>
      </c>
      <c r="H612" s="426">
        <f t="shared" si="362"/>
        <v>0</v>
      </c>
      <c r="I612" s="426">
        <f t="shared" si="362"/>
        <v>0</v>
      </c>
      <c r="J612" s="426">
        <f t="shared" si="362"/>
        <v>0</v>
      </c>
      <c r="K612" s="426">
        <f t="shared" si="362"/>
        <v>0</v>
      </c>
      <c r="L612" s="426">
        <f t="shared" si="362"/>
        <v>0</v>
      </c>
      <c r="M612" s="426">
        <f t="shared" si="362"/>
        <v>0</v>
      </c>
      <c r="N612" s="426">
        <f t="shared" si="362"/>
        <v>0</v>
      </c>
      <c r="O612" s="69" t="s">
        <v>3095</v>
      </c>
    </row>
    <row r="613" spans="1:20" customFormat="1">
      <c r="E613" s="26"/>
      <c r="F613" s="26"/>
      <c r="G613" s="26"/>
      <c r="H613" s="26"/>
      <c r="I613" s="26"/>
      <c r="J613" s="26"/>
      <c r="K613" s="26"/>
      <c r="L613" s="26"/>
      <c r="M613" s="26"/>
      <c r="N613" s="26"/>
    </row>
    <row r="614" spans="1:20">
      <c r="D614" s="69" t="s">
        <v>3126</v>
      </c>
      <c r="E614" s="426">
        <f t="shared" ref="E614:N614" si="363">IF(calcBrandIntExpLeftPostY2Q2&lt;1,0,IF(calcBrandIntegrationTimeline&lt;$S614,calcFullBrandIntExp/$T614,0))</f>
        <v>0</v>
      </c>
      <c r="F614" s="426">
        <f t="shared" si="363"/>
        <v>0</v>
      </c>
      <c r="G614" s="426">
        <f t="shared" si="363"/>
        <v>0</v>
      </c>
      <c r="H614" s="426">
        <f t="shared" si="363"/>
        <v>0</v>
      </c>
      <c r="I614" s="426">
        <f t="shared" si="363"/>
        <v>0</v>
      </c>
      <c r="J614" s="426">
        <f t="shared" si="363"/>
        <v>0</v>
      </c>
      <c r="K614" s="426">
        <f t="shared" si="363"/>
        <v>0</v>
      </c>
      <c r="L614" s="426">
        <f t="shared" si="363"/>
        <v>0</v>
      </c>
      <c r="M614" s="426">
        <f t="shared" si="363"/>
        <v>0</v>
      </c>
      <c r="N614" s="426">
        <f t="shared" si="363"/>
        <v>0</v>
      </c>
      <c r="O614" s="69" t="s">
        <v>3096</v>
      </c>
      <c r="Q614" s="69">
        <f>CHOOSE(xxRound+1,S614,S614,S614,T614)</f>
        <v>21.01</v>
      </c>
      <c r="S614" s="69">
        <v>21.01</v>
      </c>
      <c r="T614" s="69">
        <v>4</v>
      </c>
    </row>
    <row r="615" spans="1:20">
      <c r="D615" s="69" t="s">
        <v>3127</v>
      </c>
      <c r="E615" s="426">
        <f t="shared" ref="E615:N615" si="364">calcBrandIntExpLeftPostY2Q2-calcY2Q3BrandIntExp</f>
        <v>0</v>
      </c>
      <c r="F615" s="426">
        <f t="shared" si="364"/>
        <v>0</v>
      </c>
      <c r="G615" s="426">
        <f t="shared" si="364"/>
        <v>0</v>
      </c>
      <c r="H615" s="426">
        <f t="shared" si="364"/>
        <v>0</v>
      </c>
      <c r="I615" s="426">
        <f t="shared" si="364"/>
        <v>0</v>
      </c>
      <c r="J615" s="426">
        <f t="shared" si="364"/>
        <v>0</v>
      </c>
      <c r="K615" s="426">
        <f t="shared" si="364"/>
        <v>0</v>
      </c>
      <c r="L615" s="426">
        <f t="shared" si="364"/>
        <v>0</v>
      </c>
      <c r="M615" s="426">
        <f t="shared" si="364"/>
        <v>0</v>
      </c>
      <c r="N615" s="426">
        <f t="shared" si="364"/>
        <v>0</v>
      </c>
      <c r="O615" s="69" t="s">
        <v>3097</v>
      </c>
    </row>
    <row r="616" spans="1:20" customFormat="1">
      <c r="E616" s="26"/>
      <c r="F616" s="26"/>
      <c r="G616" s="26"/>
      <c r="H616" s="26"/>
      <c r="I616" s="26"/>
      <c r="J616" s="26"/>
      <c r="K616" s="26"/>
      <c r="L616" s="26"/>
      <c r="M616" s="26"/>
      <c r="N616" s="26"/>
    </row>
    <row r="617" spans="1:20">
      <c r="D617" s="69" t="s">
        <v>3128</v>
      </c>
      <c r="E617" s="426">
        <f t="shared" ref="E617:N617" si="365">IF(calcBrandIntExpLeftPostY2Q3&lt;1,0,IF(calcBrandIntegrationTimeline&lt;$S617,calcFullBrandIntExp/$T617,0))</f>
        <v>0</v>
      </c>
      <c r="F617" s="426">
        <f t="shared" si="365"/>
        <v>0</v>
      </c>
      <c r="G617" s="426">
        <f t="shared" si="365"/>
        <v>0</v>
      </c>
      <c r="H617" s="426">
        <f t="shared" si="365"/>
        <v>0</v>
      </c>
      <c r="I617" s="426">
        <f t="shared" si="365"/>
        <v>0</v>
      </c>
      <c r="J617" s="426">
        <f t="shared" si="365"/>
        <v>0</v>
      </c>
      <c r="K617" s="426">
        <f t="shared" si="365"/>
        <v>0</v>
      </c>
      <c r="L617" s="426">
        <f t="shared" si="365"/>
        <v>0</v>
      </c>
      <c r="M617" s="426">
        <f t="shared" si="365"/>
        <v>0</v>
      </c>
      <c r="N617" s="426">
        <f t="shared" si="365"/>
        <v>0</v>
      </c>
      <c r="O617" s="69" t="s">
        <v>3098</v>
      </c>
      <c r="Q617" s="69">
        <f>CHOOSE(xxRound+1,S617,S617,S617,T617)</f>
        <v>24.01</v>
      </c>
      <c r="S617" s="69">
        <v>24.01</v>
      </c>
      <c r="T617" s="69">
        <v>4</v>
      </c>
    </row>
    <row r="618" spans="1:20">
      <c r="D618" s="69" t="s">
        <v>3129</v>
      </c>
      <c r="E618" s="426">
        <f t="shared" ref="E618:N618" si="366">calcBrandIntExpLeftPostY2Q3-calcY2Q4BrandIntExp</f>
        <v>0</v>
      </c>
      <c r="F618" s="426">
        <f t="shared" si="366"/>
        <v>0</v>
      </c>
      <c r="G618" s="426">
        <f t="shared" si="366"/>
        <v>0</v>
      </c>
      <c r="H618" s="426">
        <f t="shared" si="366"/>
        <v>0</v>
      </c>
      <c r="I618" s="426">
        <f t="shared" si="366"/>
        <v>0</v>
      </c>
      <c r="J618" s="426">
        <f t="shared" si="366"/>
        <v>0</v>
      </c>
      <c r="K618" s="426">
        <f t="shared" si="366"/>
        <v>0</v>
      </c>
      <c r="L618" s="426">
        <f t="shared" si="366"/>
        <v>0</v>
      </c>
      <c r="M618" s="426">
        <f t="shared" si="366"/>
        <v>0</v>
      </c>
      <c r="N618" s="426">
        <f t="shared" si="366"/>
        <v>0</v>
      </c>
      <c r="O618" s="69" t="s">
        <v>3099</v>
      </c>
      <c r="S618"/>
      <c r="T618"/>
    </row>
    <row r="619" spans="1:20">
      <c r="E619" s="426"/>
      <c r="F619" s="426"/>
      <c r="G619" s="426"/>
      <c r="H619" s="426"/>
      <c r="I619" s="426"/>
      <c r="J619" s="426"/>
      <c r="K619" s="426"/>
      <c r="L619" s="426"/>
      <c r="M619" s="426"/>
      <c r="N619" s="426"/>
      <c r="S619" s="69">
        <v>18.010000000000002</v>
      </c>
      <c r="T619" s="69">
        <v>4</v>
      </c>
    </row>
    <row r="620" spans="1:20">
      <c r="E620" s="426"/>
      <c r="F620" s="426"/>
      <c r="G620" s="426"/>
      <c r="H620" s="426"/>
      <c r="I620" s="426"/>
      <c r="J620" s="426"/>
      <c r="K620" s="426"/>
      <c r="L620" s="426"/>
      <c r="M620" s="426"/>
      <c r="N620" s="426"/>
    </row>
    <row r="621" spans="1:20" s="471" customFormat="1">
      <c r="A621" s="471" t="s">
        <v>1670</v>
      </c>
      <c r="S621"/>
      <c r="T621"/>
    </row>
    <row r="622" spans="1:20">
      <c r="D622" s="69" t="s">
        <v>1064</v>
      </c>
      <c r="E622" s="504">
        <f>INDEX(datatblExternalSalesImpact,MATCH(decGTMExternalSales,Data!$C$85:$C$90,0),4)</f>
        <v>0</v>
      </c>
      <c r="F622" s="504">
        <f>INDEX(datatblExternalSalesImpact,MATCH(decGTMExternalSales,Data!$C$85:$C$90,0),4)</f>
        <v>0</v>
      </c>
      <c r="G622" s="504">
        <f>INDEX(datatblExternalSalesImpact,MATCH(decGTMExternalSales,Data!$C$85:$C$90,0),4)</f>
        <v>0</v>
      </c>
      <c r="H622" s="504">
        <f>INDEX(datatblExternalSalesImpact,MATCH(decGTMExternalSales,Data!$C$85:$C$90,0),4)</f>
        <v>0</v>
      </c>
      <c r="I622" s="504">
        <f>INDEX(datatblExternalSalesImpact,MATCH(decGTMExternalSales,Data!$C$85:$C$90,0),4)</f>
        <v>0</v>
      </c>
      <c r="J622" s="504">
        <f>INDEX(datatblExternalSalesImpact,MATCH(decGTMExternalSales,Data!$C$85:$C$90,0),4)</f>
        <v>0</v>
      </c>
      <c r="K622" s="504">
        <f>INDEX(datatblExternalSalesImpact,MATCH(decGTMExternalSales,Data!$C$85:$C$90,0),4)</f>
        <v>0</v>
      </c>
      <c r="L622" s="504">
        <f>INDEX(datatblExternalSalesImpact,MATCH(decGTMExternalSales,Data!$C$85:$C$90,0),4)</f>
        <v>0</v>
      </c>
      <c r="M622" s="504">
        <f>INDEX(datatblExternalSalesImpact,MATCH(decGTMExternalSales,Data!$C$85:$C$90,0),4)</f>
        <v>0</v>
      </c>
      <c r="N622" s="504">
        <f>INDEX(datatblExternalSalesImpact,MATCH(decGTMExternalSales,Data!$C$85:$C$90,0),4)</f>
        <v>0</v>
      </c>
      <c r="S622" s="69">
        <v>21.01</v>
      </c>
      <c r="T622" s="69">
        <v>4</v>
      </c>
    </row>
    <row r="624" spans="1:20">
      <c r="D624" s="69" t="s">
        <v>2236</v>
      </c>
      <c r="E624" s="69">
        <f>SUM(E622:E623)</f>
        <v>0</v>
      </c>
      <c r="F624" s="69">
        <f t="shared" ref="F624:I624" si="367">SUM(F622:F623)</f>
        <v>0</v>
      </c>
      <c r="G624" s="69">
        <f t="shared" si="367"/>
        <v>0</v>
      </c>
      <c r="H624" s="69">
        <f t="shared" si="367"/>
        <v>0</v>
      </c>
      <c r="I624" s="69">
        <f t="shared" si="367"/>
        <v>0</v>
      </c>
      <c r="J624" s="69">
        <f t="shared" ref="J624:N624" si="368">SUM(J622:J623)</f>
        <v>0</v>
      </c>
      <c r="K624" s="69">
        <f t="shared" si="368"/>
        <v>0</v>
      </c>
      <c r="L624" s="69">
        <f t="shared" si="368"/>
        <v>0</v>
      </c>
      <c r="M624" s="69">
        <f t="shared" si="368"/>
        <v>0</v>
      </c>
      <c r="N624" s="69">
        <f t="shared" si="368"/>
        <v>0</v>
      </c>
      <c r="O624" s="217" t="s">
        <v>1671</v>
      </c>
      <c r="S624"/>
      <c r="T624"/>
    </row>
    <row r="625" spans="3:20">
      <c r="S625" s="69">
        <v>24.01</v>
      </c>
      <c r="T625" s="69">
        <v>4</v>
      </c>
    </row>
    <row r="628" spans="3:20" s="700" customFormat="1">
      <c r="D628" s="700" t="s">
        <v>974</v>
      </c>
      <c r="E628" s="700">
        <f t="shared" ref="E628:N628" si="369">IF(decGTMExternalSales="CoPrime",3,IF(decGTMExternalSales="Hire More AEs",9,27))</f>
        <v>27</v>
      </c>
      <c r="F628" s="700">
        <f t="shared" si="369"/>
        <v>27</v>
      </c>
      <c r="G628" s="700">
        <f t="shared" si="369"/>
        <v>27</v>
      </c>
      <c r="H628" s="700">
        <f t="shared" si="369"/>
        <v>27</v>
      </c>
      <c r="I628" s="700">
        <f t="shared" si="369"/>
        <v>27</v>
      </c>
      <c r="J628" s="700">
        <f t="shared" si="369"/>
        <v>27</v>
      </c>
      <c r="K628" s="700">
        <f t="shared" si="369"/>
        <v>27</v>
      </c>
      <c r="L628" s="700">
        <f t="shared" si="369"/>
        <v>27</v>
      </c>
      <c r="M628" s="700">
        <f t="shared" si="369"/>
        <v>27</v>
      </c>
      <c r="N628" s="700">
        <f t="shared" si="369"/>
        <v>27</v>
      </c>
      <c r="O628" s="700" t="s">
        <v>1672</v>
      </c>
    </row>
    <row r="630" spans="3:20">
      <c r="C630" s="217" t="s">
        <v>1043</v>
      </c>
    </row>
    <row r="631" spans="3:20">
      <c r="D631" s="69" t="s">
        <v>1673</v>
      </c>
      <c r="E631" s="426">
        <f t="shared" ref="E631:N631" si="370">calcFullExternalSalesExp*(1/calcExternalSalesTimeline)*$S631</f>
        <v>0</v>
      </c>
      <c r="F631" s="426">
        <f t="shared" si="370"/>
        <v>0</v>
      </c>
      <c r="G631" s="426">
        <f t="shared" si="370"/>
        <v>0</v>
      </c>
      <c r="H631" s="426">
        <f t="shared" si="370"/>
        <v>0</v>
      </c>
      <c r="I631" s="426">
        <f t="shared" si="370"/>
        <v>0</v>
      </c>
      <c r="J631" s="426">
        <f t="shared" si="370"/>
        <v>0</v>
      </c>
      <c r="K631" s="426">
        <f t="shared" si="370"/>
        <v>0</v>
      </c>
      <c r="L631" s="426">
        <f t="shared" si="370"/>
        <v>0</v>
      </c>
      <c r="M631" s="426">
        <f t="shared" si="370"/>
        <v>0</v>
      </c>
      <c r="N631" s="426">
        <f t="shared" si="370"/>
        <v>0</v>
      </c>
      <c r="O631" s="69" t="s">
        <v>1674</v>
      </c>
      <c r="Q631" s="69">
        <f>CHOOSE(xxRound+1,S631,S631,S631,T631)</f>
        <v>3</v>
      </c>
      <c r="S631" s="69">
        <v>3</v>
      </c>
      <c r="T631" s="69">
        <v>3</v>
      </c>
    </row>
    <row r="632" spans="3:20">
      <c r="D632" s="69" t="s">
        <v>1675</v>
      </c>
      <c r="E632" s="426">
        <f t="shared" ref="E632:N632" si="371">calcFullExternalSalesExp-calcQ1ExternalSalesExp</f>
        <v>0</v>
      </c>
      <c r="F632" s="426">
        <f t="shared" si="371"/>
        <v>0</v>
      </c>
      <c r="G632" s="426">
        <f t="shared" si="371"/>
        <v>0</v>
      </c>
      <c r="H632" s="426">
        <f t="shared" si="371"/>
        <v>0</v>
      </c>
      <c r="I632" s="426">
        <f t="shared" si="371"/>
        <v>0</v>
      </c>
      <c r="J632" s="426">
        <f t="shared" si="371"/>
        <v>0</v>
      </c>
      <c r="K632" s="426">
        <f t="shared" si="371"/>
        <v>0</v>
      </c>
      <c r="L632" s="426">
        <f t="shared" si="371"/>
        <v>0</v>
      </c>
      <c r="M632" s="426">
        <f t="shared" si="371"/>
        <v>0</v>
      </c>
      <c r="N632" s="426">
        <f t="shared" si="371"/>
        <v>0</v>
      </c>
      <c r="O632" s="69" t="s">
        <v>1676</v>
      </c>
    </row>
    <row r="633" spans="3:20" customFormat="1">
      <c r="E633" s="26"/>
      <c r="F633" s="26"/>
      <c r="G633" s="26"/>
      <c r="H633" s="26"/>
      <c r="I633" s="26"/>
      <c r="J633" s="26"/>
      <c r="K633" s="26"/>
      <c r="L633" s="26"/>
      <c r="M633" s="26"/>
      <c r="N633" s="26"/>
    </row>
    <row r="634" spans="3:20">
      <c r="D634" s="69" t="s">
        <v>1677</v>
      </c>
      <c r="E634" s="426">
        <f t="shared" ref="E634:N634" si="372">IF(calcExternalSalesExpLeftPostQ1&lt;1,0,calcFullExternalSalesExp*(1/calcExternalSalesTimeline)*$S634)</f>
        <v>0</v>
      </c>
      <c r="F634" s="426">
        <f t="shared" si="372"/>
        <v>0</v>
      </c>
      <c r="G634" s="426">
        <f t="shared" si="372"/>
        <v>0</v>
      </c>
      <c r="H634" s="426">
        <f t="shared" si="372"/>
        <v>0</v>
      </c>
      <c r="I634" s="426">
        <f t="shared" si="372"/>
        <v>0</v>
      </c>
      <c r="J634" s="426">
        <f t="shared" si="372"/>
        <v>0</v>
      </c>
      <c r="K634" s="426">
        <f t="shared" si="372"/>
        <v>0</v>
      </c>
      <c r="L634" s="426">
        <f t="shared" si="372"/>
        <v>0</v>
      </c>
      <c r="M634" s="426">
        <f t="shared" si="372"/>
        <v>0</v>
      </c>
      <c r="N634" s="426">
        <f t="shared" si="372"/>
        <v>0</v>
      </c>
      <c r="O634" s="69" t="s">
        <v>1678</v>
      </c>
      <c r="Q634" s="69">
        <f>CHOOSE(xxRound+1,S634,S634,S634,T634)</f>
        <v>3</v>
      </c>
      <c r="S634" s="69">
        <v>3</v>
      </c>
      <c r="T634" s="69">
        <v>3</v>
      </c>
    </row>
    <row r="635" spans="3:20">
      <c r="D635" s="69" t="s">
        <v>1679</v>
      </c>
      <c r="E635" s="426">
        <f t="shared" ref="E635:N635" si="373">calcExternalSalesExpLeftPostQ1-calcQ2ExternalSalesExp</f>
        <v>0</v>
      </c>
      <c r="F635" s="426">
        <f t="shared" si="373"/>
        <v>0</v>
      </c>
      <c r="G635" s="426">
        <f t="shared" si="373"/>
        <v>0</v>
      </c>
      <c r="H635" s="426">
        <f t="shared" si="373"/>
        <v>0</v>
      </c>
      <c r="I635" s="426">
        <f t="shared" si="373"/>
        <v>0</v>
      </c>
      <c r="J635" s="426">
        <f t="shared" si="373"/>
        <v>0</v>
      </c>
      <c r="K635" s="426">
        <f t="shared" si="373"/>
        <v>0</v>
      </c>
      <c r="L635" s="426">
        <f t="shared" si="373"/>
        <v>0</v>
      </c>
      <c r="M635" s="426">
        <f t="shared" si="373"/>
        <v>0</v>
      </c>
      <c r="N635" s="426">
        <f t="shared" si="373"/>
        <v>0</v>
      </c>
      <c r="O635" s="69" t="s">
        <v>1680</v>
      </c>
    </row>
    <row r="636" spans="3:20" customFormat="1">
      <c r="E636" s="26"/>
      <c r="F636" s="26"/>
      <c r="G636" s="26"/>
      <c r="H636" s="26"/>
      <c r="I636" s="26"/>
      <c r="J636" s="26"/>
      <c r="K636" s="26"/>
      <c r="L636" s="26"/>
      <c r="M636" s="26"/>
      <c r="N636" s="26"/>
    </row>
    <row r="637" spans="3:20">
      <c r="D637" s="69" t="s">
        <v>1681</v>
      </c>
      <c r="E637" s="426">
        <f t="shared" ref="E637:N637" si="374">IF(calcExternalSalesExpLeftPostQ2&lt;1,0,calcFullExternalSalesExp*(1/calcExternalSalesTimeline)*$S637)</f>
        <v>0</v>
      </c>
      <c r="F637" s="426">
        <f t="shared" si="374"/>
        <v>0</v>
      </c>
      <c r="G637" s="426">
        <f t="shared" si="374"/>
        <v>0</v>
      </c>
      <c r="H637" s="426">
        <f t="shared" si="374"/>
        <v>0</v>
      </c>
      <c r="I637" s="426">
        <f t="shared" si="374"/>
        <v>0</v>
      </c>
      <c r="J637" s="426">
        <f t="shared" si="374"/>
        <v>0</v>
      </c>
      <c r="K637" s="426">
        <f t="shared" si="374"/>
        <v>0</v>
      </c>
      <c r="L637" s="426">
        <f t="shared" si="374"/>
        <v>0</v>
      </c>
      <c r="M637" s="426">
        <f t="shared" si="374"/>
        <v>0</v>
      </c>
      <c r="N637" s="426">
        <f t="shared" si="374"/>
        <v>0</v>
      </c>
      <c r="O637" s="69" t="s">
        <v>1682</v>
      </c>
      <c r="Q637" s="69">
        <f>CHOOSE(xxRound+1,S637,S637,S637,T637)</f>
        <v>3</v>
      </c>
      <c r="S637" s="69">
        <v>3</v>
      </c>
      <c r="T637" s="69">
        <v>3</v>
      </c>
    </row>
    <row r="638" spans="3:20">
      <c r="D638" s="69" t="s">
        <v>1683</v>
      </c>
      <c r="E638" s="426">
        <f t="shared" ref="E638:N638" si="375">calcExternalSalesExpLeftPostQ2-calcQ3ExternalSalesExp</f>
        <v>0</v>
      </c>
      <c r="F638" s="426">
        <f t="shared" si="375"/>
        <v>0</v>
      </c>
      <c r="G638" s="426">
        <f t="shared" si="375"/>
        <v>0</v>
      </c>
      <c r="H638" s="426">
        <f t="shared" si="375"/>
        <v>0</v>
      </c>
      <c r="I638" s="426">
        <f t="shared" si="375"/>
        <v>0</v>
      </c>
      <c r="J638" s="426">
        <f t="shared" si="375"/>
        <v>0</v>
      </c>
      <c r="K638" s="426">
        <f t="shared" si="375"/>
        <v>0</v>
      </c>
      <c r="L638" s="426">
        <f t="shared" si="375"/>
        <v>0</v>
      </c>
      <c r="M638" s="426">
        <f t="shared" si="375"/>
        <v>0</v>
      </c>
      <c r="N638" s="426">
        <f t="shared" si="375"/>
        <v>0</v>
      </c>
      <c r="O638" s="69" t="s">
        <v>1684</v>
      </c>
    </row>
    <row r="639" spans="3:20" customFormat="1">
      <c r="E639" s="26"/>
      <c r="F639" s="26"/>
      <c r="G639" s="26"/>
      <c r="H639" s="26"/>
      <c r="I639" s="26"/>
      <c r="J639" s="26"/>
      <c r="K639" s="26"/>
      <c r="L639" s="26"/>
      <c r="M639" s="26"/>
      <c r="N639" s="26"/>
    </row>
    <row r="640" spans="3:20">
      <c r="D640" s="69" t="s">
        <v>1685</v>
      </c>
      <c r="E640" s="426">
        <f t="shared" ref="E640:N640" si="376">IF(calcExternalSalesExpLeftPostQ3&lt;1,0,calcFullExternalSalesExp*(1/calcExternalSalesTimeline)*$S640)</f>
        <v>0</v>
      </c>
      <c r="F640" s="426">
        <f t="shared" si="376"/>
        <v>0</v>
      </c>
      <c r="G640" s="426">
        <f t="shared" si="376"/>
        <v>0</v>
      </c>
      <c r="H640" s="426">
        <f t="shared" si="376"/>
        <v>0</v>
      </c>
      <c r="I640" s="426">
        <f t="shared" si="376"/>
        <v>0</v>
      </c>
      <c r="J640" s="426">
        <f t="shared" si="376"/>
        <v>0</v>
      </c>
      <c r="K640" s="426">
        <f t="shared" si="376"/>
        <v>0</v>
      </c>
      <c r="L640" s="426">
        <f t="shared" si="376"/>
        <v>0</v>
      </c>
      <c r="M640" s="426">
        <f t="shared" si="376"/>
        <v>0</v>
      </c>
      <c r="N640" s="426">
        <f t="shared" si="376"/>
        <v>0</v>
      </c>
      <c r="O640" s="69" t="s">
        <v>1686</v>
      </c>
      <c r="Q640" s="69">
        <f>CHOOSE(xxRound+1,S640,S640,S640,T640)</f>
        <v>3</v>
      </c>
      <c r="S640" s="69">
        <v>3</v>
      </c>
      <c r="T640" s="69">
        <v>3</v>
      </c>
    </row>
    <row r="641" spans="3:20">
      <c r="D641" s="69" t="s">
        <v>1687</v>
      </c>
      <c r="E641" s="426">
        <f t="shared" ref="E641:N641" si="377">calcExternalSalesExpLeftPostQ3-calcQ4ExternalSalesExp</f>
        <v>0</v>
      </c>
      <c r="F641" s="426">
        <f t="shared" si="377"/>
        <v>0</v>
      </c>
      <c r="G641" s="426">
        <f t="shared" si="377"/>
        <v>0</v>
      </c>
      <c r="H641" s="426">
        <f t="shared" si="377"/>
        <v>0</v>
      </c>
      <c r="I641" s="426">
        <f t="shared" si="377"/>
        <v>0</v>
      </c>
      <c r="J641" s="426">
        <f t="shared" si="377"/>
        <v>0</v>
      </c>
      <c r="K641" s="426">
        <f t="shared" si="377"/>
        <v>0</v>
      </c>
      <c r="L641" s="426">
        <f t="shared" si="377"/>
        <v>0</v>
      </c>
      <c r="M641" s="426">
        <f t="shared" si="377"/>
        <v>0</v>
      </c>
      <c r="N641" s="426">
        <f t="shared" si="377"/>
        <v>0</v>
      </c>
      <c r="O641" s="69" t="s">
        <v>1688</v>
      </c>
    </row>
    <row r="642" spans="3:20">
      <c r="E642" s="426"/>
      <c r="F642" s="426"/>
      <c r="G642" s="426"/>
      <c r="H642" s="426"/>
      <c r="I642" s="426"/>
      <c r="J642" s="426"/>
      <c r="K642" s="426"/>
      <c r="L642" s="426"/>
      <c r="M642" s="426"/>
      <c r="N642" s="426"/>
    </row>
    <row r="643" spans="3:20" s="217" customFormat="1"/>
    <row r="644" spans="3:20">
      <c r="D644" s="69" t="s">
        <v>1327</v>
      </c>
      <c r="E644" s="69">
        <f t="shared" ref="E644:N644" si="378">calcExternalSalesExpLeftPostQ4</f>
        <v>0</v>
      </c>
      <c r="F644" s="69">
        <f t="shared" si="378"/>
        <v>0</v>
      </c>
      <c r="G644" s="69">
        <f t="shared" si="378"/>
        <v>0</v>
      </c>
      <c r="H644" s="69">
        <f t="shared" si="378"/>
        <v>0</v>
      </c>
      <c r="I644" s="69">
        <f t="shared" si="378"/>
        <v>0</v>
      </c>
      <c r="J644" s="69">
        <f t="shared" si="378"/>
        <v>0</v>
      </c>
      <c r="K644" s="69">
        <f t="shared" si="378"/>
        <v>0</v>
      </c>
      <c r="L644" s="69">
        <f t="shared" si="378"/>
        <v>0</v>
      </c>
      <c r="M644" s="69">
        <f t="shared" si="378"/>
        <v>0</v>
      </c>
      <c r="N644" s="69">
        <f t="shared" si="378"/>
        <v>0</v>
      </c>
      <c r="O644" s="217" t="s">
        <v>1705</v>
      </c>
    </row>
    <row r="646" spans="3:20">
      <c r="C646" s="217" t="s">
        <v>1043</v>
      </c>
    </row>
    <row r="647" spans="3:20">
      <c r="D647" s="69" t="s">
        <v>1689</v>
      </c>
      <c r="E647" s="426">
        <f t="shared" ref="E647:N647" si="379">IF(calcExternalSalesExpLeftPostQ4&lt;1,0,calcFullExternalSalesExp*(1/calcExternalSalesTimeline)*$S647)</f>
        <v>0</v>
      </c>
      <c r="F647" s="426">
        <f t="shared" si="379"/>
        <v>0</v>
      </c>
      <c r="G647" s="426">
        <f t="shared" si="379"/>
        <v>0</v>
      </c>
      <c r="H647" s="426">
        <f t="shared" si="379"/>
        <v>0</v>
      </c>
      <c r="I647" s="426">
        <f t="shared" si="379"/>
        <v>0</v>
      </c>
      <c r="J647" s="426">
        <f t="shared" si="379"/>
        <v>0</v>
      </c>
      <c r="K647" s="426">
        <f t="shared" si="379"/>
        <v>0</v>
      </c>
      <c r="L647" s="426">
        <f t="shared" si="379"/>
        <v>0</v>
      </c>
      <c r="M647" s="426">
        <f t="shared" si="379"/>
        <v>0</v>
      </c>
      <c r="N647" s="426">
        <f t="shared" si="379"/>
        <v>0</v>
      </c>
      <c r="O647" s="69" t="s">
        <v>1690</v>
      </c>
      <c r="Q647" s="69">
        <f>CHOOSE(xxRound+1,S647,S647,S647,T647)</f>
        <v>3</v>
      </c>
      <c r="S647" s="69">
        <v>3</v>
      </c>
      <c r="T647" s="69">
        <v>3</v>
      </c>
    </row>
    <row r="648" spans="3:20">
      <c r="D648" s="69" t="s">
        <v>1691</v>
      </c>
      <c r="E648" s="426">
        <f t="shared" ref="E648:N648" si="380">calcFullExternalSalesExpY2-calcY2Q1ExternalSalesExp</f>
        <v>0</v>
      </c>
      <c r="F648" s="426">
        <f t="shared" si="380"/>
        <v>0</v>
      </c>
      <c r="G648" s="426">
        <f t="shared" si="380"/>
        <v>0</v>
      </c>
      <c r="H648" s="426">
        <f t="shared" si="380"/>
        <v>0</v>
      </c>
      <c r="I648" s="426">
        <f t="shared" si="380"/>
        <v>0</v>
      </c>
      <c r="J648" s="426">
        <f t="shared" si="380"/>
        <v>0</v>
      </c>
      <c r="K648" s="426">
        <f t="shared" si="380"/>
        <v>0</v>
      </c>
      <c r="L648" s="426">
        <f t="shared" si="380"/>
        <v>0</v>
      </c>
      <c r="M648" s="426">
        <f t="shared" si="380"/>
        <v>0</v>
      </c>
      <c r="N648" s="426">
        <f t="shared" si="380"/>
        <v>0</v>
      </c>
      <c r="O648" s="69" t="s">
        <v>1692</v>
      </c>
    </row>
    <row r="649" spans="3:20" customFormat="1">
      <c r="E649" s="26"/>
      <c r="F649" s="26"/>
      <c r="G649" s="26"/>
      <c r="H649" s="26"/>
      <c r="I649" s="26"/>
      <c r="J649" s="26"/>
      <c r="K649" s="26"/>
      <c r="L649" s="26"/>
      <c r="M649" s="26"/>
      <c r="N649" s="26"/>
    </row>
    <row r="650" spans="3:20">
      <c r="D650" s="69" t="s">
        <v>1693</v>
      </c>
      <c r="E650" s="426">
        <f t="shared" ref="E650:N650" si="381">IF(calcExternalSalesExpLeftPostY2Q1&lt;1,0,calcFullExternalSalesExp*(1/calcExternalSalesTimeline)*$S650)</f>
        <v>0</v>
      </c>
      <c r="F650" s="426">
        <f t="shared" si="381"/>
        <v>0</v>
      </c>
      <c r="G650" s="426">
        <f t="shared" si="381"/>
        <v>0</v>
      </c>
      <c r="H650" s="426">
        <f t="shared" si="381"/>
        <v>0</v>
      </c>
      <c r="I650" s="426">
        <f t="shared" si="381"/>
        <v>0</v>
      </c>
      <c r="J650" s="426">
        <f t="shared" si="381"/>
        <v>0</v>
      </c>
      <c r="K650" s="426">
        <f t="shared" si="381"/>
        <v>0</v>
      </c>
      <c r="L650" s="426">
        <f t="shared" si="381"/>
        <v>0</v>
      </c>
      <c r="M650" s="426">
        <f t="shared" si="381"/>
        <v>0</v>
      </c>
      <c r="N650" s="426">
        <f t="shared" si="381"/>
        <v>0</v>
      </c>
      <c r="O650" s="69" t="s">
        <v>1694</v>
      </c>
      <c r="Q650" s="69">
        <f>CHOOSE(xxRound+1,S650,S650,S650,T650)</f>
        <v>3</v>
      </c>
      <c r="S650" s="69">
        <v>3</v>
      </c>
      <c r="T650" s="69">
        <v>3</v>
      </c>
    </row>
    <row r="651" spans="3:20">
      <c r="D651" s="69" t="s">
        <v>1695</v>
      </c>
      <c r="E651" s="426">
        <f t="shared" ref="E651:N651" si="382">calcExternalSalesExpLeftPostY2Q1-calcY2Q2ExternalSalesExp</f>
        <v>0</v>
      </c>
      <c r="F651" s="426">
        <f t="shared" si="382"/>
        <v>0</v>
      </c>
      <c r="G651" s="426">
        <f t="shared" si="382"/>
        <v>0</v>
      </c>
      <c r="H651" s="426">
        <f t="shared" si="382"/>
        <v>0</v>
      </c>
      <c r="I651" s="426">
        <f t="shared" si="382"/>
        <v>0</v>
      </c>
      <c r="J651" s="426">
        <f t="shared" si="382"/>
        <v>0</v>
      </c>
      <c r="K651" s="426">
        <f t="shared" si="382"/>
        <v>0</v>
      </c>
      <c r="L651" s="426">
        <f t="shared" si="382"/>
        <v>0</v>
      </c>
      <c r="M651" s="426">
        <f t="shared" si="382"/>
        <v>0</v>
      </c>
      <c r="N651" s="426">
        <f t="shared" si="382"/>
        <v>0</v>
      </c>
      <c r="O651" s="69" t="s">
        <v>1696</v>
      </c>
    </row>
    <row r="652" spans="3:20" customFormat="1">
      <c r="E652" s="26"/>
      <c r="F652" s="26"/>
      <c r="G652" s="26"/>
      <c r="H652" s="26"/>
      <c r="I652" s="26"/>
      <c r="J652" s="26"/>
      <c r="K652" s="26"/>
      <c r="L652" s="26"/>
      <c r="M652" s="26"/>
      <c r="N652" s="26"/>
    </row>
    <row r="653" spans="3:20">
      <c r="D653" s="69" t="s">
        <v>1697</v>
      </c>
      <c r="E653" s="426">
        <f t="shared" ref="E653:N653" si="383">IF(calcExternalSalesExpLeftPostY2Q2&lt;1,0,calcFullExternalSalesExp*(1/calcExternalSalesTimeline)*$S653)</f>
        <v>0</v>
      </c>
      <c r="F653" s="426">
        <f t="shared" si="383"/>
        <v>0</v>
      </c>
      <c r="G653" s="426">
        <f t="shared" si="383"/>
        <v>0</v>
      </c>
      <c r="H653" s="426">
        <f t="shared" si="383"/>
        <v>0</v>
      </c>
      <c r="I653" s="426">
        <f t="shared" si="383"/>
        <v>0</v>
      </c>
      <c r="J653" s="426">
        <f t="shared" si="383"/>
        <v>0</v>
      </c>
      <c r="K653" s="426">
        <f t="shared" si="383"/>
        <v>0</v>
      </c>
      <c r="L653" s="426">
        <f t="shared" si="383"/>
        <v>0</v>
      </c>
      <c r="M653" s="426">
        <f t="shared" si="383"/>
        <v>0</v>
      </c>
      <c r="N653" s="426">
        <f t="shared" si="383"/>
        <v>0</v>
      </c>
      <c r="O653" s="69" t="s">
        <v>1698</v>
      </c>
      <c r="Q653" s="69">
        <f>CHOOSE(xxRound+1,S653,S653,S653,T653)</f>
        <v>3</v>
      </c>
      <c r="S653" s="69">
        <v>3</v>
      </c>
      <c r="T653" s="69">
        <v>3</v>
      </c>
    </row>
    <row r="654" spans="3:20">
      <c r="D654" s="69" t="s">
        <v>1699</v>
      </c>
      <c r="E654" s="426">
        <f t="shared" ref="E654:N654" si="384">calcExternalSalesExpLeftPostY2Q2-calcY2Q3ExternalSalesExp</f>
        <v>0</v>
      </c>
      <c r="F654" s="426">
        <f t="shared" si="384"/>
        <v>0</v>
      </c>
      <c r="G654" s="426">
        <f t="shared" si="384"/>
        <v>0</v>
      </c>
      <c r="H654" s="426">
        <f t="shared" si="384"/>
        <v>0</v>
      </c>
      <c r="I654" s="426">
        <f t="shared" si="384"/>
        <v>0</v>
      </c>
      <c r="J654" s="426">
        <f t="shared" si="384"/>
        <v>0</v>
      </c>
      <c r="K654" s="426">
        <f t="shared" si="384"/>
        <v>0</v>
      </c>
      <c r="L654" s="426">
        <f t="shared" si="384"/>
        <v>0</v>
      </c>
      <c r="M654" s="426">
        <f t="shared" si="384"/>
        <v>0</v>
      </c>
      <c r="N654" s="426">
        <f t="shared" si="384"/>
        <v>0</v>
      </c>
      <c r="O654" s="69" t="s">
        <v>1700</v>
      </c>
    </row>
    <row r="655" spans="3:20" customFormat="1">
      <c r="E655" s="26"/>
      <c r="F655" s="26"/>
      <c r="G655" s="26"/>
      <c r="H655" s="26"/>
      <c r="I655" s="26"/>
      <c r="J655" s="26"/>
      <c r="K655" s="26"/>
      <c r="L655" s="26"/>
      <c r="M655" s="26"/>
      <c r="N655" s="26"/>
    </row>
    <row r="656" spans="3:20">
      <c r="D656" s="69" t="s">
        <v>1701</v>
      </c>
      <c r="E656" s="426">
        <f t="shared" ref="E656:N656" si="385">IF(calcExternalSalesExpLeftPostY2Q3&lt;1,0,calcFullExternalSalesExp*(1/calcExternalSalesTimeline)*$S656)</f>
        <v>0</v>
      </c>
      <c r="F656" s="426">
        <f t="shared" si="385"/>
        <v>0</v>
      </c>
      <c r="G656" s="426">
        <f t="shared" si="385"/>
        <v>0</v>
      </c>
      <c r="H656" s="426">
        <f t="shared" si="385"/>
        <v>0</v>
      </c>
      <c r="I656" s="426">
        <f t="shared" si="385"/>
        <v>0</v>
      </c>
      <c r="J656" s="426">
        <f t="shared" si="385"/>
        <v>0</v>
      </c>
      <c r="K656" s="426">
        <f t="shared" si="385"/>
        <v>0</v>
      </c>
      <c r="L656" s="426">
        <f t="shared" si="385"/>
        <v>0</v>
      </c>
      <c r="M656" s="426">
        <f t="shared" si="385"/>
        <v>0</v>
      </c>
      <c r="N656" s="426">
        <f t="shared" si="385"/>
        <v>0</v>
      </c>
      <c r="O656" s="69" t="s">
        <v>1702</v>
      </c>
      <c r="Q656" s="69">
        <f>CHOOSE(xxRound+1,S656,S656,S656,T656)</f>
        <v>3</v>
      </c>
      <c r="S656" s="69">
        <v>3</v>
      </c>
      <c r="T656" s="69">
        <v>3</v>
      </c>
    </row>
    <row r="657" spans="1:15">
      <c r="D657" s="69" t="s">
        <v>1703</v>
      </c>
      <c r="E657" s="426">
        <f t="shared" ref="E657:N657" si="386">calcExternalSalesExpLeftPostY2Q3-calcY2Q4ExternalSalesExp</f>
        <v>0</v>
      </c>
      <c r="F657" s="426">
        <f t="shared" si="386"/>
        <v>0</v>
      </c>
      <c r="G657" s="426">
        <f t="shared" si="386"/>
        <v>0</v>
      </c>
      <c r="H657" s="426">
        <f t="shared" si="386"/>
        <v>0</v>
      </c>
      <c r="I657" s="426">
        <f t="shared" si="386"/>
        <v>0</v>
      </c>
      <c r="J657" s="426">
        <f t="shared" si="386"/>
        <v>0</v>
      </c>
      <c r="K657" s="426">
        <f t="shared" si="386"/>
        <v>0</v>
      </c>
      <c r="L657" s="426">
        <f t="shared" si="386"/>
        <v>0</v>
      </c>
      <c r="M657" s="426">
        <f t="shared" si="386"/>
        <v>0</v>
      </c>
      <c r="N657" s="426">
        <f t="shared" si="386"/>
        <v>0</v>
      </c>
      <c r="O657" s="69" t="s">
        <v>1704</v>
      </c>
    </row>
    <row r="658" spans="1:15">
      <c r="E658" s="426"/>
      <c r="F658" s="426"/>
      <c r="G658" s="426"/>
      <c r="H658" s="426"/>
      <c r="I658" s="426"/>
      <c r="J658" s="426"/>
      <c r="K658" s="426"/>
      <c r="L658" s="426"/>
      <c r="M658" s="426"/>
      <c r="N658" s="426"/>
    </row>
    <row r="659" spans="1:15" s="216" customFormat="1">
      <c r="A659" s="216" t="s">
        <v>1374</v>
      </c>
      <c r="E659" s="485"/>
      <c r="F659" s="485"/>
      <c r="G659" s="485"/>
      <c r="H659" s="485"/>
      <c r="I659" s="485"/>
      <c r="J659" s="485"/>
      <c r="K659" s="485"/>
      <c r="L659" s="485"/>
      <c r="M659" s="485"/>
      <c r="N659" s="485"/>
    </row>
    <row r="660" spans="1:15">
      <c r="D660" s="69" t="s">
        <v>1375</v>
      </c>
      <c r="E660" s="426"/>
      <c r="F660" s="426"/>
      <c r="G660" s="426"/>
      <c r="H660" s="426"/>
      <c r="I660" s="426"/>
      <c r="J660" s="426"/>
      <c r="K660" s="426"/>
      <c r="L660" s="426"/>
      <c r="M660" s="426"/>
      <c r="N660" s="426"/>
      <c r="O660" s="69" t="s">
        <v>1376</v>
      </c>
    </row>
    <row r="661" spans="1:15">
      <c r="E661" s="426"/>
      <c r="F661" s="426"/>
      <c r="G661" s="426"/>
      <c r="H661" s="426"/>
      <c r="I661" s="426"/>
      <c r="J661" s="426"/>
      <c r="K661" s="426"/>
      <c r="L661" s="426"/>
      <c r="M661" s="426"/>
      <c r="N661" s="426"/>
    </row>
    <row r="662" spans="1:15">
      <c r="D662" s="69" t="s">
        <v>899</v>
      </c>
      <c r="E662" s="426">
        <f t="shared" ref="E662:N662" si="387">calcBaseRevWriteDownCost/8</f>
        <v>0</v>
      </c>
      <c r="F662" s="426">
        <f t="shared" si="387"/>
        <v>0</v>
      </c>
      <c r="G662" s="426">
        <f t="shared" si="387"/>
        <v>0</v>
      </c>
      <c r="H662" s="426">
        <f t="shared" si="387"/>
        <v>0</v>
      </c>
      <c r="I662" s="426">
        <f t="shared" si="387"/>
        <v>0</v>
      </c>
      <c r="J662" s="426">
        <f t="shared" si="387"/>
        <v>0</v>
      </c>
      <c r="K662" s="426">
        <f t="shared" si="387"/>
        <v>0</v>
      </c>
      <c r="L662" s="426">
        <f t="shared" si="387"/>
        <v>0</v>
      </c>
      <c r="M662" s="426">
        <f t="shared" si="387"/>
        <v>0</v>
      </c>
      <c r="N662" s="426">
        <f t="shared" si="387"/>
        <v>0</v>
      </c>
      <c r="O662" s="69" t="s">
        <v>1377</v>
      </c>
    </row>
    <row r="663" spans="1:15">
      <c r="D663" s="69" t="s">
        <v>1381</v>
      </c>
      <c r="E663" s="426">
        <f t="shared" ref="E663:N663" si="388">calcBaseRevWriteDownCost-calcQ1RevWriteDownExp</f>
        <v>0</v>
      </c>
      <c r="F663" s="426">
        <f t="shared" si="388"/>
        <v>0</v>
      </c>
      <c r="G663" s="426">
        <f t="shared" si="388"/>
        <v>0</v>
      </c>
      <c r="H663" s="426">
        <f t="shared" si="388"/>
        <v>0</v>
      </c>
      <c r="I663" s="426">
        <f t="shared" si="388"/>
        <v>0</v>
      </c>
      <c r="J663" s="426">
        <f t="shared" si="388"/>
        <v>0</v>
      </c>
      <c r="K663" s="426">
        <f t="shared" si="388"/>
        <v>0</v>
      </c>
      <c r="L663" s="426">
        <f t="shared" si="388"/>
        <v>0</v>
      </c>
      <c r="M663" s="426">
        <f t="shared" si="388"/>
        <v>0</v>
      </c>
      <c r="N663" s="426">
        <f t="shared" si="388"/>
        <v>0</v>
      </c>
      <c r="O663" s="69" t="s">
        <v>1382</v>
      </c>
    </row>
    <row r="664" spans="1:15">
      <c r="E664" s="426"/>
      <c r="F664" s="426"/>
      <c r="G664" s="426"/>
      <c r="H664" s="426"/>
      <c r="I664" s="426"/>
      <c r="J664" s="426"/>
      <c r="K664" s="426"/>
      <c r="L664" s="426"/>
      <c r="M664" s="426"/>
      <c r="N664" s="426"/>
    </row>
    <row r="665" spans="1:15">
      <c r="D665" s="69" t="s">
        <v>900</v>
      </c>
      <c r="E665" s="426">
        <f t="shared" ref="E665:N665" si="389">calcBaseRevWriteDownCost/8</f>
        <v>0</v>
      </c>
      <c r="F665" s="426">
        <f t="shared" si="389"/>
        <v>0</v>
      </c>
      <c r="G665" s="426">
        <f t="shared" si="389"/>
        <v>0</v>
      </c>
      <c r="H665" s="426">
        <f t="shared" si="389"/>
        <v>0</v>
      </c>
      <c r="I665" s="426">
        <f t="shared" si="389"/>
        <v>0</v>
      </c>
      <c r="J665" s="426">
        <f t="shared" si="389"/>
        <v>0</v>
      </c>
      <c r="K665" s="426">
        <f t="shared" si="389"/>
        <v>0</v>
      </c>
      <c r="L665" s="426">
        <f t="shared" si="389"/>
        <v>0</v>
      </c>
      <c r="M665" s="426">
        <f t="shared" si="389"/>
        <v>0</v>
      </c>
      <c r="N665" s="426">
        <f t="shared" si="389"/>
        <v>0</v>
      </c>
      <c r="O665" s="69" t="s">
        <v>1378</v>
      </c>
    </row>
    <row r="666" spans="1:15">
      <c r="D666" s="69" t="s">
        <v>1381</v>
      </c>
      <c r="E666" s="426">
        <f t="shared" ref="E666:N666" si="390">calcRevWriteExpPostQ1-calcQ2RevWriteDownExp</f>
        <v>0</v>
      </c>
      <c r="F666" s="426">
        <f t="shared" si="390"/>
        <v>0</v>
      </c>
      <c r="G666" s="426">
        <f t="shared" si="390"/>
        <v>0</v>
      </c>
      <c r="H666" s="426">
        <f t="shared" si="390"/>
        <v>0</v>
      </c>
      <c r="I666" s="426">
        <f t="shared" si="390"/>
        <v>0</v>
      </c>
      <c r="J666" s="426">
        <f t="shared" si="390"/>
        <v>0</v>
      </c>
      <c r="K666" s="426">
        <f t="shared" si="390"/>
        <v>0</v>
      </c>
      <c r="L666" s="426">
        <f t="shared" si="390"/>
        <v>0</v>
      </c>
      <c r="M666" s="426">
        <f t="shared" si="390"/>
        <v>0</v>
      </c>
      <c r="N666" s="426">
        <f t="shared" si="390"/>
        <v>0</v>
      </c>
      <c r="O666" s="69" t="s">
        <v>1383</v>
      </c>
    </row>
    <row r="667" spans="1:15">
      <c r="E667" s="426"/>
      <c r="F667" s="426"/>
      <c r="G667" s="426"/>
      <c r="H667" s="426"/>
      <c r="I667" s="426"/>
      <c r="J667" s="426"/>
      <c r="K667" s="426"/>
      <c r="L667" s="426"/>
      <c r="M667" s="426"/>
      <c r="N667" s="426"/>
    </row>
    <row r="668" spans="1:15">
      <c r="D668" s="69" t="s">
        <v>901</v>
      </c>
      <c r="E668" s="426">
        <f t="shared" ref="E668:N668" si="391">calcBaseRevWriteDownCost/8</f>
        <v>0</v>
      </c>
      <c r="F668" s="426">
        <f t="shared" si="391"/>
        <v>0</v>
      </c>
      <c r="G668" s="426">
        <f t="shared" si="391"/>
        <v>0</v>
      </c>
      <c r="H668" s="426">
        <f t="shared" si="391"/>
        <v>0</v>
      </c>
      <c r="I668" s="426">
        <f t="shared" si="391"/>
        <v>0</v>
      </c>
      <c r="J668" s="426">
        <f t="shared" si="391"/>
        <v>0</v>
      </c>
      <c r="K668" s="426">
        <f t="shared" si="391"/>
        <v>0</v>
      </c>
      <c r="L668" s="426">
        <f t="shared" si="391"/>
        <v>0</v>
      </c>
      <c r="M668" s="426">
        <f t="shared" si="391"/>
        <v>0</v>
      </c>
      <c r="N668" s="426">
        <f t="shared" si="391"/>
        <v>0</v>
      </c>
      <c r="O668" s="69" t="s">
        <v>1379</v>
      </c>
    </row>
    <row r="669" spans="1:15">
      <c r="D669" s="69" t="s">
        <v>1381</v>
      </c>
      <c r="E669" s="426">
        <f t="shared" ref="E669:N669" si="392">calcRevWriteExpPostQ2-calcQ3RevWriteDownExp</f>
        <v>0</v>
      </c>
      <c r="F669" s="426">
        <f t="shared" si="392"/>
        <v>0</v>
      </c>
      <c r="G669" s="426">
        <f t="shared" si="392"/>
        <v>0</v>
      </c>
      <c r="H669" s="426">
        <f t="shared" si="392"/>
        <v>0</v>
      </c>
      <c r="I669" s="426">
        <f t="shared" si="392"/>
        <v>0</v>
      </c>
      <c r="J669" s="426">
        <f t="shared" si="392"/>
        <v>0</v>
      </c>
      <c r="K669" s="426">
        <f t="shared" si="392"/>
        <v>0</v>
      </c>
      <c r="L669" s="426">
        <f t="shared" si="392"/>
        <v>0</v>
      </c>
      <c r="M669" s="426">
        <f t="shared" si="392"/>
        <v>0</v>
      </c>
      <c r="N669" s="426">
        <f t="shared" si="392"/>
        <v>0</v>
      </c>
      <c r="O669" s="69" t="s">
        <v>1384</v>
      </c>
    </row>
    <row r="670" spans="1:15">
      <c r="E670" s="426"/>
      <c r="F670" s="426"/>
      <c r="G670" s="426"/>
      <c r="H670" s="426"/>
      <c r="I670" s="426"/>
      <c r="J670" s="426"/>
      <c r="K670" s="426"/>
      <c r="L670" s="426"/>
      <c r="M670" s="426"/>
      <c r="N670" s="426"/>
    </row>
    <row r="671" spans="1:15">
      <c r="D671" s="69" t="s">
        <v>902</v>
      </c>
      <c r="E671" s="426">
        <f t="shared" ref="E671:N671" si="393">calcBaseRevWriteDownCost/8</f>
        <v>0</v>
      </c>
      <c r="F671" s="426">
        <f t="shared" si="393"/>
        <v>0</v>
      </c>
      <c r="G671" s="426">
        <f t="shared" si="393"/>
        <v>0</v>
      </c>
      <c r="H671" s="426">
        <f t="shared" si="393"/>
        <v>0</v>
      </c>
      <c r="I671" s="426">
        <f t="shared" si="393"/>
        <v>0</v>
      </c>
      <c r="J671" s="426">
        <f t="shared" si="393"/>
        <v>0</v>
      </c>
      <c r="K671" s="426">
        <f t="shared" si="393"/>
        <v>0</v>
      </c>
      <c r="L671" s="426">
        <f t="shared" si="393"/>
        <v>0</v>
      </c>
      <c r="M671" s="426">
        <f t="shared" si="393"/>
        <v>0</v>
      </c>
      <c r="N671" s="426">
        <f t="shared" si="393"/>
        <v>0</v>
      </c>
      <c r="O671" s="69" t="s">
        <v>1380</v>
      </c>
    </row>
    <row r="672" spans="1:15">
      <c r="D672" s="69" t="s">
        <v>1381</v>
      </c>
      <c r="E672" s="426">
        <f t="shared" ref="E672:N672" si="394">calcRevWriteExpPostQ3-calcQ4RevWriteDownExp</f>
        <v>0</v>
      </c>
      <c r="F672" s="426">
        <f t="shared" si="394"/>
        <v>0</v>
      </c>
      <c r="G672" s="426">
        <f t="shared" si="394"/>
        <v>0</v>
      </c>
      <c r="H672" s="426">
        <f t="shared" si="394"/>
        <v>0</v>
      </c>
      <c r="I672" s="426">
        <f t="shared" si="394"/>
        <v>0</v>
      </c>
      <c r="J672" s="426">
        <f t="shared" si="394"/>
        <v>0</v>
      </c>
      <c r="K672" s="426">
        <f t="shared" si="394"/>
        <v>0</v>
      </c>
      <c r="L672" s="426">
        <f t="shared" si="394"/>
        <v>0</v>
      </c>
      <c r="M672" s="426">
        <f t="shared" si="394"/>
        <v>0</v>
      </c>
      <c r="N672" s="426">
        <f t="shared" si="394"/>
        <v>0</v>
      </c>
      <c r="O672" s="69" t="s">
        <v>1385</v>
      </c>
    </row>
    <row r="673" spans="1:15" s="476" customFormat="1">
      <c r="E673" s="526"/>
      <c r="F673" s="526"/>
      <c r="G673" s="526"/>
      <c r="H673" s="526"/>
      <c r="I673" s="526"/>
      <c r="J673" s="526"/>
      <c r="K673" s="526"/>
      <c r="L673" s="526"/>
      <c r="M673" s="526"/>
      <c r="N673" s="526"/>
    </row>
    <row r="674" spans="1:15">
      <c r="E674" s="426"/>
      <c r="F674" s="426"/>
      <c r="G674" s="426"/>
      <c r="H674" s="426"/>
      <c r="I674" s="426"/>
      <c r="J674" s="426"/>
      <c r="K674" s="426"/>
      <c r="L674" s="426"/>
      <c r="M674" s="426"/>
      <c r="N674" s="426"/>
    </row>
    <row r="675" spans="1:15">
      <c r="D675" s="69" t="s">
        <v>1397</v>
      </c>
      <c r="E675" s="426">
        <f t="shared" ref="E675:N675" si="395">calcBaseRevWriteDownCost/8</f>
        <v>0</v>
      </c>
      <c r="F675" s="426">
        <f t="shared" si="395"/>
        <v>0</v>
      </c>
      <c r="G675" s="426">
        <f t="shared" si="395"/>
        <v>0</v>
      </c>
      <c r="H675" s="426">
        <f t="shared" si="395"/>
        <v>0</v>
      </c>
      <c r="I675" s="426">
        <f t="shared" si="395"/>
        <v>0</v>
      </c>
      <c r="J675" s="426">
        <f t="shared" si="395"/>
        <v>0</v>
      </c>
      <c r="K675" s="426">
        <f t="shared" si="395"/>
        <v>0</v>
      </c>
      <c r="L675" s="426">
        <f t="shared" si="395"/>
        <v>0</v>
      </c>
      <c r="M675" s="426">
        <f t="shared" si="395"/>
        <v>0</v>
      </c>
      <c r="N675" s="426">
        <f t="shared" si="395"/>
        <v>0</v>
      </c>
      <c r="O675" s="69" t="s">
        <v>1429</v>
      </c>
    </row>
    <row r="676" spans="1:15">
      <c r="D676" s="69" t="s">
        <v>1381</v>
      </c>
      <c r="E676" s="426">
        <f t="shared" ref="E676:N676" si="396">calcBaseRevWriteDownCost-calcY2Q1RevWriteDownExp</f>
        <v>0</v>
      </c>
      <c r="F676" s="426">
        <f t="shared" si="396"/>
        <v>0</v>
      </c>
      <c r="G676" s="426">
        <f t="shared" si="396"/>
        <v>0</v>
      </c>
      <c r="H676" s="426">
        <f t="shared" si="396"/>
        <v>0</v>
      </c>
      <c r="I676" s="426">
        <f t="shared" si="396"/>
        <v>0</v>
      </c>
      <c r="J676" s="426">
        <f t="shared" si="396"/>
        <v>0</v>
      </c>
      <c r="K676" s="426">
        <f t="shared" si="396"/>
        <v>0</v>
      </c>
      <c r="L676" s="426">
        <f t="shared" si="396"/>
        <v>0</v>
      </c>
      <c r="M676" s="426">
        <f t="shared" si="396"/>
        <v>0</v>
      </c>
      <c r="N676" s="426">
        <f t="shared" si="396"/>
        <v>0</v>
      </c>
      <c r="O676" s="69" t="s">
        <v>1430</v>
      </c>
    </row>
    <row r="677" spans="1:15">
      <c r="E677" s="426"/>
      <c r="F677" s="426"/>
      <c r="G677" s="426"/>
      <c r="H677" s="426"/>
      <c r="I677" s="426"/>
      <c r="J677" s="426"/>
      <c r="K677" s="426"/>
      <c r="L677" s="426"/>
      <c r="M677" s="426"/>
      <c r="N677" s="426"/>
    </row>
    <row r="678" spans="1:15">
      <c r="D678" s="69" t="s">
        <v>1431</v>
      </c>
      <c r="E678" s="426">
        <f t="shared" ref="E678:N678" si="397">calcBaseRevWriteDownCost/8</f>
        <v>0</v>
      </c>
      <c r="F678" s="426">
        <f t="shared" si="397"/>
        <v>0</v>
      </c>
      <c r="G678" s="426">
        <f t="shared" si="397"/>
        <v>0</v>
      </c>
      <c r="H678" s="426">
        <f t="shared" si="397"/>
        <v>0</v>
      </c>
      <c r="I678" s="426">
        <f t="shared" si="397"/>
        <v>0</v>
      </c>
      <c r="J678" s="426">
        <f t="shared" si="397"/>
        <v>0</v>
      </c>
      <c r="K678" s="426">
        <f t="shared" si="397"/>
        <v>0</v>
      </c>
      <c r="L678" s="426">
        <f t="shared" si="397"/>
        <v>0</v>
      </c>
      <c r="M678" s="426">
        <f t="shared" si="397"/>
        <v>0</v>
      </c>
      <c r="N678" s="426">
        <f t="shared" si="397"/>
        <v>0</v>
      </c>
      <c r="O678" s="69" t="s">
        <v>1463</v>
      </c>
    </row>
    <row r="679" spans="1:15">
      <c r="D679" s="69" t="s">
        <v>1381</v>
      </c>
      <c r="E679" s="426">
        <f t="shared" ref="E679:N679" si="398">calcRevWriteExpPostY2Q1-calcY2Q2RevWriteDownExp</f>
        <v>0</v>
      </c>
      <c r="F679" s="426">
        <f t="shared" si="398"/>
        <v>0</v>
      </c>
      <c r="G679" s="426">
        <f t="shared" si="398"/>
        <v>0</v>
      </c>
      <c r="H679" s="426">
        <f t="shared" si="398"/>
        <v>0</v>
      </c>
      <c r="I679" s="426">
        <f t="shared" si="398"/>
        <v>0</v>
      </c>
      <c r="J679" s="426">
        <f t="shared" si="398"/>
        <v>0</v>
      </c>
      <c r="K679" s="426">
        <f t="shared" si="398"/>
        <v>0</v>
      </c>
      <c r="L679" s="426">
        <f t="shared" si="398"/>
        <v>0</v>
      </c>
      <c r="M679" s="426">
        <f t="shared" si="398"/>
        <v>0</v>
      </c>
      <c r="N679" s="426">
        <f t="shared" si="398"/>
        <v>0</v>
      </c>
      <c r="O679" s="69" t="s">
        <v>1464</v>
      </c>
    </row>
    <row r="680" spans="1:15">
      <c r="E680" s="426"/>
      <c r="F680" s="426"/>
      <c r="G680" s="426"/>
      <c r="H680" s="426"/>
      <c r="I680" s="426"/>
      <c r="J680" s="426"/>
      <c r="K680" s="426"/>
      <c r="L680" s="426"/>
      <c r="M680" s="426"/>
      <c r="N680" s="426"/>
    </row>
    <row r="681" spans="1:15">
      <c r="D681" s="69" t="s">
        <v>1465</v>
      </c>
      <c r="E681" s="426">
        <f t="shared" ref="E681:N681" si="399">calcBaseRevWriteDownCost/8</f>
        <v>0</v>
      </c>
      <c r="F681" s="426">
        <f t="shared" si="399"/>
        <v>0</v>
      </c>
      <c r="G681" s="426">
        <f t="shared" si="399"/>
        <v>0</v>
      </c>
      <c r="H681" s="426">
        <f t="shared" si="399"/>
        <v>0</v>
      </c>
      <c r="I681" s="426">
        <f t="shared" si="399"/>
        <v>0</v>
      </c>
      <c r="J681" s="426">
        <f t="shared" si="399"/>
        <v>0</v>
      </c>
      <c r="K681" s="426">
        <f t="shared" si="399"/>
        <v>0</v>
      </c>
      <c r="L681" s="426">
        <f t="shared" si="399"/>
        <v>0</v>
      </c>
      <c r="M681" s="426">
        <f t="shared" si="399"/>
        <v>0</v>
      </c>
      <c r="N681" s="426">
        <f t="shared" si="399"/>
        <v>0</v>
      </c>
      <c r="O681" s="69" t="s">
        <v>1497</v>
      </c>
    </row>
    <row r="682" spans="1:15">
      <c r="D682" s="69" t="s">
        <v>1381</v>
      </c>
      <c r="E682" s="426">
        <f t="shared" ref="E682:N682" si="400">calcRevWriteExpPostY2Q2-calcY2Q3RevWriteDownExp</f>
        <v>0</v>
      </c>
      <c r="F682" s="426">
        <f t="shared" si="400"/>
        <v>0</v>
      </c>
      <c r="G682" s="426">
        <f t="shared" si="400"/>
        <v>0</v>
      </c>
      <c r="H682" s="426">
        <f t="shared" si="400"/>
        <v>0</v>
      </c>
      <c r="I682" s="426">
        <f t="shared" si="400"/>
        <v>0</v>
      </c>
      <c r="J682" s="426">
        <f t="shared" si="400"/>
        <v>0</v>
      </c>
      <c r="K682" s="426">
        <f t="shared" si="400"/>
        <v>0</v>
      </c>
      <c r="L682" s="426">
        <f t="shared" si="400"/>
        <v>0</v>
      </c>
      <c r="M682" s="426">
        <f t="shared" si="400"/>
        <v>0</v>
      </c>
      <c r="N682" s="426">
        <f t="shared" si="400"/>
        <v>0</v>
      </c>
      <c r="O682" s="69" t="s">
        <v>1498</v>
      </c>
    </row>
    <row r="683" spans="1:15">
      <c r="E683" s="426"/>
      <c r="F683" s="426"/>
      <c r="G683" s="426"/>
      <c r="H683" s="426"/>
      <c r="I683" s="426"/>
      <c r="J683" s="426"/>
      <c r="K683" s="426"/>
      <c r="L683" s="426"/>
      <c r="M683" s="426"/>
      <c r="N683" s="426"/>
    </row>
    <row r="684" spans="1:15">
      <c r="D684" s="69" t="s">
        <v>1499</v>
      </c>
      <c r="E684" s="426">
        <f t="shared" ref="E684:N684" si="401">calcBaseRevWriteDownCost/8</f>
        <v>0</v>
      </c>
      <c r="F684" s="426">
        <f t="shared" si="401"/>
        <v>0</v>
      </c>
      <c r="G684" s="426">
        <f t="shared" si="401"/>
        <v>0</v>
      </c>
      <c r="H684" s="426">
        <f t="shared" si="401"/>
        <v>0</v>
      </c>
      <c r="I684" s="426">
        <f t="shared" si="401"/>
        <v>0</v>
      </c>
      <c r="J684" s="426">
        <f t="shared" si="401"/>
        <v>0</v>
      </c>
      <c r="K684" s="426">
        <f t="shared" si="401"/>
        <v>0</v>
      </c>
      <c r="L684" s="426">
        <f t="shared" si="401"/>
        <v>0</v>
      </c>
      <c r="M684" s="426">
        <f t="shared" si="401"/>
        <v>0</v>
      </c>
      <c r="N684" s="426">
        <f t="shared" si="401"/>
        <v>0</v>
      </c>
      <c r="O684" s="69" t="s">
        <v>1531</v>
      </c>
    </row>
    <row r="685" spans="1:15">
      <c r="D685" s="69" t="s">
        <v>1381</v>
      </c>
      <c r="E685" s="426">
        <f t="shared" ref="E685:N685" si="402">calcRevWriteExpPostY2Q3-calcY2Q4RevWriteDownExp</f>
        <v>0</v>
      </c>
      <c r="F685" s="426">
        <f t="shared" si="402"/>
        <v>0</v>
      </c>
      <c r="G685" s="426">
        <f t="shared" si="402"/>
        <v>0</v>
      </c>
      <c r="H685" s="426">
        <f t="shared" si="402"/>
        <v>0</v>
      </c>
      <c r="I685" s="426">
        <f t="shared" si="402"/>
        <v>0</v>
      </c>
      <c r="J685" s="426">
        <f t="shared" si="402"/>
        <v>0</v>
      </c>
      <c r="K685" s="426">
        <f t="shared" si="402"/>
        <v>0</v>
      </c>
      <c r="L685" s="426">
        <f t="shared" si="402"/>
        <v>0</v>
      </c>
      <c r="M685" s="426">
        <f t="shared" si="402"/>
        <v>0</v>
      </c>
      <c r="N685" s="426">
        <f t="shared" si="402"/>
        <v>0</v>
      </c>
      <c r="O685" s="69" t="s">
        <v>1532</v>
      </c>
    </row>
    <row r="686" spans="1:15">
      <c r="E686" s="426"/>
      <c r="F686" s="426"/>
      <c r="G686" s="426"/>
      <c r="H686" s="426"/>
      <c r="I686" s="426"/>
      <c r="J686" s="426"/>
      <c r="K686" s="426"/>
      <c r="L686" s="426"/>
      <c r="M686" s="426"/>
      <c r="N686" s="426"/>
    </row>
    <row r="688" spans="1:15" s="441" customFormat="1">
      <c r="A688" s="441" t="s">
        <v>434</v>
      </c>
      <c r="E688" s="472"/>
      <c r="F688" s="472"/>
      <c r="G688" s="472"/>
      <c r="H688" s="472"/>
      <c r="I688" s="472"/>
      <c r="J688" s="472"/>
      <c r="K688" s="472"/>
      <c r="L688" s="472"/>
      <c r="M688" s="472"/>
      <c r="N688" s="472"/>
    </row>
    <row r="689" spans="3:15" s="217" customFormat="1">
      <c r="C689" s="217" t="s">
        <v>1397</v>
      </c>
      <c r="D689" s="217" t="s">
        <v>486</v>
      </c>
      <c r="E689" s="763">
        <f t="shared" ref="E689:N689" si="403">paramCOS</f>
        <v>0.2</v>
      </c>
      <c r="F689" s="763">
        <f t="shared" si="403"/>
        <v>0.2</v>
      </c>
      <c r="G689" s="763">
        <f t="shared" si="403"/>
        <v>0.2</v>
      </c>
      <c r="H689" s="763">
        <f t="shared" si="403"/>
        <v>0.2</v>
      </c>
      <c r="I689" s="763">
        <f t="shared" si="403"/>
        <v>0.2</v>
      </c>
      <c r="J689" s="763">
        <f t="shared" si="403"/>
        <v>0.2</v>
      </c>
      <c r="K689" s="763">
        <f t="shared" si="403"/>
        <v>0.2</v>
      </c>
      <c r="L689" s="763">
        <f t="shared" si="403"/>
        <v>0.2</v>
      </c>
      <c r="M689" s="763">
        <f t="shared" si="403"/>
        <v>0.2</v>
      </c>
      <c r="N689" s="763">
        <f t="shared" si="403"/>
        <v>0.2</v>
      </c>
      <c r="O689" s="763"/>
    </row>
    <row r="690" spans="3:15" s="217" customFormat="1">
      <c r="E690" s="763"/>
      <c r="F690" s="763"/>
      <c r="G690" s="763"/>
      <c r="H690" s="763"/>
      <c r="I690" s="763"/>
      <c r="J690" s="763"/>
      <c r="K690" s="763"/>
      <c r="L690" s="763"/>
      <c r="M690" s="763"/>
      <c r="N690" s="763"/>
      <c r="O690" s="763"/>
    </row>
    <row r="691" spans="3:15" s="217" customFormat="1">
      <c r="D691" s="217" t="s">
        <v>487</v>
      </c>
      <c r="E691" s="763">
        <f>SUM(E689:E690)</f>
        <v>0.2</v>
      </c>
      <c r="F691" s="763">
        <f t="shared" ref="F691:I691" si="404">SUM(F689:F690)</f>
        <v>0.2</v>
      </c>
      <c r="G691" s="763">
        <f t="shared" si="404"/>
        <v>0.2</v>
      </c>
      <c r="H691" s="763">
        <f t="shared" si="404"/>
        <v>0.2</v>
      </c>
      <c r="I691" s="763">
        <f t="shared" si="404"/>
        <v>0.2</v>
      </c>
      <c r="J691" s="763">
        <f t="shared" ref="J691:N691" si="405">SUM(J689:J690)</f>
        <v>0.2</v>
      </c>
      <c r="K691" s="763">
        <f t="shared" si="405"/>
        <v>0.2</v>
      </c>
      <c r="L691" s="763">
        <f t="shared" si="405"/>
        <v>0.2</v>
      </c>
      <c r="M691" s="763">
        <f t="shared" si="405"/>
        <v>0.2</v>
      </c>
      <c r="N691" s="763">
        <f t="shared" si="405"/>
        <v>0.2</v>
      </c>
      <c r="O691" s="763" t="s">
        <v>1399</v>
      </c>
    </row>
    <row r="692" spans="3:15" s="217" customFormat="1">
      <c r="E692" s="763"/>
      <c r="F692" s="763"/>
      <c r="G692" s="763"/>
      <c r="H692" s="763"/>
      <c r="I692" s="763"/>
      <c r="J692" s="763"/>
      <c r="K692" s="763"/>
      <c r="L692" s="763"/>
      <c r="M692" s="763"/>
      <c r="N692" s="763"/>
      <c r="O692" s="763"/>
    </row>
    <row r="693" spans="3:15" s="217" customFormat="1">
      <c r="C693" s="217" t="s">
        <v>1431</v>
      </c>
      <c r="D693" s="217" t="s">
        <v>486</v>
      </c>
      <c r="E693" s="763">
        <f t="shared" ref="E693:N693" si="406">paramCOS</f>
        <v>0.2</v>
      </c>
      <c r="F693" s="763">
        <f t="shared" si="406"/>
        <v>0.2</v>
      </c>
      <c r="G693" s="763">
        <f t="shared" si="406"/>
        <v>0.2</v>
      </c>
      <c r="H693" s="763">
        <f t="shared" si="406"/>
        <v>0.2</v>
      </c>
      <c r="I693" s="763">
        <f t="shared" si="406"/>
        <v>0.2</v>
      </c>
      <c r="J693" s="763">
        <f t="shared" si="406"/>
        <v>0.2</v>
      </c>
      <c r="K693" s="763">
        <f t="shared" si="406"/>
        <v>0.2</v>
      </c>
      <c r="L693" s="763">
        <f t="shared" si="406"/>
        <v>0.2</v>
      </c>
      <c r="M693" s="763">
        <f t="shared" si="406"/>
        <v>0.2</v>
      </c>
      <c r="N693" s="763">
        <f t="shared" si="406"/>
        <v>0.2</v>
      </c>
      <c r="O693" s="763"/>
    </row>
    <row r="694" spans="3:15" s="217" customFormat="1">
      <c r="E694" s="763"/>
      <c r="F694" s="763"/>
      <c r="G694" s="763"/>
      <c r="H694" s="763"/>
      <c r="I694" s="763"/>
      <c r="J694" s="763"/>
      <c r="K694" s="763"/>
      <c r="L694" s="763"/>
      <c r="M694" s="763"/>
      <c r="N694" s="763"/>
      <c r="O694" s="763"/>
    </row>
    <row r="695" spans="3:15" s="217" customFormat="1">
      <c r="D695" s="217" t="s">
        <v>487</v>
      </c>
      <c r="E695" s="763">
        <f>SUM(E693:E694)</f>
        <v>0.2</v>
      </c>
      <c r="F695" s="763">
        <f t="shared" ref="F695:I695" si="407">SUM(F693:F694)</f>
        <v>0.2</v>
      </c>
      <c r="G695" s="763">
        <f t="shared" si="407"/>
        <v>0.2</v>
      </c>
      <c r="H695" s="763">
        <f t="shared" si="407"/>
        <v>0.2</v>
      </c>
      <c r="I695" s="763">
        <f t="shared" si="407"/>
        <v>0.2</v>
      </c>
      <c r="J695" s="763">
        <f t="shared" ref="J695:N695" si="408">SUM(J693:J694)</f>
        <v>0.2</v>
      </c>
      <c r="K695" s="763">
        <f t="shared" si="408"/>
        <v>0.2</v>
      </c>
      <c r="L695" s="763">
        <f t="shared" si="408"/>
        <v>0.2</v>
      </c>
      <c r="M695" s="763">
        <f t="shared" si="408"/>
        <v>0.2</v>
      </c>
      <c r="N695" s="763">
        <f t="shared" si="408"/>
        <v>0.2</v>
      </c>
      <c r="O695" s="763" t="s">
        <v>1433</v>
      </c>
    </row>
    <row r="696" spans="3:15" s="217" customFormat="1">
      <c r="E696" s="763"/>
      <c r="F696" s="763"/>
      <c r="G696" s="763"/>
      <c r="H696" s="763"/>
      <c r="I696" s="763"/>
      <c r="J696" s="763"/>
      <c r="K696" s="763"/>
      <c r="L696" s="763"/>
      <c r="M696" s="763"/>
      <c r="N696" s="763"/>
      <c r="O696" s="763"/>
    </row>
    <row r="697" spans="3:15" s="217" customFormat="1">
      <c r="C697" s="217" t="s">
        <v>1465</v>
      </c>
      <c r="D697" s="217" t="s">
        <v>486</v>
      </c>
      <c r="E697" s="763">
        <f t="shared" ref="E697:N697" si="409">paramCOS</f>
        <v>0.2</v>
      </c>
      <c r="F697" s="763">
        <f t="shared" si="409"/>
        <v>0.2</v>
      </c>
      <c r="G697" s="763">
        <f t="shared" si="409"/>
        <v>0.2</v>
      </c>
      <c r="H697" s="763">
        <f t="shared" si="409"/>
        <v>0.2</v>
      </c>
      <c r="I697" s="763">
        <f t="shared" si="409"/>
        <v>0.2</v>
      </c>
      <c r="J697" s="763">
        <f t="shared" si="409"/>
        <v>0.2</v>
      </c>
      <c r="K697" s="763">
        <f t="shared" si="409"/>
        <v>0.2</v>
      </c>
      <c r="L697" s="763">
        <f t="shared" si="409"/>
        <v>0.2</v>
      </c>
      <c r="M697" s="763">
        <f t="shared" si="409"/>
        <v>0.2</v>
      </c>
      <c r="N697" s="763">
        <f t="shared" si="409"/>
        <v>0.2</v>
      </c>
      <c r="O697" s="763"/>
    </row>
    <row r="698" spans="3:15" s="217" customFormat="1">
      <c r="E698" s="763"/>
      <c r="F698" s="763"/>
      <c r="G698" s="763"/>
      <c r="H698" s="763"/>
      <c r="I698" s="763"/>
      <c r="J698" s="763"/>
      <c r="K698" s="763"/>
      <c r="L698" s="763"/>
      <c r="M698" s="763"/>
      <c r="N698" s="763"/>
      <c r="O698" s="763"/>
    </row>
    <row r="699" spans="3:15" s="217" customFormat="1">
      <c r="D699" s="217" t="s">
        <v>487</v>
      </c>
      <c r="E699" s="763">
        <f>SUM(E697:E698)</f>
        <v>0.2</v>
      </c>
      <c r="F699" s="763">
        <f t="shared" ref="F699:I699" si="410">SUM(F697:F698)</f>
        <v>0.2</v>
      </c>
      <c r="G699" s="763">
        <f t="shared" si="410"/>
        <v>0.2</v>
      </c>
      <c r="H699" s="763">
        <f t="shared" si="410"/>
        <v>0.2</v>
      </c>
      <c r="I699" s="763">
        <f t="shared" si="410"/>
        <v>0.2</v>
      </c>
      <c r="J699" s="763">
        <f t="shared" ref="J699:N699" si="411">SUM(J697:J698)</f>
        <v>0.2</v>
      </c>
      <c r="K699" s="763">
        <f t="shared" si="411"/>
        <v>0.2</v>
      </c>
      <c r="L699" s="763">
        <f t="shared" si="411"/>
        <v>0.2</v>
      </c>
      <c r="M699" s="763">
        <f t="shared" si="411"/>
        <v>0.2</v>
      </c>
      <c r="N699" s="763">
        <f t="shared" si="411"/>
        <v>0.2</v>
      </c>
      <c r="O699" s="763" t="s">
        <v>1467</v>
      </c>
    </row>
    <row r="700" spans="3:15" s="217" customFormat="1">
      <c r="E700" s="763"/>
      <c r="F700" s="763"/>
      <c r="G700" s="763"/>
      <c r="H700" s="763"/>
      <c r="I700" s="763"/>
      <c r="J700" s="763"/>
      <c r="K700" s="763"/>
      <c r="L700" s="763"/>
      <c r="M700" s="763"/>
      <c r="N700" s="763"/>
      <c r="O700" s="763"/>
    </row>
    <row r="701" spans="3:15" s="217" customFormat="1">
      <c r="C701" s="217" t="s">
        <v>1499</v>
      </c>
      <c r="D701" s="217" t="s">
        <v>486</v>
      </c>
      <c r="E701" s="763">
        <f t="shared" ref="E701:N701" si="412">paramCOS</f>
        <v>0.2</v>
      </c>
      <c r="F701" s="763">
        <f t="shared" si="412"/>
        <v>0.2</v>
      </c>
      <c r="G701" s="763">
        <f t="shared" si="412"/>
        <v>0.2</v>
      </c>
      <c r="H701" s="763">
        <f t="shared" si="412"/>
        <v>0.2</v>
      </c>
      <c r="I701" s="763">
        <f t="shared" si="412"/>
        <v>0.2</v>
      </c>
      <c r="J701" s="763">
        <f t="shared" si="412"/>
        <v>0.2</v>
      </c>
      <c r="K701" s="763">
        <f t="shared" si="412"/>
        <v>0.2</v>
      </c>
      <c r="L701" s="763">
        <f t="shared" si="412"/>
        <v>0.2</v>
      </c>
      <c r="M701" s="763">
        <f t="shared" si="412"/>
        <v>0.2</v>
      </c>
      <c r="N701" s="763">
        <f t="shared" si="412"/>
        <v>0.2</v>
      </c>
      <c r="O701" s="763"/>
    </row>
    <row r="702" spans="3:15" s="217" customFormat="1">
      <c r="E702" s="763"/>
      <c r="F702" s="763"/>
      <c r="G702" s="763"/>
      <c r="H702" s="763"/>
      <c r="I702" s="763"/>
      <c r="J702" s="763"/>
      <c r="K702" s="763"/>
      <c r="L702" s="763"/>
      <c r="M702" s="763"/>
      <c r="N702" s="763"/>
      <c r="O702" s="763"/>
    </row>
    <row r="703" spans="3:15" s="217" customFormat="1">
      <c r="D703" s="217" t="s">
        <v>487</v>
      </c>
      <c r="E703" s="763">
        <f>SUM(E701:E702)</f>
        <v>0.2</v>
      </c>
      <c r="F703" s="763">
        <f t="shared" ref="F703:I703" si="413">SUM(F701:F702)</f>
        <v>0.2</v>
      </c>
      <c r="G703" s="763">
        <f t="shared" si="413"/>
        <v>0.2</v>
      </c>
      <c r="H703" s="763">
        <f t="shared" si="413"/>
        <v>0.2</v>
      </c>
      <c r="I703" s="763">
        <f t="shared" si="413"/>
        <v>0.2</v>
      </c>
      <c r="J703" s="763">
        <f t="shared" ref="J703:N703" si="414">SUM(J701:J702)</f>
        <v>0.2</v>
      </c>
      <c r="K703" s="763">
        <f t="shared" si="414"/>
        <v>0.2</v>
      </c>
      <c r="L703" s="763">
        <f t="shared" si="414"/>
        <v>0.2</v>
      </c>
      <c r="M703" s="763">
        <f t="shared" si="414"/>
        <v>0.2</v>
      </c>
      <c r="N703" s="763">
        <f t="shared" si="414"/>
        <v>0.2</v>
      </c>
      <c r="O703" s="763" t="s">
        <v>1501</v>
      </c>
    </row>
    <row r="704" spans="3:15" s="217" customFormat="1">
      <c r="E704" s="763"/>
      <c r="F704" s="763"/>
      <c r="G704" s="763"/>
      <c r="H704" s="763"/>
      <c r="I704" s="763"/>
      <c r="J704" s="763"/>
      <c r="K704" s="763"/>
      <c r="L704" s="763"/>
      <c r="M704" s="763"/>
      <c r="N704" s="763"/>
      <c r="O704" s="763"/>
    </row>
    <row r="705" spans="3:15" s="217" customFormat="1">
      <c r="C705" s="217" t="s">
        <v>2999</v>
      </c>
      <c r="D705" s="217" t="s">
        <v>486</v>
      </c>
      <c r="E705" s="763">
        <f t="shared" ref="E705:N705" si="415">paramCOS</f>
        <v>0.2</v>
      </c>
      <c r="F705" s="763">
        <f t="shared" si="415"/>
        <v>0.2</v>
      </c>
      <c r="G705" s="763">
        <f t="shared" si="415"/>
        <v>0.2</v>
      </c>
      <c r="H705" s="763">
        <f t="shared" si="415"/>
        <v>0.2</v>
      </c>
      <c r="I705" s="763">
        <f t="shared" si="415"/>
        <v>0.2</v>
      </c>
      <c r="J705" s="763">
        <f t="shared" si="415"/>
        <v>0.2</v>
      </c>
      <c r="K705" s="763">
        <f t="shared" si="415"/>
        <v>0.2</v>
      </c>
      <c r="L705" s="763">
        <f t="shared" si="415"/>
        <v>0.2</v>
      </c>
      <c r="M705" s="763">
        <f t="shared" si="415"/>
        <v>0.2</v>
      </c>
      <c r="N705" s="763">
        <f t="shared" si="415"/>
        <v>0.2</v>
      </c>
      <c r="O705" s="763"/>
    </row>
    <row r="706" spans="3:15" s="217" customFormat="1">
      <c r="E706" s="763"/>
      <c r="F706" s="763"/>
      <c r="G706" s="763"/>
      <c r="H706" s="763"/>
      <c r="I706" s="763"/>
      <c r="J706" s="763"/>
      <c r="K706" s="763"/>
      <c r="L706" s="763"/>
      <c r="M706" s="763"/>
      <c r="N706" s="763"/>
      <c r="O706" s="763"/>
    </row>
    <row r="707" spans="3:15" s="217" customFormat="1">
      <c r="D707" s="217" t="s">
        <v>487</v>
      </c>
      <c r="E707" s="763">
        <f>SUM(E705:E706)</f>
        <v>0.2</v>
      </c>
      <c r="F707" s="763">
        <f t="shared" ref="F707:I707" si="416">SUM(F705:F706)</f>
        <v>0.2</v>
      </c>
      <c r="G707" s="763">
        <f t="shared" si="416"/>
        <v>0.2</v>
      </c>
      <c r="H707" s="763">
        <f t="shared" si="416"/>
        <v>0.2</v>
      </c>
      <c r="I707" s="763">
        <f t="shared" si="416"/>
        <v>0.2</v>
      </c>
      <c r="J707" s="763">
        <f t="shared" ref="J707:N707" si="417">SUM(J705:J706)</f>
        <v>0.2</v>
      </c>
      <c r="K707" s="763">
        <f t="shared" si="417"/>
        <v>0.2</v>
      </c>
      <c r="L707" s="763">
        <f t="shared" si="417"/>
        <v>0.2</v>
      </c>
      <c r="M707" s="763">
        <f t="shared" si="417"/>
        <v>0.2</v>
      </c>
      <c r="N707" s="763">
        <f t="shared" si="417"/>
        <v>0.2</v>
      </c>
      <c r="O707" s="763" t="s">
        <v>3015</v>
      </c>
    </row>
    <row r="708" spans="3:15" s="217" customFormat="1">
      <c r="E708" s="763"/>
      <c r="F708" s="763"/>
      <c r="G708" s="763"/>
      <c r="H708" s="763"/>
      <c r="I708" s="763"/>
      <c r="J708" s="763"/>
      <c r="K708" s="763"/>
      <c r="L708" s="763"/>
      <c r="M708" s="763"/>
      <c r="N708" s="763"/>
      <c r="O708" s="763"/>
    </row>
    <row r="709" spans="3:15" s="217" customFormat="1">
      <c r="C709" s="217" t="s">
        <v>3001</v>
      </c>
      <c r="D709" s="217" t="s">
        <v>486</v>
      </c>
      <c r="E709" s="763">
        <f t="shared" ref="E709:N709" si="418">paramCOS</f>
        <v>0.2</v>
      </c>
      <c r="F709" s="763">
        <f t="shared" si="418"/>
        <v>0.2</v>
      </c>
      <c r="G709" s="763">
        <f t="shared" si="418"/>
        <v>0.2</v>
      </c>
      <c r="H709" s="763">
        <f t="shared" si="418"/>
        <v>0.2</v>
      </c>
      <c r="I709" s="763">
        <f t="shared" si="418"/>
        <v>0.2</v>
      </c>
      <c r="J709" s="763">
        <f t="shared" si="418"/>
        <v>0.2</v>
      </c>
      <c r="K709" s="763">
        <f t="shared" si="418"/>
        <v>0.2</v>
      </c>
      <c r="L709" s="763">
        <f t="shared" si="418"/>
        <v>0.2</v>
      </c>
      <c r="M709" s="763">
        <f t="shared" si="418"/>
        <v>0.2</v>
      </c>
      <c r="N709" s="763">
        <f t="shared" si="418"/>
        <v>0.2</v>
      </c>
      <c r="O709" s="763"/>
    </row>
    <row r="710" spans="3:15" s="217" customFormat="1">
      <c r="E710" s="763"/>
      <c r="F710" s="763"/>
      <c r="G710" s="763"/>
      <c r="H710" s="763"/>
      <c r="I710" s="763"/>
      <c r="J710" s="763"/>
      <c r="K710" s="763"/>
      <c r="L710" s="763"/>
      <c r="M710" s="763"/>
      <c r="N710" s="763"/>
      <c r="O710" s="763"/>
    </row>
    <row r="711" spans="3:15" s="217" customFormat="1">
      <c r="D711" s="217" t="s">
        <v>487</v>
      </c>
      <c r="E711" s="763">
        <f>SUM(E709:E710)</f>
        <v>0.2</v>
      </c>
      <c r="F711" s="763">
        <f t="shared" ref="F711:I711" si="419">SUM(F709:F710)</f>
        <v>0.2</v>
      </c>
      <c r="G711" s="763">
        <f t="shared" si="419"/>
        <v>0.2</v>
      </c>
      <c r="H711" s="763">
        <f t="shared" si="419"/>
        <v>0.2</v>
      </c>
      <c r="I711" s="763">
        <f t="shared" si="419"/>
        <v>0.2</v>
      </c>
      <c r="J711" s="763">
        <f t="shared" ref="J711:N711" si="420">SUM(J709:J710)</f>
        <v>0.2</v>
      </c>
      <c r="K711" s="763">
        <f t="shared" si="420"/>
        <v>0.2</v>
      </c>
      <c r="L711" s="763">
        <f t="shared" si="420"/>
        <v>0.2</v>
      </c>
      <c r="M711" s="763">
        <f t="shared" si="420"/>
        <v>0.2</v>
      </c>
      <c r="N711" s="763">
        <f t="shared" si="420"/>
        <v>0.2</v>
      </c>
      <c r="O711" s="763" t="s">
        <v>3016</v>
      </c>
    </row>
    <row r="712" spans="3:15" s="217" customFormat="1">
      <c r="E712" s="763"/>
      <c r="F712" s="763"/>
      <c r="G712" s="763"/>
      <c r="H712" s="763"/>
      <c r="I712" s="763"/>
      <c r="J712" s="763"/>
      <c r="K712" s="763"/>
      <c r="L712" s="763"/>
      <c r="M712" s="763"/>
      <c r="N712" s="763"/>
      <c r="O712" s="763"/>
    </row>
    <row r="713" spans="3:15" s="217" customFormat="1">
      <c r="C713" s="217" t="s">
        <v>3003</v>
      </c>
      <c r="D713" s="217" t="s">
        <v>486</v>
      </c>
      <c r="E713" s="763">
        <f t="shared" ref="E713:N713" si="421">paramCOS</f>
        <v>0.2</v>
      </c>
      <c r="F713" s="763">
        <f t="shared" si="421"/>
        <v>0.2</v>
      </c>
      <c r="G713" s="763">
        <f t="shared" si="421"/>
        <v>0.2</v>
      </c>
      <c r="H713" s="763">
        <f t="shared" si="421"/>
        <v>0.2</v>
      </c>
      <c r="I713" s="763">
        <f t="shared" si="421"/>
        <v>0.2</v>
      </c>
      <c r="J713" s="763">
        <f t="shared" si="421"/>
        <v>0.2</v>
      </c>
      <c r="K713" s="763">
        <f t="shared" si="421"/>
        <v>0.2</v>
      </c>
      <c r="L713" s="763">
        <f t="shared" si="421"/>
        <v>0.2</v>
      </c>
      <c r="M713" s="763">
        <f t="shared" si="421"/>
        <v>0.2</v>
      </c>
      <c r="N713" s="763">
        <f t="shared" si="421"/>
        <v>0.2</v>
      </c>
      <c r="O713" s="763"/>
    </row>
    <row r="714" spans="3:15" s="217" customFormat="1">
      <c r="E714" s="763"/>
      <c r="F714" s="763"/>
      <c r="G714" s="763"/>
      <c r="H714" s="763"/>
      <c r="I714" s="763"/>
      <c r="J714" s="763"/>
      <c r="K714" s="763"/>
      <c r="L714" s="763"/>
      <c r="M714" s="763"/>
      <c r="N714" s="763"/>
      <c r="O714" s="763"/>
    </row>
    <row r="715" spans="3:15" s="217" customFormat="1">
      <c r="D715" s="217" t="s">
        <v>487</v>
      </c>
      <c r="E715" s="763">
        <f>SUM(E713:E714)</f>
        <v>0.2</v>
      </c>
      <c r="F715" s="763">
        <f t="shared" ref="F715:I715" si="422">SUM(F713:F714)</f>
        <v>0.2</v>
      </c>
      <c r="G715" s="763">
        <f t="shared" si="422"/>
        <v>0.2</v>
      </c>
      <c r="H715" s="763">
        <f t="shared" si="422"/>
        <v>0.2</v>
      </c>
      <c r="I715" s="763">
        <f t="shared" si="422"/>
        <v>0.2</v>
      </c>
      <c r="J715" s="763">
        <f t="shared" ref="J715:N715" si="423">SUM(J713:J714)</f>
        <v>0.2</v>
      </c>
      <c r="K715" s="763">
        <f t="shared" si="423"/>
        <v>0.2</v>
      </c>
      <c r="L715" s="763">
        <f t="shared" si="423"/>
        <v>0.2</v>
      </c>
      <c r="M715" s="763">
        <f t="shared" si="423"/>
        <v>0.2</v>
      </c>
      <c r="N715" s="763">
        <f t="shared" si="423"/>
        <v>0.2</v>
      </c>
      <c r="O715" s="763" t="s">
        <v>3017</v>
      </c>
    </row>
    <row r="716" spans="3:15" s="217" customFormat="1">
      <c r="E716" s="763"/>
      <c r="F716" s="763"/>
      <c r="G716" s="763"/>
      <c r="H716" s="763"/>
      <c r="I716" s="763"/>
      <c r="J716" s="763"/>
      <c r="K716" s="763"/>
      <c r="L716" s="763"/>
      <c r="M716" s="763"/>
      <c r="N716" s="763"/>
      <c r="O716" s="763"/>
    </row>
    <row r="717" spans="3:15" s="217" customFormat="1">
      <c r="C717" s="217" t="s">
        <v>3005</v>
      </c>
      <c r="D717" s="217" t="s">
        <v>486</v>
      </c>
      <c r="E717" s="763">
        <f t="shared" ref="E717:N717" si="424">paramCOS</f>
        <v>0.2</v>
      </c>
      <c r="F717" s="763">
        <f t="shared" si="424"/>
        <v>0.2</v>
      </c>
      <c r="G717" s="763">
        <f t="shared" si="424"/>
        <v>0.2</v>
      </c>
      <c r="H717" s="763">
        <f t="shared" si="424"/>
        <v>0.2</v>
      </c>
      <c r="I717" s="763">
        <f t="shared" si="424"/>
        <v>0.2</v>
      </c>
      <c r="J717" s="763">
        <f t="shared" si="424"/>
        <v>0.2</v>
      </c>
      <c r="K717" s="763">
        <f t="shared" si="424"/>
        <v>0.2</v>
      </c>
      <c r="L717" s="763">
        <f t="shared" si="424"/>
        <v>0.2</v>
      </c>
      <c r="M717" s="763">
        <f t="shared" si="424"/>
        <v>0.2</v>
      </c>
      <c r="N717" s="763">
        <f t="shared" si="424"/>
        <v>0.2</v>
      </c>
      <c r="O717" s="763"/>
    </row>
    <row r="718" spans="3:15" s="217" customFormat="1">
      <c r="E718" s="763"/>
      <c r="F718" s="763"/>
      <c r="G718" s="763"/>
      <c r="H718" s="763"/>
      <c r="I718" s="763"/>
      <c r="J718" s="763"/>
      <c r="K718" s="763"/>
      <c r="L718" s="763"/>
      <c r="M718" s="763"/>
      <c r="N718" s="763"/>
      <c r="O718" s="763"/>
    </row>
    <row r="719" spans="3:15" s="217" customFormat="1">
      <c r="D719" s="217" t="s">
        <v>487</v>
      </c>
      <c r="E719" s="763">
        <f>SUM(E717:E718)</f>
        <v>0.2</v>
      </c>
      <c r="F719" s="763">
        <f t="shared" ref="F719:I719" si="425">SUM(F717:F718)</f>
        <v>0.2</v>
      </c>
      <c r="G719" s="763">
        <f t="shared" si="425"/>
        <v>0.2</v>
      </c>
      <c r="H719" s="763">
        <f t="shared" si="425"/>
        <v>0.2</v>
      </c>
      <c r="I719" s="763">
        <f t="shared" si="425"/>
        <v>0.2</v>
      </c>
      <c r="J719" s="763">
        <f t="shared" ref="J719:N719" si="426">SUM(J717:J718)</f>
        <v>0.2</v>
      </c>
      <c r="K719" s="763">
        <f t="shared" si="426"/>
        <v>0.2</v>
      </c>
      <c r="L719" s="763">
        <f t="shared" si="426"/>
        <v>0.2</v>
      </c>
      <c r="M719" s="763">
        <f t="shared" si="426"/>
        <v>0.2</v>
      </c>
      <c r="N719" s="763">
        <f t="shared" si="426"/>
        <v>0.2</v>
      </c>
      <c r="O719" s="763" t="s">
        <v>3018</v>
      </c>
    </row>
    <row r="720" spans="3:15" s="217" customFormat="1">
      <c r="E720" s="409"/>
      <c r="F720" s="409"/>
      <c r="G720" s="409"/>
      <c r="H720" s="409"/>
      <c r="I720" s="409"/>
      <c r="J720" s="409"/>
      <c r="K720" s="409"/>
      <c r="L720" s="409"/>
      <c r="M720" s="409"/>
      <c r="N720" s="409"/>
    </row>
    <row r="721" spans="1:15" s="444" customFormat="1">
      <c r="A721" s="471" t="s">
        <v>422</v>
      </c>
    </row>
    <row r="722" spans="1:15">
      <c r="C722" s="217" t="s">
        <v>1261</v>
      </c>
    </row>
    <row r="723" spans="1:15">
      <c r="C723" s="217" t="s">
        <v>463</v>
      </c>
    </row>
    <row r="724" spans="1:15">
      <c r="C724" s="217"/>
      <c r="D724" s="69" t="s">
        <v>486</v>
      </c>
      <c r="E724" s="454">
        <f t="shared" ref="E724:N724" si="427">obalMSPerc</f>
        <v>0.44500000000000001</v>
      </c>
      <c r="F724" s="454">
        <f t="shared" si="427"/>
        <v>0.44500000000000001</v>
      </c>
      <c r="G724" s="454">
        <f t="shared" si="427"/>
        <v>0.44500000000000001</v>
      </c>
      <c r="H724" s="454">
        <f t="shared" si="427"/>
        <v>0.44500000000000001</v>
      </c>
      <c r="I724" s="454">
        <f t="shared" si="427"/>
        <v>0.44500000000000001</v>
      </c>
      <c r="J724" s="454">
        <f t="shared" si="427"/>
        <v>0.44500000000000001</v>
      </c>
      <c r="K724" s="454">
        <f t="shared" si="427"/>
        <v>0.44500000000000001</v>
      </c>
      <c r="L724" s="454">
        <f t="shared" si="427"/>
        <v>0.44500000000000001</v>
      </c>
      <c r="M724" s="454">
        <f t="shared" si="427"/>
        <v>0.44500000000000001</v>
      </c>
      <c r="N724" s="454">
        <f t="shared" si="427"/>
        <v>0.44500000000000001</v>
      </c>
    </row>
    <row r="725" spans="1:15">
      <c r="C725" s="217"/>
      <c r="E725" s="454"/>
      <c r="F725" s="454"/>
      <c r="G725" s="454"/>
      <c r="H725" s="454"/>
      <c r="I725" s="454"/>
      <c r="J725" s="454"/>
      <c r="K725" s="454"/>
      <c r="L725" s="454"/>
      <c r="M725" s="454"/>
      <c r="N725" s="454"/>
    </row>
    <row r="726" spans="1:15">
      <c r="C726" s="217"/>
      <c r="D726" s="69" t="s">
        <v>487</v>
      </c>
      <c r="E726" s="454">
        <f>SUM(E724:E725)</f>
        <v>0.44500000000000001</v>
      </c>
      <c r="F726" s="454">
        <f t="shared" ref="F726:I726" si="428">SUM(F724:F725)</f>
        <v>0.44500000000000001</v>
      </c>
      <c r="G726" s="454">
        <f t="shared" si="428"/>
        <v>0.44500000000000001</v>
      </c>
      <c r="H726" s="454">
        <f t="shared" si="428"/>
        <v>0.44500000000000001</v>
      </c>
      <c r="I726" s="454">
        <f t="shared" si="428"/>
        <v>0.44500000000000001</v>
      </c>
      <c r="J726" s="454">
        <f t="shared" ref="J726:N726" si="429">SUM(J724:J725)</f>
        <v>0.44500000000000001</v>
      </c>
      <c r="K726" s="454">
        <f t="shared" si="429"/>
        <v>0.44500000000000001</v>
      </c>
      <c r="L726" s="454">
        <f t="shared" si="429"/>
        <v>0.44500000000000001</v>
      </c>
      <c r="M726" s="454">
        <f t="shared" si="429"/>
        <v>0.44500000000000001</v>
      </c>
      <c r="N726" s="454">
        <f t="shared" si="429"/>
        <v>0.44500000000000001</v>
      </c>
      <c r="O726" s="69" t="s">
        <v>1262</v>
      </c>
    </row>
    <row r="727" spans="1:15">
      <c r="C727" s="217" t="s">
        <v>464</v>
      </c>
      <c r="E727" s="454"/>
      <c r="F727" s="454"/>
      <c r="G727" s="454"/>
      <c r="H727" s="454"/>
      <c r="I727" s="454"/>
      <c r="J727" s="454"/>
      <c r="K727" s="454"/>
      <c r="L727" s="454"/>
      <c r="M727" s="454"/>
      <c r="N727" s="454"/>
    </row>
    <row r="728" spans="1:15">
      <c r="C728" s="217"/>
      <c r="D728" s="69" t="s">
        <v>486</v>
      </c>
      <c r="E728" s="454">
        <f t="shared" ref="E728:N728" si="430">obalRDPerc</f>
        <v>0.33300000000000002</v>
      </c>
      <c r="F728" s="454">
        <f t="shared" si="430"/>
        <v>0.33300000000000002</v>
      </c>
      <c r="G728" s="454">
        <f t="shared" si="430"/>
        <v>0.33300000000000002</v>
      </c>
      <c r="H728" s="454">
        <f t="shared" si="430"/>
        <v>0.33300000000000002</v>
      </c>
      <c r="I728" s="454">
        <f t="shared" si="430"/>
        <v>0.33300000000000002</v>
      </c>
      <c r="J728" s="454">
        <f t="shared" si="430"/>
        <v>0.33300000000000002</v>
      </c>
      <c r="K728" s="454">
        <f t="shared" si="430"/>
        <v>0.33300000000000002</v>
      </c>
      <c r="L728" s="454">
        <f t="shared" si="430"/>
        <v>0.33300000000000002</v>
      </c>
      <c r="M728" s="454">
        <f t="shared" si="430"/>
        <v>0.33300000000000002</v>
      </c>
      <c r="N728" s="454">
        <f t="shared" si="430"/>
        <v>0.33300000000000002</v>
      </c>
    </row>
    <row r="729" spans="1:15">
      <c r="C729" s="217"/>
      <c r="E729" s="454"/>
      <c r="F729" s="454"/>
      <c r="G729" s="454"/>
      <c r="H729" s="454"/>
      <c r="I729" s="454"/>
      <c r="J729" s="454"/>
      <c r="K729" s="454"/>
      <c r="L729" s="454"/>
      <c r="M729" s="454"/>
      <c r="N729" s="454"/>
    </row>
    <row r="730" spans="1:15">
      <c r="C730" s="217"/>
      <c r="D730" s="69" t="s">
        <v>487</v>
      </c>
      <c r="E730" s="454">
        <f>SUM(E728:E729)</f>
        <v>0.33300000000000002</v>
      </c>
      <c r="F730" s="454">
        <f t="shared" ref="F730:I730" si="431">SUM(F728:F729)</f>
        <v>0.33300000000000002</v>
      </c>
      <c r="G730" s="454">
        <f t="shared" si="431"/>
        <v>0.33300000000000002</v>
      </c>
      <c r="H730" s="454">
        <f t="shared" si="431"/>
        <v>0.33300000000000002</v>
      </c>
      <c r="I730" s="454">
        <f t="shared" si="431"/>
        <v>0.33300000000000002</v>
      </c>
      <c r="J730" s="454">
        <f t="shared" ref="J730:N730" si="432">SUM(J728:J729)</f>
        <v>0.33300000000000002</v>
      </c>
      <c r="K730" s="454">
        <f t="shared" si="432"/>
        <v>0.33300000000000002</v>
      </c>
      <c r="L730" s="454">
        <f t="shared" si="432"/>
        <v>0.33300000000000002</v>
      </c>
      <c r="M730" s="454">
        <f t="shared" si="432"/>
        <v>0.33300000000000002</v>
      </c>
      <c r="N730" s="454">
        <f t="shared" si="432"/>
        <v>0.33300000000000002</v>
      </c>
      <c r="O730" s="69" t="s">
        <v>1263</v>
      </c>
    </row>
    <row r="731" spans="1:15">
      <c r="C731" s="217" t="s">
        <v>1265</v>
      </c>
      <c r="E731" s="454"/>
      <c r="F731" s="454"/>
      <c r="G731" s="454"/>
      <c r="H731" s="454"/>
      <c r="I731" s="454"/>
      <c r="J731" s="454"/>
      <c r="K731" s="454"/>
      <c r="L731" s="454"/>
      <c r="M731" s="454"/>
      <c r="N731" s="454"/>
    </row>
    <row r="732" spans="1:15">
      <c r="C732" s="217"/>
      <c r="D732" s="69" t="s">
        <v>486</v>
      </c>
      <c r="E732" s="454">
        <f t="shared" ref="E732:N732" si="433">obalGAPerc</f>
        <v>0.21199999999999999</v>
      </c>
      <c r="F732" s="454">
        <f t="shared" si="433"/>
        <v>0.21199999999999999</v>
      </c>
      <c r="G732" s="454">
        <f t="shared" si="433"/>
        <v>0.21199999999999999</v>
      </c>
      <c r="H732" s="454">
        <f t="shared" si="433"/>
        <v>0.21199999999999999</v>
      </c>
      <c r="I732" s="454">
        <f t="shared" si="433"/>
        <v>0.21199999999999999</v>
      </c>
      <c r="J732" s="454">
        <f t="shared" si="433"/>
        <v>0.21199999999999999</v>
      </c>
      <c r="K732" s="454">
        <f t="shared" si="433"/>
        <v>0.21199999999999999</v>
      </c>
      <c r="L732" s="454">
        <f t="shared" si="433"/>
        <v>0.21199999999999999</v>
      </c>
      <c r="M732" s="454">
        <f t="shared" si="433"/>
        <v>0.21199999999999999</v>
      </c>
      <c r="N732" s="454">
        <f t="shared" si="433"/>
        <v>0.21199999999999999</v>
      </c>
    </row>
    <row r="733" spans="1:15">
      <c r="C733" s="217"/>
      <c r="E733" s="454"/>
      <c r="F733" s="454"/>
      <c r="G733" s="454"/>
      <c r="H733" s="454"/>
      <c r="I733" s="454"/>
      <c r="J733" s="454"/>
      <c r="K733" s="454"/>
      <c r="L733" s="454"/>
      <c r="M733" s="454"/>
      <c r="N733" s="454"/>
    </row>
    <row r="734" spans="1:15">
      <c r="C734" s="217"/>
      <c r="D734" s="69" t="s">
        <v>487</v>
      </c>
      <c r="E734" s="454">
        <f>SUM(E732:E733)</f>
        <v>0.21199999999999999</v>
      </c>
      <c r="F734" s="454">
        <f t="shared" ref="F734:I734" si="434">SUM(F732:F733)</f>
        <v>0.21199999999999999</v>
      </c>
      <c r="G734" s="454">
        <f t="shared" si="434"/>
        <v>0.21199999999999999</v>
      </c>
      <c r="H734" s="454">
        <f t="shared" si="434"/>
        <v>0.21199999999999999</v>
      </c>
      <c r="I734" s="454">
        <f t="shared" si="434"/>
        <v>0.21199999999999999</v>
      </c>
      <c r="J734" s="454">
        <f t="shared" ref="J734:N734" si="435">SUM(J732:J733)</f>
        <v>0.21199999999999999</v>
      </c>
      <c r="K734" s="454">
        <f t="shared" si="435"/>
        <v>0.21199999999999999</v>
      </c>
      <c r="L734" s="454">
        <f t="shared" si="435"/>
        <v>0.21199999999999999</v>
      </c>
      <c r="M734" s="454">
        <f t="shared" si="435"/>
        <v>0.21199999999999999</v>
      </c>
      <c r="N734" s="454">
        <f t="shared" si="435"/>
        <v>0.21199999999999999</v>
      </c>
      <c r="O734" s="69" t="s">
        <v>1264</v>
      </c>
    </row>
    <row r="735" spans="1:15">
      <c r="C735" s="217"/>
    </row>
    <row r="736" spans="1:15" s="217" customFormat="1">
      <c r="A736" s="217" t="s">
        <v>463</v>
      </c>
      <c r="F736" s="218">
        <f>calcY2Q1Rev/calcQ1Rev-1</f>
        <v>0.5425526033038941</v>
      </c>
    </row>
    <row r="737" spans="2:17">
      <c r="B737" s="810">
        <v>0.52</v>
      </c>
      <c r="C737" s="69" t="s">
        <v>1397</v>
      </c>
      <c r="D737" s="69" t="s">
        <v>486</v>
      </c>
      <c r="E737" s="426">
        <f t="shared" ref="E737:N737" si="436">calcQ1MSExp*(1+$B737)</f>
        <v>20938532.520494912</v>
      </c>
      <c r="F737" s="426">
        <f t="shared" si="436"/>
        <v>20938532.520494912</v>
      </c>
      <c r="G737" s="426">
        <f t="shared" si="436"/>
        <v>20938532.520494912</v>
      </c>
      <c r="H737" s="426">
        <f t="shared" si="436"/>
        <v>20938532.520494912</v>
      </c>
      <c r="I737" s="426">
        <f t="shared" si="436"/>
        <v>20938532.520494912</v>
      </c>
      <c r="J737" s="426">
        <f t="shared" si="436"/>
        <v>20938532.520494912</v>
      </c>
      <c r="K737" s="426">
        <f t="shared" si="436"/>
        <v>20938532.520494912</v>
      </c>
      <c r="L737" s="426">
        <f t="shared" si="436"/>
        <v>20938532.520494912</v>
      </c>
      <c r="M737" s="426">
        <f t="shared" si="436"/>
        <v>20938532.520494912</v>
      </c>
      <c r="N737" s="426">
        <f t="shared" si="436"/>
        <v>20938532.520494912</v>
      </c>
      <c r="Q737" s="69" t="s">
        <v>3607</v>
      </c>
    </row>
    <row r="738" spans="2:17">
      <c r="D738" s="69" t="s">
        <v>3604</v>
      </c>
      <c r="E738" s="426"/>
      <c r="F738" s="426"/>
      <c r="G738" s="426"/>
      <c r="H738" s="426"/>
      <c r="I738" s="426"/>
      <c r="J738" s="426"/>
      <c r="K738" s="426"/>
      <c r="L738" s="426"/>
      <c r="M738" s="426"/>
      <c r="N738" s="426"/>
    </row>
    <row r="739" spans="2:17">
      <c r="D739" s="69" t="s">
        <v>487</v>
      </c>
      <c r="E739" s="426">
        <f>SUM(E737:E738)</f>
        <v>20938532.520494912</v>
      </c>
      <c r="F739" s="426">
        <f t="shared" ref="F739:N739" si="437">SUM(F737:F738)</f>
        <v>20938532.520494912</v>
      </c>
      <c r="G739" s="426">
        <f t="shared" si="437"/>
        <v>20938532.520494912</v>
      </c>
      <c r="H739" s="426">
        <f t="shared" si="437"/>
        <v>20938532.520494912</v>
      </c>
      <c r="I739" s="426">
        <f t="shared" si="437"/>
        <v>20938532.520494912</v>
      </c>
      <c r="J739" s="426">
        <f t="shared" si="437"/>
        <v>20938532.520494912</v>
      </c>
      <c r="K739" s="426">
        <f t="shared" si="437"/>
        <v>20938532.520494912</v>
      </c>
      <c r="L739" s="426">
        <f t="shared" si="437"/>
        <v>20938532.520494912</v>
      </c>
      <c r="M739" s="426">
        <f t="shared" si="437"/>
        <v>20938532.520494912</v>
      </c>
      <c r="N739" s="426">
        <f t="shared" si="437"/>
        <v>20938532.520494912</v>
      </c>
      <c r="O739" s="69" t="s">
        <v>1400</v>
      </c>
      <c r="Q739" s="69" t="s">
        <v>3608</v>
      </c>
    </row>
    <row r="740" spans="2:17">
      <c r="E740" s="426"/>
      <c r="F740" s="426"/>
      <c r="G740" s="426"/>
      <c r="H740" s="426"/>
      <c r="I740" s="426"/>
      <c r="J740" s="426"/>
      <c r="K740" s="426"/>
      <c r="L740" s="426"/>
      <c r="M740" s="426"/>
      <c r="N740" s="426"/>
    </row>
    <row r="741" spans="2:17">
      <c r="B741" s="810">
        <v>0.49</v>
      </c>
      <c r="C741" s="69" t="s">
        <v>1431</v>
      </c>
      <c r="D741" s="69" t="s">
        <v>486</v>
      </c>
      <c r="E741" s="426">
        <f t="shared" ref="E741:N741" si="438">calcQ2MSExp*(1+$B741)</f>
        <v>22432058.463509578</v>
      </c>
      <c r="F741" s="426">
        <f t="shared" si="438"/>
        <v>22432058.463509578</v>
      </c>
      <c r="G741" s="426">
        <f t="shared" si="438"/>
        <v>22432058.463509578</v>
      </c>
      <c r="H741" s="426">
        <f t="shared" si="438"/>
        <v>22432058.463509578</v>
      </c>
      <c r="I741" s="426">
        <f t="shared" si="438"/>
        <v>22432058.463509578</v>
      </c>
      <c r="J741" s="426">
        <f t="shared" si="438"/>
        <v>22432058.463509578</v>
      </c>
      <c r="K741" s="426">
        <f t="shared" si="438"/>
        <v>22432058.463509578</v>
      </c>
      <c r="L741" s="426">
        <f t="shared" si="438"/>
        <v>22432058.463509578</v>
      </c>
      <c r="M741" s="426">
        <f t="shared" si="438"/>
        <v>22432058.463509578</v>
      </c>
      <c r="N741" s="426">
        <f t="shared" si="438"/>
        <v>22432058.463509578</v>
      </c>
      <c r="Q741" s="69" t="s">
        <v>3609</v>
      </c>
    </row>
    <row r="742" spans="2:17">
      <c r="E742" s="426"/>
      <c r="F742" s="426"/>
      <c r="G742" s="426"/>
      <c r="H742" s="426"/>
      <c r="I742" s="426"/>
      <c r="J742" s="426"/>
      <c r="K742" s="426"/>
      <c r="L742" s="426"/>
      <c r="M742" s="426"/>
      <c r="N742" s="426"/>
    </row>
    <row r="743" spans="2:17">
      <c r="D743" s="69" t="s">
        <v>487</v>
      </c>
      <c r="E743" s="426">
        <f>SUM(E741:E742)</f>
        <v>22432058.463509578</v>
      </c>
      <c r="F743" s="426">
        <f t="shared" ref="F743:N743" si="439">SUM(F741:F742)</f>
        <v>22432058.463509578</v>
      </c>
      <c r="G743" s="426">
        <f t="shared" si="439"/>
        <v>22432058.463509578</v>
      </c>
      <c r="H743" s="426">
        <f t="shared" si="439"/>
        <v>22432058.463509578</v>
      </c>
      <c r="I743" s="426">
        <f t="shared" si="439"/>
        <v>22432058.463509578</v>
      </c>
      <c r="J743" s="426">
        <f t="shared" si="439"/>
        <v>22432058.463509578</v>
      </c>
      <c r="K743" s="426">
        <f t="shared" si="439"/>
        <v>22432058.463509578</v>
      </c>
      <c r="L743" s="426">
        <f t="shared" si="439"/>
        <v>22432058.463509578</v>
      </c>
      <c r="M743" s="426">
        <f t="shared" si="439"/>
        <v>22432058.463509578</v>
      </c>
      <c r="N743" s="426">
        <f t="shared" si="439"/>
        <v>22432058.463509578</v>
      </c>
      <c r="O743" s="69" t="s">
        <v>1434</v>
      </c>
      <c r="Q743" s="69" t="s">
        <v>3610</v>
      </c>
    </row>
    <row r="744" spans="2:17">
      <c r="E744" s="426"/>
      <c r="F744" s="426"/>
      <c r="G744" s="426"/>
      <c r="H744" s="426"/>
      <c r="I744" s="426"/>
      <c r="J744" s="426"/>
      <c r="K744" s="426"/>
      <c r="L744" s="426"/>
      <c r="M744" s="426"/>
      <c r="N744" s="426"/>
    </row>
    <row r="745" spans="2:17">
      <c r="B745" s="810">
        <v>0.46</v>
      </c>
      <c r="C745" s="69" t="s">
        <v>1465</v>
      </c>
      <c r="D745" s="69" t="s">
        <v>486</v>
      </c>
      <c r="E745" s="426">
        <f t="shared" ref="E745:N745" si="440">calcQ3MSExp*(1+$B745)</f>
        <v>24867468.254377756</v>
      </c>
      <c r="F745" s="426">
        <f t="shared" si="440"/>
        <v>24867468.254377756</v>
      </c>
      <c r="G745" s="426">
        <f t="shared" si="440"/>
        <v>24867468.254377756</v>
      </c>
      <c r="H745" s="426">
        <f t="shared" si="440"/>
        <v>24867468.254377756</v>
      </c>
      <c r="I745" s="426">
        <f t="shared" si="440"/>
        <v>24867468.254377756</v>
      </c>
      <c r="J745" s="426">
        <f t="shared" si="440"/>
        <v>24867468.254377756</v>
      </c>
      <c r="K745" s="426">
        <f t="shared" si="440"/>
        <v>24867468.254377756</v>
      </c>
      <c r="L745" s="426">
        <f t="shared" si="440"/>
        <v>24867468.254377756</v>
      </c>
      <c r="M745" s="426">
        <f t="shared" si="440"/>
        <v>24867468.254377756</v>
      </c>
      <c r="N745" s="426">
        <f t="shared" si="440"/>
        <v>24867468.254377756</v>
      </c>
      <c r="Q745" s="69" t="s">
        <v>3611</v>
      </c>
    </row>
    <row r="746" spans="2:17">
      <c r="E746" s="426"/>
      <c r="F746" s="426"/>
      <c r="G746" s="426"/>
      <c r="H746" s="426"/>
      <c r="I746" s="426"/>
      <c r="J746" s="426"/>
      <c r="K746" s="426"/>
      <c r="L746" s="426"/>
      <c r="M746" s="426"/>
      <c r="N746" s="426"/>
    </row>
    <row r="747" spans="2:17">
      <c r="D747" s="69" t="s">
        <v>487</v>
      </c>
      <c r="E747" s="426">
        <f>SUM(E745:E746)</f>
        <v>24867468.254377756</v>
      </c>
      <c r="F747" s="426">
        <f t="shared" ref="F747:N747" si="441">SUM(F745:F746)</f>
        <v>24867468.254377756</v>
      </c>
      <c r="G747" s="426">
        <f t="shared" si="441"/>
        <v>24867468.254377756</v>
      </c>
      <c r="H747" s="426">
        <f t="shared" si="441"/>
        <v>24867468.254377756</v>
      </c>
      <c r="I747" s="426">
        <f t="shared" si="441"/>
        <v>24867468.254377756</v>
      </c>
      <c r="J747" s="426">
        <f t="shared" si="441"/>
        <v>24867468.254377756</v>
      </c>
      <c r="K747" s="426">
        <f t="shared" si="441"/>
        <v>24867468.254377756</v>
      </c>
      <c r="L747" s="426">
        <f t="shared" si="441"/>
        <v>24867468.254377756</v>
      </c>
      <c r="M747" s="426">
        <f t="shared" si="441"/>
        <v>24867468.254377756</v>
      </c>
      <c r="N747" s="426">
        <f t="shared" si="441"/>
        <v>24867468.254377756</v>
      </c>
      <c r="O747" s="69" t="s">
        <v>1468</v>
      </c>
      <c r="Q747" s="69" t="s">
        <v>3612</v>
      </c>
    </row>
    <row r="748" spans="2:17">
      <c r="E748" s="426"/>
      <c r="F748" s="426"/>
      <c r="G748" s="426"/>
      <c r="H748" s="426"/>
      <c r="I748" s="426"/>
      <c r="J748" s="426"/>
      <c r="K748" s="426"/>
      <c r="L748" s="426"/>
      <c r="M748" s="426"/>
      <c r="N748" s="426"/>
    </row>
    <row r="749" spans="2:17">
      <c r="B749" s="810">
        <v>0.43</v>
      </c>
      <c r="C749" s="69" t="s">
        <v>1499</v>
      </c>
      <c r="D749" s="69" t="s">
        <v>486</v>
      </c>
      <c r="E749" s="426">
        <f t="shared" ref="E749:N749" si="442">calcQ4MSExp*(1+$B749)</f>
        <v>28514311.318730175</v>
      </c>
      <c r="F749" s="426">
        <f t="shared" si="442"/>
        <v>28514311.318730175</v>
      </c>
      <c r="G749" s="426">
        <f t="shared" si="442"/>
        <v>28514311.318730175</v>
      </c>
      <c r="H749" s="426">
        <f t="shared" si="442"/>
        <v>28514311.318730175</v>
      </c>
      <c r="I749" s="426">
        <f t="shared" si="442"/>
        <v>28514311.318730175</v>
      </c>
      <c r="J749" s="426">
        <f t="shared" si="442"/>
        <v>28514311.318730175</v>
      </c>
      <c r="K749" s="426">
        <f t="shared" si="442"/>
        <v>28514311.318730175</v>
      </c>
      <c r="L749" s="426">
        <f t="shared" si="442"/>
        <v>28514311.318730175</v>
      </c>
      <c r="M749" s="426">
        <f t="shared" si="442"/>
        <v>28514311.318730175</v>
      </c>
      <c r="N749" s="426">
        <f t="shared" si="442"/>
        <v>28514311.318730175</v>
      </c>
      <c r="Q749" s="69" t="s">
        <v>3613</v>
      </c>
    </row>
    <row r="750" spans="2:17">
      <c r="E750" s="426"/>
      <c r="F750" s="426"/>
      <c r="G750" s="426"/>
      <c r="H750" s="426"/>
      <c r="I750" s="426"/>
      <c r="J750" s="426"/>
      <c r="K750" s="426"/>
      <c r="L750" s="426"/>
      <c r="M750" s="426"/>
      <c r="N750" s="426"/>
    </row>
    <row r="751" spans="2:17">
      <c r="D751" s="69" t="s">
        <v>487</v>
      </c>
      <c r="E751" s="426">
        <f>SUM(E749:E750)</f>
        <v>28514311.318730175</v>
      </c>
      <c r="F751" s="426">
        <f t="shared" ref="F751:I751" si="443">SUM(F749:F750)</f>
        <v>28514311.318730175</v>
      </c>
      <c r="G751" s="426">
        <f t="shared" si="443"/>
        <v>28514311.318730175</v>
      </c>
      <c r="H751" s="426">
        <f t="shared" si="443"/>
        <v>28514311.318730175</v>
      </c>
      <c r="I751" s="426">
        <f t="shared" si="443"/>
        <v>28514311.318730175</v>
      </c>
      <c r="J751" s="426">
        <f t="shared" ref="J751:N751" si="444">SUM(J749:J750)</f>
        <v>28514311.318730175</v>
      </c>
      <c r="K751" s="426">
        <f t="shared" si="444"/>
        <v>28514311.318730175</v>
      </c>
      <c r="L751" s="426">
        <f t="shared" si="444"/>
        <v>28514311.318730175</v>
      </c>
      <c r="M751" s="426">
        <f t="shared" si="444"/>
        <v>28514311.318730175</v>
      </c>
      <c r="N751" s="426">
        <f t="shared" si="444"/>
        <v>28514311.318730175</v>
      </c>
      <c r="O751" s="69" t="s">
        <v>1502</v>
      </c>
      <c r="Q751" s="69" t="s">
        <v>3614</v>
      </c>
    </row>
    <row r="752" spans="2:17">
      <c r="E752" s="426"/>
      <c r="F752" s="426"/>
      <c r="G752" s="426"/>
      <c r="H752" s="426"/>
      <c r="I752" s="426"/>
      <c r="J752" s="426"/>
      <c r="K752" s="426"/>
      <c r="L752" s="426"/>
      <c r="M752" s="426"/>
      <c r="N752" s="426"/>
    </row>
    <row r="753" spans="1:17" s="217" customFormat="1">
      <c r="A753" s="217" t="s">
        <v>464</v>
      </c>
      <c r="E753" s="427"/>
      <c r="F753" s="427"/>
      <c r="G753" s="427"/>
      <c r="H753" s="427"/>
      <c r="I753" s="427"/>
      <c r="J753" s="427"/>
      <c r="K753" s="427"/>
      <c r="L753" s="427"/>
      <c r="M753" s="427"/>
      <c r="N753" s="427"/>
    </row>
    <row r="754" spans="1:17">
      <c r="B754" s="810">
        <f>B737</f>
        <v>0.52</v>
      </c>
      <c r="C754" s="69" t="s">
        <v>1397</v>
      </c>
      <c r="D754" s="69" t="s">
        <v>486</v>
      </c>
      <c r="E754" s="426">
        <f t="shared" ref="E754:N754" si="445">calcQ1RDExp*(1+$B754)</f>
        <v>15668609.728819789</v>
      </c>
      <c r="F754" s="426">
        <f t="shared" si="445"/>
        <v>15668609.728819789</v>
      </c>
      <c r="G754" s="426">
        <f t="shared" si="445"/>
        <v>15668609.728819789</v>
      </c>
      <c r="H754" s="426">
        <f t="shared" si="445"/>
        <v>15668609.728819789</v>
      </c>
      <c r="I754" s="426">
        <f t="shared" si="445"/>
        <v>15668609.728819789</v>
      </c>
      <c r="J754" s="426">
        <f t="shared" si="445"/>
        <v>15668609.728819789</v>
      </c>
      <c r="K754" s="426">
        <f t="shared" si="445"/>
        <v>15668609.728819789</v>
      </c>
      <c r="L754" s="426">
        <f t="shared" si="445"/>
        <v>15668609.728819789</v>
      </c>
      <c r="M754" s="426">
        <f t="shared" si="445"/>
        <v>15668609.728819789</v>
      </c>
      <c r="N754" s="426">
        <f t="shared" si="445"/>
        <v>15668609.728819789</v>
      </c>
      <c r="Q754" s="69" t="s">
        <v>3615</v>
      </c>
    </row>
    <row r="755" spans="1:17">
      <c r="E755" s="426"/>
      <c r="F755" s="426"/>
      <c r="G755" s="426"/>
      <c r="H755" s="426"/>
      <c r="I755" s="426"/>
      <c r="J755" s="426"/>
      <c r="K755" s="426"/>
      <c r="L755" s="426"/>
      <c r="M755" s="426"/>
      <c r="N755" s="426"/>
    </row>
    <row r="756" spans="1:17">
      <c r="D756" s="69" t="s">
        <v>487</v>
      </c>
      <c r="E756" s="426">
        <f>SUM(E754:E755)</f>
        <v>15668609.728819789</v>
      </c>
      <c r="F756" s="426">
        <f t="shared" ref="F756" si="446">SUM(F754:F755)</f>
        <v>15668609.728819789</v>
      </c>
      <c r="G756" s="426">
        <f t="shared" ref="G756" si="447">SUM(G754:G755)</f>
        <v>15668609.728819789</v>
      </c>
      <c r="H756" s="426">
        <f t="shared" ref="H756" si="448">SUM(H754:H755)</f>
        <v>15668609.728819789</v>
      </c>
      <c r="I756" s="426">
        <f t="shared" ref="I756" si="449">SUM(I754:I755)</f>
        <v>15668609.728819789</v>
      </c>
      <c r="J756" s="426">
        <f t="shared" ref="J756" si="450">SUM(J754:J755)</f>
        <v>15668609.728819789</v>
      </c>
      <c r="K756" s="426">
        <f t="shared" ref="K756" si="451">SUM(K754:K755)</f>
        <v>15668609.728819789</v>
      </c>
      <c r="L756" s="426">
        <f t="shared" ref="L756" si="452">SUM(L754:L755)</f>
        <v>15668609.728819789</v>
      </c>
      <c r="M756" s="426">
        <f t="shared" ref="M756" si="453">SUM(M754:M755)</f>
        <v>15668609.728819789</v>
      </c>
      <c r="N756" s="426">
        <f t="shared" ref="N756" si="454">SUM(N754:N755)</f>
        <v>15668609.728819789</v>
      </c>
      <c r="O756" s="69" t="s">
        <v>1401</v>
      </c>
      <c r="Q756" s="69" t="s">
        <v>3616</v>
      </c>
    </row>
    <row r="757" spans="1:17">
      <c r="E757" s="426"/>
      <c r="F757" s="426"/>
      <c r="G757" s="426"/>
      <c r="H757" s="426"/>
      <c r="I757" s="426"/>
      <c r="J757" s="426"/>
      <c r="K757" s="426"/>
      <c r="L757" s="426"/>
      <c r="M757" s="426"/>
      <c r="N757" s="426"/>
    </row>
    <row r="758" spans="1:17">
      <c r="B758" s="810">
        <f>B741</f>
        <v>0.49</v>
      </c>
      <c r="C758" s="69" t="s">
        <v>1431</v>
      </c>
      <c r="D758" s="69" t="s">
        <v>486</v>
      </c>
      <c r="E758" s="426">
        <f t="shared" ref="E758:N758" si="455">calcQ2RDExp*(1+$B758)</f>
        <v>16786237.007525142</v>
      </c>
      <c r="F758" s="426">
        <f t="shared" si="455"/>
        <v>16786237.007525142</v>
      </c>
      <c r="G758" s="426">
        <f t="shared" si="455"/>
        <v>16786237.007525142</v>
      </c>
      <c r="H758" s="426">
        <f t="shared" si="455"/>
        <v>16786237.007525142</v>
      </c>
      <c r="I758" s="426">
        <f t="shared" si="455"/>
        <v>16786237.007525142</v>
      </c>
      <c r="J758" s="426">
        <f t="shared" si="455"/>
        <v>16786237.007525142</v>
      </c>
      <c r="K758" s="426">
        <f t="shared" si="455"/>
        <v>16786237.007525142</v>
      </c>
      <c r="L758" s="426">
        <f t="shared" si="455"/>
        <v>16786237.007525142</v>
      </c>
      <c r="M758" s="426">
        <f t="shared" si="455"/>
        <v>16786237.007525142</v>
      </c>
      <c r="N758" s="426">
        <f t="shared" si="455"/>
        <v>16786237.007525142</v>
      </c>
      <c r="Q758" s="69" t="s">
        <v>3617</v>
      </c>
    </row>
    <row r="759" spans="1:17">
      <c r="E759" s="426"/>
      <c r="F759" s="426"/>
      <c r="G759" s="426"/>
      <c r="H759" s="426"/>
      <c r="I759" s="426"/>
      <c r="J759" s="426"/>
      <c r="K759" s="426"/>
      <c r="L759" s="426"/>
      <c r="M759" s="426"/>
      <c r="N759" s="426"/>
    </row>
    <row r="760" spans="1:17">
      <c r="D760" s="69" t="s">
        <v>487</v>
      </c>
      <c r="E760" s="426">
        <f>SUM(E758:E759)</f>
        <v>16786237.007525142</v>
      </c>
      <c r="F760" s="426">
        <f t="shared" ref="F760" si="456">SUM(F758:F759)</f>
        <v>16786237.007525142</v>
      </c>
      <c r="G760" s="426">
        <f t="shared" ref="G760" si="457">SUM(G758:G759)</f>
        <v>16786237.007525142</v>
      </c>
      <c r="H760" s="426">
        <f t="shared" ref="H760" si="458">SUM(H758:H759)</f>
        <v>16786237.007525142</v>
      </c>
      <c r="I760" s="426">
        <f t="shared" ref="I760" si="459">SUM(I758:I759)</f>
        <v>16786237.007525142</v>
      </c>
      <c r="J760" s="426">
        <f t="shared" ref="J760" si="460">SUM(J758:J759)</f>
        <v>16786237.007525142</v>
      </c>
      <c r="K760" s="426">
        <f t="shared" ref="K760" si="461">SUM(K758:K759)</f>
        <v>16786237.007525142</v>
      </c>
      <c r="L760" s="426">
        <f t="shared" ref="L760" si="462">SUM(L758:L759)</f>
        <v>16786237.007525142</v>
      </c>
      <c r="M760" s="426">
        <f t="shared" ref="M760" si="463">SUM(M758:M759)</f>
        <v>16786237.007525142</v>
      </c>
      <c r="N760" s="426">
        <f t="shared" ref="N760" si="464">SUM(N758:N759)</f>
        <v>16786237.007525142</v>
      </c>
      <c r="O760" s="69" t="s">
        <v>1435</v>
      </c>
      <c r="Q760" s="69" t="s">
        <v>3618</v>
      </c>
    </row>
    <row r="761" spans="1:17">
      <c r="E761" s="426"/>
      <c r="F761" s="426"/>
      <c r="G761" s="426"/>
      <c r="H761" s="426"/>
      <c r="I761" s="426"/>
      <c r="J761" s="426"/>
      <c r="K761" s="426"/>
      <c r="L761" s="426"/>
      <c r="M761" s="426"/>
      <c r="N761" s="426"/>
    </row>
    <row r="762" spans="1:17">
      <c r="B762" s="810">
        <f>B745</f>
        <v>0.46</v>
      </c>
      <c r="C762" s="69" t="s">
        <v>1465</v>
      </c>
      <c r="D762" s="69" t="s">
        <v>486</v>
      </c>
      <c r="E762" s="426">
        <f t="shared" ref="E762:N762" si="465">calcQ3RDExp*(1+$B762)</f>
        <v>18608689.727433246</v>
      </c>
      <c r="F762" s="426">
        <f t="shared" si="465"/>
        <v>18608689.727433246</v>
      </c>
      <c r="G762" s="426">
        <f t="shared" si="465"/>
        <v>18608689.727433246</v>
      </c>
      <c r="H762" s="426">
        <f t="shared" si="465"/>
        <v>18608689.727433246</v>
      </c>
      <c r="I762" s="426">
        <f t="shared" si="465"/>
        <v>18608689.727433246</v>
      </c>
      <c r="J762" s="426">
        <f t="shared" si="465"/>
        <v>18608689.727433246</v>
      </c>
      <c r="K762" s="426">
        <f t="shared" si="465"/>
        <v>18608689.727433246</v>
      </c>
      <c r="L762" s="426">
        <f t="shared" si="465"/>
        <v>18608689.727433246</v>
      </c>
      <c r="M762" s="426">
        <f t="shared" si="465"/>
        <v>18608689.727433246</v>
      </c>
      <c r="N762" s="426">
        <f t="shared" si="465"/>
        <v>18608689.727433246</v>
      </c>
      <c r="Q762" s="69" t="s">
        <v>3619</v>
      </c>
    </row>
    <row r="763" spans="1:17">
      <c r="E763" s="426"/>
      <c r="F763" s="426"/>
      <c r="G763" s="426"/>
      <c r="H763" s="426"/>
      <c r="I763" s="426"/>
      <c r="J763" s="426"/>
      <c r="K763" s="426"/>
      <c r="L763" s="426"/>
      <c r="M763" s="426"/>
      <c r="N763" s="426"/>
    </row>
    <row r="764" spans="1:17">
      <c r="D764" s="69" t="s">
        <v>487</v>
      </c>
      <c r="E764" s="426">
        <f>SUM(E762:E763)</f>
        <v>18608689.727433246</v>
      </c>
      <c r="F764" s="426">
        <f t="shared" ref="F764" si="466">SUM(F762:F763)</f>
        <v>18608689.727433246</v>
      </c>
      <c r="G764" s="426">
        <f t="shared" ref="G764" si="467">SUM(G762:G763)</f>
        <v>18608689.727433246</v>
      </c>
      <c r="H764" s="426">
        <f t="shared" ref="H764" si="468">SUM(H762:H763)</f>
        <v>18608689.727433246</v>
      </c>
      <c r="I764" s="426">
        <f t="shared" ref="I764" si="469">SUM(I762:I763)</f>
        <v>18608689.727433246</v>
      </c>
      <c r="J764" s="426">
        <f t="shared" ref="J764" si="470">SUM(J762:J763)</f>
        <v>18608689.727433246</v>
      </c>
      <c r="K764" s="426">
        <f t="shared" ref="K764" si="471">SUM(K762:K763)</f>
        <v>18608689.727433246</v>
      </c>
      <c r="L764" s="426">
        <f t="shared" ref="L764" si="472">SUM(L762:L763)</f>
        <v>18608689.727433246</v>
      </c>
      <c r="M764" s="426">
        <f t="shared" ref="M764" si="473">SUM(M762:M763)</f>
        <v>18608689.727433246</v>
      </c>
      <c r="N764" s="426">
        <f t="shared" ref="N764" si="474">SUM(N762:N763)</f>
        <v>18608689.727433246</v>
      </c>
      <c r="O764" s="69" t="s">
        <v>1469</v>
      </c>
      <c r="Q764" s="69" t="s">
        <v>3620</v>
      </c>
    </row>
    <row r="765" spans="1:17">
      <c r="E765" s="426"/>
      <c r="F765" s="426"/>
      <c r="G765" s="426"/>
      <c r="H765" s="426"/>
      <c r="I765" s="426"/>
      <c r="J765" s="426"/>
      <c r="K765" s="426"/>
      <c r="L765" s="426"/>
      <c r="M765" s="426"/>
      <c r="N765" s="426"/>
    </row>
    <row r="766" spans="1:17">
      <c r="B766" s="810">
        <f>B749</f>
        <v>0.43</v>
      </c>
      <c r="C766" s="69" t="s">
        <v>1499</v>
      </c>
      <c r="D766" s="69" t="s">
        <v>486</v>
      </c>
      <c r="E766" s="426">
        <f t="shared" ref="E766:N766" si="475">calcQ4RDExp*(1+$B766)</f>
        <v>21337675.660982355</v>
      </c>
      <c r="F766" s="426">
        <f t="shared" si="475"/>
        <v>21337675.660982355</v>
      </c>
      <c r="G766" s="426">
        <f t="shared" si="475"/>
        <v>21337675.660982355</v>
      </c>
      <c r="H766" s="426">
        <f t="shared" si="475"/>
        <v>21337675.660982355</v>
      </c>
      <c r="I766" s="426">
        <f t="shared" si="475"/>
        <v>21337675.660982355</v>
      </c>
      <c r="J766" s="426">
        <f t="shared" si="475"/>
        <v>21337675.660982355</v>
      </c>
      <c r="K766" s="426">
        <f t="shared" si="475"/>
        <v>21337675.660982355</v>
      </c>
      <c r="L766" s="426">
        <f t="shared" si="475"/>
        <v>21337675.660982355</v>
      </c>
      <c r="M766" s="426">
        <f t="shared" si="475"/>
        <v>21337675.660982355</v>
      </c>
      <c r="N766" s="426">
        <f t="shared" si="475"/>
        <v>21337675.660982355</v>
      </c>
      <c r="Q766" s="69" t="s">
        <v>3621</v>
      </c>
    </row>
    <row r="767" spans="1:17">
      <c r="E767" s="426"/>
      <c r="F767" s="426"/>
      <c r="G767" s="426"/>
      <c r="H767" s="426"/>
      <c r="I767" s="426"/>
      <c r="J767" s="426"/>
      <c r="K767" s="426"/>
      <c r="L767" s="426"/>
      <c r="M767" s="426"/>
      <c r="N767" s="426"/>
    </row>
    <row r="768" spans="1:17">
      <c r="D768" s="69" t="s">
        <v>487</v>
      </c>
      <c r="E768" s="426">
        <f>SUM(E766:E767)</f>
        <v>21337675.660982355</v>
      </c>
      <c r="F768" s="426">
        <f t="shared" ref="F768:N768" si="476">SUM(F766:F767)</f>
        <v>21337675.660982355</v>
      </c>
      <c r="G768" s="426">
        <f t="shared" si="476"/>
        <v>21337675.660982355</v>
      </c>
      <c r="H768" s="426">
        <f t="shared" si="476"/>
        <v>21337675.660982355</v>
      </c>
      <c r="I768" s="426">
        <f t="shared" si="476"/>
        <v>21337675.660982355</v>
      </c>
      <c r="J768" s="426">
        <f t="shared" si="476"/>
        <v>21337675.660982355</v>
      </c>
      <c r="K768" s="426">
        <f t="shared" si="476"/>
        <v>21337675.660982355</v>
      </c>
      <c r="L768" s="426">
        <f t="shared" si="476"/>
        <v>21337675.660982355</v>
      </c>
      <c r="M768" s="426">
        <f t="shared" si="476"/>
        <v>21337675.660982355</v>
      </c>
      <c r="N768" s="426">
        <f t="shared" si="476"/>
        <v>21337675.660982355</v>
      </c>
      <c r="O768" s="69" t="s">
        <v>1503</v>
      </c>
      <c r="Q768" s="69" t="s">
        <v>3622</v>
      </c>
    </row>
    <row r="769" spans="1:17">
      <c r="E769" s="426"/>
      <c r="F769" s="426"/>
      <c r="G769" s="426"/>
      <c r="H769" s="426"/>
      <c r="I769" s="426"/>
      <c r="J769" s="426"/>
      <c r="K769" s="426"/>
      <c r="L769" s="426"/>
      <c r="M769" s="426"/>
      <c r="N769" s="426"/>
    </row>
    <row r="770" spans="1:17" s="217" customFormat="1">
      <c r="A770" s="217" t="s">
        <v>465</v>
      </c>
      <c r="E770" s="427"/>
      <c r="F770" s="427"/>
      <c r="G770" s="427"/>
      <c r="H770" s="427"/>
      <c r="I770" s="427"/>
      <c r="J770" s="427"/>
      <c r="K770" s="427"/>
      <c r="L770" s="427"/>
      <c r="M770" s="427"/>
      <c r="N770" s="427"/>
    </row>
    <row r="771" spans="1:17">
      <c r="B771" s="810">
        <f>B737</f>
        <v>0.52</v>
      </c>
      <c r="C771" s="69" t="s">
        <v>1397</v>
      </c>
      <c r="D771" s="69" t="s">
        <v>486</v>
      </c>
      <c r="E771" s="426">
        <f t="shared" ref="E771:N771" si="477">calcQ1GAExp*(1+$B771)</f>
        <v>9975210.9985279143</v>
      </c>
      <c r="F771" s="426">
        <f t="shared" si="477"/>
        <v>9975210.9985279143</v>
      </c>
      <c r="G771" s="426">
        <f t="shared" si="477"/>
        <v>9975210.9985279143</v>
      </c>
      <c r="H771" s="426">
        <f t="shared" si="477"/>
        <v>9975210.9985279143</v>
      </c>
      <c r="I771" s="426">
        <f t="shared" si="477"/>
        <v>9975210.9985279143</v>
      </c>
      <c r="J771" s="426">
        <f t="shared" si="477"/>
        <v>9975210.9985279143</v>
      </c>
      <c r="K771" s="426">
        <f t="shared" si="477"/>
        <v>9975210.9985279143</v>
      </c>
      <c r="L771" s="426">
        <f t="shared" si="477"/>
        <v>9975210.9985279143</v>
      </c>
      <c r="M771" s="426">
        <f t="shared" si="477"/>
        <v>9975210.9985279143</v>
      </c>
      <c r="N771" s="426">
        <f t="shared" si="477"/>
        <v>9975210.9985279143</v>
      </c>
      <c r="Q771" s="69" t="s">
        <v>3623</v>
      </c>
    </row>
    <row r="772" spans="1:17">
      <c r="E772" s="426"/>
      <c r="F772" s="426"/>
      <c r="G772" s="426"/>
      <c r="H772" s="426"/>
      <c r="I772" s="426"/>
      <c r="J772" s="426"/>
      <c r="K772" s="426"/>
      <c r="L772" s="426"/>
      <c r="M772" s="426"/>
      <c r="N772" s="426"/>
    </row>
    <row r="773" spans="1:17">
      <c r="D773" s="69" t="s">
        <v>487</v>
      </c>
      <c r="E773" s="426">
        <f>SUM(E771:E772)</f>
        <v>9975210.9985279143</v>
      </c>
      <c r="F773" s="426">
        <f t="shared" ref="F773" si="478">SUM(F771:F772)</f>
        <v>9975210.9985279143</v>
      </c>
      <c r="G773" s="426">
        <f t="shared" ref="G773" si="479">SUM(G771:G772)</f>
        <v>9975210.9985279143</v>
      </c>
      <c r="H773" s="426">
        <f t="shared" ref="H773" si="480">SUM(H771:H772)</f>
        <v>9975210.9985279143</v>
      </c>
      <c r="I773" s="426">
        <f t="shared" ref="I773" si="481">SUM(I771:I772)</f>
        <v>9975210.9985279143</v>
      </c>
      <c r="J773" s="426">
        <f t="shared" ref="J773" si="482">SUM(J771:J772)</f>
        <v>9975210.9985279143</v>
      </c>
      <c r="K773" s="426">
        <f t="shared" ref="K773" si="483">SUM(K771:K772)</f>
        <v>9975210.9985279143</v>
      </c>
      <c r="L773" s="426">
        <f t="shared" ref="L773" si="484">SUM(L771:L772)</f>
        <v>9975210.9985279143</v>
      </c>
      <c r="M773" s="426">
        <f t="shared" ref="M773" si="485">SUM(M771:M772)</f>
        <v>9975210.9985279143</v>
      </c>
      <c r="N773" s="426">
        <f t="shared" ref="N773" si="486">SUM(N771:N772)</f>
        <v>9975210.9985279143</v>
      </c>
      <c r="O773" s="69" t="s">
        <v>1402</v>
      </c>
      <c r="Q773" s="69" t="s">
        <v>3624</v>
      </c>
    </row>
    <row r="774" spans="1:17">
      <c r="E774" s="426"/>
      <c r="F774" s="426"/>
      <c r="G774" s="426"/>
      <c r="H774" s="426"/>
      <c r="I774" s="426"/>
      <c r="J774" s="426"/>
      <c r="K774" s="426"/>
      <c r="L774" s="426"/>
      <c r="M774" s="426"/>
      <c r="N774" s="426"/>
    </row>
    <row r="775" spans="1:17">
      <c r="B775" s="810">
        <f>B741</f>
        <v>0.49</v>
      </c>
      <c r="C775" s="69" t="s">
        <v>1431</v>
      </c>
      <c r="D775" s="69" t="s">
        <v>486</v>
      </c>
      <c r="E775" s="426">
        <f t="shared" ref="E775:N775" si="487">calcQ2GAExp*(1+$B775)</f>
        <v>10686733.470256248</v>
      </c>
      <c r="F775" s="426">
        <f t="shared" si="487"/>
        <v>10686733.470256248</v>
      </c>
      <c r="G775" s="426">
        <f t="shared" si="487"/>
        <v>10686733.470256248</v>
      </c>
      <c r="H775" s="426">
        <f t="shared" si="487"/>
        <v>10686733.470256248</v>
      </c>
      <c r="I775" s="426">
        <f t="shared" si="487"/>
        <v>10686733.470256248</v>
      </c>
      <c r="J775" s="426">
        <f t="shared" si="487"/>
        <v>10686733.470256248</v>
      </c>
      <c r="K775" s="426">
        <f t="shared" si="487"/>
        <v>10686733.470256248</v>
      </c>
      <c r="L775" s="426">
        <f t="shared" si="487"/>
        <v>10686733.470256248</v>
      </c>
      <c r="M775" s="426">
        <f t="shared" si="487"/>
        <v>10686733.470256248</v>
      </c>
      <c r="N775" s="426">
        <f t="shared" si="487"/>
        <v>10686733.470256248</v>
      </c>
      <c r="Q775" s="69" t="s">
        <v>3625</v>
      </c>
    </row>
    <row r="776" spans="1:17">
      <c r="E776" s="426"/>
      <c r="F776" s="426"/>
      <c r="G776" s="426"/>
      <c r="H776" s="426"/>
      <c r="I776" s="426"/>
      <c r="J776" s="426"/>
      <c r="K776" s="426"/>
      <c r="L776" s="426"/>
      <c r="M776" s="426"/>
      <c r="N776" s="426"/>
    </row>
    <row r="777" spans="1:17">
      <c r="D777" s="69" t="s">
        <v>487</v>
      </c>
      <c r="E777" s="426">
        <f>SUM(E775:E776)</f>
        <v>10686733.470256248</v>
      </c>
      <c r="F777" s="426">
        <f t="shared" ref="F777" si="488">SUM(F775:F776)</f>
        <v>10686733.470256248</v>
      </c>
      <c r="G777" s="426">
        <f t="shared" ref="G777" si="489">SUM(G775:G776)</f>
        <v>10686733.470256248</v>
      </c>
      <c r="H777" s="426">
        <f t="shared" ref="H777" si="490">SUM(H775:H776)</f>
        <v>10686733.470256248</v>
      </c>
      <c r="I777" s="426">
        <f t="shared" ref="I777" si="491">SUM(I775:I776)</f>
        <v>10686733.470256248</v>
      </c>
      <c r="J777" s="426">
        <f t="shared" ref="J777" si="492">SUM(J775:J776)</f>
        <v>10686733.470256248</v>
      </c>
      <c r="K777" s="426">
        <f t="shared" ref="K777" si="493">SUM(K775:K776)</f>
        <v>10686733.470256248</v>
      </c>
      <c r="L777" s="426">
        <f t="shared" ref="L777" si="494">SUM(L775:L776)</f>
        <v>10686733.470256248</v>
      </c>
      <c r="M777" s="426">
        <f t="shared" ref="M777" si="495">SUM(M775:M776)</f>
        <v>10686733.470256248</v>
      </c>
      <c r="N777" s="426">
        <f t="shared" ref="N777" si="496">SUM(N775:N776)</f>
        <v>10686733.470256248</v>
      </c>
      <c r="O777" s="69" t="s">
        <v>1436</v>
      </c>
      <c r="Q777" s="69" t="s">
        <v>3626</v>
      </c>
    </row>
    <row r="778" spans="1:17">
      <c r="E778" s="426"/>
      <c r="F778" s="426"/>
      <c r="G778" s="426"/>
      <c r="H778" s="426"/>
      <c r="I778" s="426"/>
      <c r="J778" s="426"/>
      <c r="K778" s="426"/>
      <c r="L778" s="426"/>
      <c r="M778" s="426"/>
      <c r="N778" s="426"/>
    </row>
    <row r="779" spans="1:17">
      <c r="B779" s="810">
        <f>B745</f>
        <v>0.46</v>
      </c>
      <c r="C779" s="69" t="s">
        <v>1465</v>
      </c>
      <c r="D779" s="69" t="s">
        <v>486</v>
      </c>
      <c r="E779" s="426">
        <f t="shared" ref="E779:N779" si="497">calcQ3GAExp*(1+$B779)</f>
        <v>11846973.64028783</v>
      </c>
      <c r="F779" s="426">
        <f t="shared" si="497"/>
        <v>11846973.64028783</v>
      </c>
      <c r="G779" s="426">
        <f t="shared" si="497"/>
        <v>11846973.64028783</v>
      </c>
      <c r="H779" s="426">
        <f t="shared" si="497"/>
        <v>11846973.64028783</v>
      </c>
      <c r="I779" s="426">
        <f t="shared" si="497"/>
        <v>11846973.64028783</v>
      </c>
      <c r="J779" s="426">
        <f t="shared" si="497"/>
        <v>11846973.64028783</v>
      </c>
      <c r="K779" s="426">
        <f t="shared" si="497"/>
        <v>11846973.64028783</v>
      </c>
      <c r="L779" s="426">
        <f t="shared" si="497"/>
        <v>11846973.64028783</v>
      </c>
      <c r="M779" s="426">
        <f t="shared" si="497"/>
        <v>11846973.64028783</v>
      </c>
      <c r="N779" s="426">
        <f t="shared" si="497"/>
        <v>11846973.64028783</v>
      </c>
      <c r="Q779" s="69" t="s">
        <v>3627</v>
      </c>
    </row>
    <row r="780" spans="1:17">
      <c r="E780" s="426"/>
      <c r="F780" s="426"/>
      <c r="G780" s="426"/>
      <c r="H780" s="426"/>
      <c r="I780" s="426"/>
      <c r="J780" s="426"/>
      <c r="K780" s="426"/>
      <c r="L780" s="426"/>
      <c r="M780" s="426"/>
      <c r="N780" s="426"/>
    </row>
    <row r="781" spans="1:17">
      <c r="D781" s="69" t="s">
        <v>487</v>
      </c>
      <c r="E781" s="426">
        <f>SUM(E779:E780)</f>
        <v>11846973.64028783</v>
      </c>
      <c r="F781" s="426">
        <f t="shared" ref="F781" si="498">SUM(F779:F780)</f>
        <v>11846973.64028783</v>
      </c>
      <c r="G781" s="426">
        <f t="shared" ref="G781" si="499">SUM(G779:G780)</f>
        <v>11846973.64028783</v>
      </c>
      <c r="H781" s="426">
        <f t="shared" ref="H781" si="500">SUM(H779:H780)</f>
        <v>11846973.64028783</v>
      </c>
      <c r="I781" s="426">
        <f t="shared" ref="I781" si="501">SUM(I779:I780)</f>
        <v>11846973.64028783</v>
      </c>
      <c r="J781" s="426">
        <f t="shared" ref="J781" si="502">SUM(J779:J780)</f>
        <v>11846973.64028783</v>
      </c>
      <c r="K781" s="426">
        <f t="shared" ref="K781" si="503">SUM(K779:K780)</f>
        <v>11846973.64028783</v>
      </c>
      <c r="L781" s="426">
        <f t="shared" ref="L781" si="504">SUM(L779:L780)</f>
        <v>11846973.64028783</v>
      </c>
      <c r="M781" s="426">
        <f t="shared" ref="M781" si="505">SUM(M779:M780)</f>
        <v>11846973.64028783</v>
      </c>
      <c r="N781" s="426">
        <f t="shared" ref="N781" si="506">SUM(N779:N780)</f>
        <v>11846973.64028783</v>
      </c>
      <c r="O781" s="69" t="s">
        <v>1470</v>
      </c>
      <c r="Q781" s="69" t="s">
        <v>3628</v>
      </c>
    </row>
    <row r="782" spans="1:17">
      <c r="E782" s="426"/>
      <c r="F782" s="426"/>
      <c r="G782" s="426"/>
      <c r="H782" s="426"/>
      <c r="I782" s="426"/>
      <c r="J782" s="426"/>
      <c r="K782" s="426"/>
      <c r="L782" s="426"/>
      <c r="M782" s="426"/>
      <c r="N782" s="426"/>
    </row>
    <row r="783" spans="1:17">
      <c r="B783" s="810">
        <f>B749</f>
        <v>0.43</v>
      </c>
      <c r="C783" s="69" t="s">
        <v>1499</v>
      </c>
      <c r="D783" s="69" t="s">
        <v>486</v>
      </c>
      <c r="E783" s="426">
        <f t="shared" ref="E783:N783" si="507">calcQ4GAExp*(1+$B783)</f>
        <v>13584346.066451227</v>
      </c>
      <c r="F783" s="426">
        <f t="shared" si="507"/>
        <v>13584346.066451227</v>
      </c>
      <c r="G783" s="426">
        <f t="shared" si="507"/>
        <v>13584346.066451227</v>
      </c>
      <c r="H783" s="426">
        <f t="shared" si="507"/>
        <v>13584346.066451227</v>
      </c>
      <c r="I783" s="426">
        <f t="shared" si="507"/>
        <v>13584346.066451227</v>
      </c>
      <c r="J783" s="426">
        <f t="shared" si="507"/>
        <v>13584346.066451227</v>
      </c>
      <c r="K783" s="426">
        <f t="shared" si="507"/>
        <v>13584346.066451227</v>
      </c>
      <c r="L783" s="426">
        <f t="shared" si="507"/>
        <v>13584346.066451227</v>
      </c>
      <c r="M783" s="426">
        <f t="shared" si="507"/>
        <v>13584346.066451227</v>
      </c>
      <c r="N783" s="426">
        <f t="shared" si="507"/>
        <v>13584346.066451227</v>
      </c>
      <c r="Q783" s="69" t="s">
        <v>3629</v>
      </c>
    </row>
    <row r="784" spans="1:17">
      <c r="E784" s="426"/>
      <c r="F784" s="426"/>
      <c r="G784" s="426"/>
      <c r="H784" s="426"/>
      <c r="I784" s="426"/>
      <c r="J784" s="426"/>
      <c r="K784" s="426"/>
      <c r="L784" s="426"/>
      <c r="M784" s="426"/>
      <c r="N784" s="426"/>
    </row>
    <row r="785" spans="1:17">
      <c r="D785" s="69" t="s">
        <v>487</v>
      </c>
      <c r="E785" s="426">
        <f>SUM(E783:E784)</f>
        <v>13584346.066451227</v>
      </c>
      <c r="F785" s="426">
        <f t="shared" ref="F785:N785" si="508">SUM(F783:F784)</f>
        <v>13584346.066451227</v>
      </c>
      <c r="G785" s="426">
        <f t="shared" si="508"/>
        <v>13584346.066451227</v>
      </c>
      <c r="H785" s="426">
        <f t="shared" si="508"/>
        <v>13584346.066451227</v>
      </c>
      <c r="I785" s="426">
        <f t="shared" si="508"/>
        <v>13584346.066451227</v>
      </c>
      <c r="J785" s="426">
        <f t="shared" si="508"/>
        <v>13584346.066451227</v>
      </c>
      <c r="K785" s="426">
        <f t="shared" si="508"/>
        <v>13584346.066451227</v>
      </c>
      <c r="L785" s="426">
        <f t="shared" si="508"/>
        <v>13584346.066451227</v>
      </c>
      <c r="M785" s="426">
        <f t="shared" si="508"/>
        <v>13584346.066451227</v>
      </c>
      <c r="N785" s="426">
        <f t="shared" si="508"/>
        <v>13584346.066451227</v>
      </c>
      <c r="O785" s="69" t="s">
        <v>1504</v>
      </c>
      <c r="Q785" s="69" t="s">
        <v>3630</v>
      </c>
    </row>
    <row r="786" spans="1:17">
      <c r="A786" s="69" t="s">
        <v>2413</v>
      </c>
    </row>
    <row r="787" spans="1:17" s="217" customFormat="1">
      <c r="A787" s="217" t="s">
        <v>463</v>
      </c>
      <c r="E787" s="411">
        <f t="shared" ref="E787:N787" si="509">calcY5Q1Rev/calcY2Q1Rev-1</f>
        <v>1.4110733985602364</v>
      </c>
      <c r="F787" s="217">
        <f t="shared" si="509"/>
        <v>1.4110733985602364</v>
      </c>
      <c r="G787" s="217">
        <f t="shared" si="509"/>
        <v>1.4110733985602364</v>
      </c>
      <c r="H787" s="217">
        <f t="shared" si="509"/>
        <v>1.4110733985602364</v>
      </c>
      <c r="I787" s="217">
        <f t="shared" si="509"/>
        <v>1.4110733985602364</v>
      </c>
      <c r="J787" s="217">
        <f t="shared" si="509"/>
        <v>1.4110733985602364</v>
      </c>
      <c r="K787" s="217">
        <f t="shared" si="509"/>
        <v>1.4110733985602364</v>
      </c>
      <c r="L787" s="217">
        <f t="shared" si="509"/>
        <v>1.4110733985602364</v>
      </c>
      <c r="M787" s="217">
        <f t="shared" si="509"/>
        <v>1.4110733985602364</v>
      </c>
      <c r="N787" s="217">
        <f t="shared" si="509"/>
        <v>1.4110733985602364</v>
      </c>
    </row>
    <row r="788" spans="1:17">
      <c r="B788" s="810">
        <v>0.75</v>
      </c>
      <c r="C788" s="69" t="s">
        <v>2999</v>
      </c>
      <c r="D788" s="69" t="s">
        <v>486</v>
      </c>
      <c r="E788" s="426">
        <f>calcY2Q1MSExp*(1+$B788)</f>
        <v>36642431.910866097</v>
      </c>
      <c r="F788" s="426">
        <f t="shared" ref="F788:N788" si="510">calcY2Q1MSExp*(1+$B788)</f>
        <v>36642431.910866097</v>
      </c>
      <c r="G788" s="426">
        <f t="shared" si="510"/>
        <v>36642431.910866097</v>
      </c>
      <c r="H788" s="426">
        <f t="shared" si="510"/>
        <v>36642431.910866097</v>
      </c>
      <c r="I788" s="426">
        <f t="shared" si="510"/>
        <v>36642431.910866097</v>
      </c>
      <c r="J788" s="426">
        <f t="shared" si="510"/>
        <v>36642431.910866097</v>
      </c>
      <c r="K788" s="426">
        <f t="shared" si="510"/>
        <v>36642431.910866097</v>
      </c>
      <c r="L788" s="426">
        <f t="shared" si="510"/>
        <v>36642431.910866097</v>
      </c>
      <c r="M788" s="426">
        <f t="shared" si="510"/>
        <v>36642431.910866097</v>
      </c>
      <c r="N788" s="426">
        <f t="shared" si="510"/>
        <v>36642431.910866097</v>
      </c>
      <c r="Q788" s="69" t="s">
        <v>3631</v>
      </c>
    </row>
    <row r="789" spans="1:17">
      <c r="E789" s="426"/>
      <c r="F789" s="426"/>
      <c r="G789" s="426"/>
      <c r="H789" s="426"/>
      <c r="I789" s="426"/>
      <c r="J789" s="426"/>
      <c r="K789" s="426"/>
      <c r="L789" s="426"/>
      <c r="M789" s="426"/>
      <c r="N789" s="426"/>
    </row>
    <row r="790" spans="1:17">
      <c r="D790" s="69" t="s">
        <v>487</v>
      </c>
      <c r="E790" s="426">
        <f>SUM(E788:E789)</f>
        <v>36642431.910866097</v>
      </c>
      <c r="F790" s="426">
        <f t="shared" ref="F790:N790" si="511">SUM(F788:F789)</f>
        <v>36642431.910866097</v>
      </c>
      <c r="G790" s="426">
        <f t="shared" si="511"/>
        <v>36642431.910866097</v>
      </c>
      <c r="H790" s="426">
        <f t="shared" si="511"/>
        <v>36642431.910866097</v>
      </c>
      <c r="I790" s="426">
        <f t="shared" si="511"/>
        <v>36642431.910866097</v>
      </c>
      <c r="J790" s="426">
        <f t="shared" si="511"/>
        <v>36642431.910866097</v>
      </c>
      <c r="K790" s="426">
        <f t="shared" si="511"/>
        <v>36642431.910866097</v>
      </c>
      <c r="L790" s="426">
        <f t="shared" si="511"/>
        <v>36642431.910866097</v>
      </c>
      <c r="M790" s="426">
        <f t="shared" si="511"/>
        <v>36642431.910866097</v>
      </c>
      <c r="N790" s="426">
        <f t="shared" si="511"/>
        <v>36642431.910866097</v>
      </c>
      <c r="O790" s="69" t="s">
        <v>3000</v>
      </c>
      <c r="Q790" s="69" t="s">
        <v>3632</v>
      </c>
    </row>
    <row r="791" spans="1:17">
      <c r="E791" s="411">
        <f t="shared" ref="E791:N791" si="512">calcY5Q2Rev/calcY2Q2Rev-1</f>
        <v>1.3295259892915277</v>
      </c>
      <c r="F791" s="69">
        <f t="shared" si="512"/>
        <v>1.3295259892915277</v>
      </c>
      <c r="G791" s="426">
        <f t="shared" si="512"/>
        <v>1.3295259892915277</v>
      </c>
      <c r="H791" s="426">
        <f t="shared" si="512"/>
        <v>1.3295259892915277</v>
      </c>
      <c r="I791" s="426">
        <f t="shared" si="512"/>
        <v>1.3295259892915277</v>
      </c>
      <c r="J791" s="426">
        <f t="shared" si="512"/>
        <v>1.3295259892915277</v>
      </c>
      <c r="K791" s="426">
        <f t="shared" si="512"/>
        <v>1.3295259892915277</v>
      </c>
      <c r="L791" s="426">
        <f t="shared" si="512"/>
        <v>1.3295259892915277</v>
      </c>
      <c r="M791" s="426">
        <f t="shared" si="512"/>
        <v>1.3295259892915277</v>
      </c>
      <c r="N791" s="426">
        <f t="shared" si="512"/>
        <v>1.3295259892915277</v>
      </c>
    </row>
    <row r="792" spans="1:17">
      <c r="B792" s="810">
        <f>B788</f>
        <v>0.75</v>
      </c>
      <c r="C792" s="69" t="s">
        <v>3001</v>
      </c>
      <c r="D792" s="69" t="s">
        <v>486</v>
      </c>
      <c r="E792" s="426">
        <f t="shared" ref="E792:N792" si="513">calcY2Q2MSExp*(1+$B792)</f>
        <v>39256102.311141759</v>
      </c>
      <c r="F792" s="426">
        <f t="shared" si="513"/>
        <v>39256102.311141759</v>
      </c>
      <c r="G792" s="426">
        <f t="shared" si="513"/>
        <v>39256102.311141759</v>
      </c>
      <c r="H792" s="426">
        <f t="shared" si="513"/>
        <v>39256102.311141759</v>
      </c>
      <c r="I792" s="426">
        <f t="shared" si="513"/>
        <v>39256102.311141759</v>
      </c>
      <c r="J792" s="426">
        <f t="shared" si="513"/>
        <v>39256102.311141759</v>
      </c>
      <c r="K792" s="426">
        <f t="shared" si="513"/>
        <v>39256102.311141759</v>
      </c>
      <c r="L792" s="426">
        <f t="shared" si="513"/>
        <v>39256102.311141759</v>
      </c>
      <c r="M792" s="426">
        <f t="shared" si="513"/>
        <v>39256102.311141759</v>
      </c>
      <c r="N792" s="426">
        <f t="shared" si="513"/>
        <v>39256102.311141759</v>
      </c>
      <c r="Q792" s="69" t="s">
        <v>3633</v>
      </c>
    </row>
    <row r="793" spans="1:17">
      <c r="E793" s="426"/>
      <c r="F793" s="426"/>
      <c r="G793" s="426"/>
      <c r="H793" s="426"/>
      <c r="I793" s="426"/>
      <c r="J793" s="426"/>
      <c r="K793" s="426"/>
      <c r="L793" s="426"/>
      <c r="M793" s="426"/>
      <c r="N793" s="426"/>
    </row>
    <row r="794" spans="1:17">
      <c r="D794" s="69" t="s">
        <v>487</v>
      </c>
      <c r="E794" s="426">
        <f>SUM(E792:E793)</f>
        <v>39256102.311141759</v>
      </c>
      <c r="F794" s="426">
        <f t="shared" ref="F794:N794" si="514">SUM(F792:F793)</f>
        <v>39256102.311141759</v>
      </c>
      <c r="G794" s="426">
        <f t="shared" si="514"/>
        <v>39256102.311141759</v>
      </c>
      <c r="H794" s="426">
        <f t="shared" si="514"/>
        <v>39256102.311141759</v>
      </c>
      <c r="I794" s="426">
        <f t="shared" si="514"/>
        <v>39256102.311141759</v>
      </c>
      <c r="J794" s="426">
        <f t="shared" si="514"/>
        <v>39256102.311141759</v>
      </c>
      <c r="K794" s="426">
        <f t="shared" si="514"/>
        <v>39256102.311141759</v>
      </c>
      <c r="L794" s="426">
        <f t="shared" si="514"/>
        <v>39256102.311141759</v>
      </c>
      <c r="M794" s="426">
        <f t="shared" si="514"/>
        <v>39256102.311141759</v>
      </c>
      <c r="N794" s="426">
        <f t="shared" si="514"/>
        <v>39256102.311141759</v>
      </c>
      <c r="O794" s="69" t="s">
        <v>3002</v>
      </c>
      <c r="Q794" s="69" t="s">
        <v>3634</v>
      </c>
    </row>
    <row r="795" spans="1:17">
      <c r="E795" s="411">
        <f t="shared" ref="E795:N795" si="515">calcY5Q3Rev/calcY2Q3Rev-1</f>
        <v>1.2237942510227784</v>
      </c>
      <c r="F795" s="69">
        <f t="shared" si="515"/>
        <v>1.2237942510227784</v>
      </c>
      <c r="G795" s="426">
        <f t="shared" si="515"/>
        <v>1.2237942510227784</v>
      </c>
      <c r="H795" s="426">
        <f t="shared" si="515"/>
        <v>1.2237942510227784</v>
      </c>
      <c r="I795" s="426">
        <f t="shared" si="515"/>
        <v>1.2237942510227784</v>
      </c>
      <c r="J795" s="426">
        <f t="shared" si="515"/>
        <v>1.2237942510227784</v>
      </c>
      <c r="K795" s="426">
        <f t="shared" si="515"/>
        <v>1.2237942510227784</v>
      </c>
      <c r="L795" s="426">
        <f t="shared" si="515"/>
        <v>1.2237942510227784</v>
      </c>
      <c r="M795" s="426">
        <f t="shared" si="515"/>
        <v>1.2237942510227784</v>
      </c>
      <c r="N795" s="426">
        <f t="shared" si="515"/>
        <v>1.2237942510227784</v>
      </c>
    </row>
    <row r="796" spans="1:17">
      <c r="B796" s="810">
        <f>B792</f>
        <v>0.75</v>
      </c>
      <c r="C796" s="69" t="s">
        <v>3003</v>
      </c>
      <c r="D796" s="69" t="s">
        <v>486</v>
      </c>
      <c r="E796" s="426">
        <f t="shared" ref="E796:N796" si="516">calcY2Q3MSExp*(1+$B796)</f>
        <v>43518069.445161074</v>
      </c>
      <c r="F796" s="426">
        <f t="shared" si="516"/>
        <v>43518069.445161074</v>
      </c>
      <c r="G796" s="426">
        <f t="shared" si="516"/>
        <v>43518069.445161074</v>
      </c>
      <c r="H796" s="426">
        <f t="shared" si="516"/>
        <v>43518069.445161074</v>
      </c>
      <c r="I796" s="426">
        <f t="shared" si="516"/>
        <v>43518069.445161074</v>
      </c>
      <c r="J796" s="426">
        <f t="shared" si="516"/>
        <v>43518069.445161074</v>
      </c>
      <c r="K796" s="426">
        <f t="shared" si="516"/>
        <v>43518069.445161074</v>
      </c>
      <c r="L796" s="426">
        <f t="shared" si="516"/>
        <v>43518069.445161074</v>
      </c>
      <c r="M796" s="426">
        <f t="shared" si="516"/>
        <v>43518069.445161074</v>
      </c>
      <c r="N796" s="426">
        <f t="shared" si="516"/>
        <v>43518069.445161074</v>
      </c>
      <c r="Q796" s="69" t="s">
        <v>3635</v>
      </c>
    </row>
    <row r="797" spans="1:17">
      <c r="E797" s="426"/>
      <c r="F797" s="426"/>
      <c r="G797" s="426"/>
      <c r="H797" s="426"/>
      <c r="I797" s="426"/>
      <c r="J797" s="426"/>
      <c r="K797" s="426"/>
      <c r="L797" s="426"/>
      <c r="M797" s="426"/>
      <c r="N797" s="426"/>
    </row>
    <row r="798" spans="1:17">
      <c r="D798" s="69" t="s">
        <v>487</v>
      </c>
      <c r="E798" s="426">
        <f>SUM(E796:E797)</f>
        <v>43518069.445161074</v>
      </c>
      <c r="F798" s="426">
        <f t="shared" ref="F798:N798" si="517">SUM(F796:F797)</f>
        <v>43518069.445161074</v>
      </c>
      <c r="G798" s="426">
        <f t="shared" si="517"/>
        <v>43518069.445161074</v>
      </c>
      <c r="H798" s="426">
        <f t="shared" si="517"/>
        <v>43518069.445161074</v>
      </c>
      <c r="I798" s="426">
        <f t="shared" si="517"/>
        <v>43518069.445161074</v>
      </c>
      <c r="J798" s="426">
        <f t="shared" si="517"/>
        <v>43518069.445161074</v>
      </c>
      <c r="K798" s="426">
        <f t="shared" si="517"/>
        <v>43518069.445161074</v>
      </c>
      <c r="L798" s="426">
        <f t="shared" si="517"/>
        <v>43518069.445161074</v>
      </c>
      <c r="M798" s="426">
        <f t="shared" si="517"/>
        <v>43518069.445161074</v>
      </c>
      <c r="N798" s="426">
        <f t="shared" si="517"/>
        <v>43518069.445161074</v>
      </c>
      <c r="O798" s="69" t="s">
        <v>3004</v>
      </c>
      <c r="Q798" s="69" t="s">
        <v>3636</v>
      </c>
    </row>
    <row r="799" spans="1:17">
      <c r="E799" s="411">
        <f t="shared" ref="E799:N799" si="518">calcY5Q4Rev/calcY2Q4Rev-1</f>
        <v>1.1011370176169861</v>
      </c>
      <c r="F799" s="69">
        <f t="shared" si="518"/>
        <v>1.1011370176169861</v>
      </c>
      <c r="G799" s="426">
        <f t="shared" si="518"/>
        <v>1.1011370176169861</v>
      </c>
      <c r="H799" s="426">
        <f t="shared" si="518"/>
        <v>1.1011370176169861</v>
      </c>
      <c r="I799" s="426">
        <f t="shared" si="518"/>
        <v>1.1011370176169861</v>
      </c>
      <c r="J799" s="426">
        <f t="shared" si="518"/>
        <v>1.1011370176169861</v>
      </c>
      <c r="K799" s="426">
        <f t="shared" si="518"/>
        <v>1.1011370176169861</v>
      </c>
      <c r="L799" s="426">
        <f t="shared" si="518"/>
        <v>1.1011370176169861</v>
      </c>
      <c r="M799" s="426">
        <f t="shared" si="518"/>
        <v>1.1011370176169861</v>
      </c>
      <c r="N799" s="426">
        <f t="shared" si="518"/>
        <v>1.1011370176169861</v>
      </c>
    </row>
    <row r="800" spans="1:17">
      <c r="B800" s="810">
        <f>B796</f>
        <v>0.75</v>
      </c>
      <c r="C800" s="69" t="s">
        <v>3005</v>
      </c>
      <c r="D800" s="69" t="s">
        <v>486</v>
      </c>
      <c r="E800" s="426">
        <f t="shared" ref="E800:N800" si="519">calcY2Q4MSExp*(1+$B800)</f>
        <v>49900044.807777807</v>
      </c>
      <c r="F800" s="426">
        <f t="shared" si="519"/>
        <v>49900044.807777807</v>
      </c>
      <c r="G800" s="426">
        <f t="shared" si="519"/>
        <v>49900044.807777807</v>
      </c>
      <c r="H800" s="426">
        <f t="shared" si="519"/>
        <v>49900044.807777807</v>
      </c>
      <c r="I800" s="426">
        <f t="shared" si="519"/>
        <v>49900044.807777807</v>
      </c>
      <c r="J800" s="426">
        <f t="shared" si="519"/>
        <v>49900044.807777807</v>
      </c>
      <c r="K800" s="426">
        <f t="shared" si="519"/>
        <v>49900044.807777807</v>
      </c>
      <c r="L800" s="426">
        <f t="shared" si="519"/>
        <v>49900044.807777807</v>
      </c>
      <c r="M800" s="426">
        <f t="shared" si="519"/>
        <v>49900044.807777807</v>
      </c>
      <c r="N800" s="426">
        <f t="shared" si="519"/>
        <v>49900044.807777807</v>
      </c>
      <c r="Q800" s="69" t="s">
        <v>3637</v>
      </c>
    </row>
    <row r="801" spans="1:17">
      <c r="E801" s="426"/>
      <c r="F801" s="426"/>
      <c r="G801" s="426"/>
      <c r="H801" s="426"/>
      <c r="I801" s="426"/>
      <c r="J801" s="426"/>
      <c r="K801" s="426"/>
      <c r="L801" s="426"/>
      <c r="M801" s="426"/>
      <c r="N801" s="426"/>
    </row>
    <row r="802" spans="1:17">
      <c r="D802" s="69" t="s">
        <v>487</v>
      </c>
      <c r="E802" s="426">
        <f>SUM(E800:E801)</f>
        <v>49900044.807777807</v>
      </c>
      <c r="F802" s="426">
        <f t="shared" ref="F802:N802" si="520">SUM(F800:F801)</f>
        <v>49900044.807777807</v>
      </c>
      <c r="G802" s="426">
        <f t="shared" si="520"/>
        <v>49900044.807777807</v>
      </c>
      <c r="H802" s="426">
        <f t="shared" si="520"/>
        <v>49900044.807777807</v>
      </c>
      <c r="I802" s="426">
        <f t="shared" si="520"/>
        <v>49900044.807777807</v>
      </c>
      <c r="J802" s="426">
        <f t="shared" si="520"/>
        <v>49900044.807777807</v>
      </c>
      <c r="K802" s="426">
        <f t="shared" si="520"/>
        <v>49900044.807777807</v>
      </c>
      <c r="L802" s="426">
        <f t="shared" si="520"/>
        <v>49900044.807777807</v>
      </c>
      <c r="M802" s="426">
        <f t="shared" si="520"/>
        <v>49900044.807777807</v>
      </c>
      <c r="N802" s="426">
        <f t="shared" si="520"/>
        <v>49900044.807777807</v>
      </c>
      <c r="O802" s="69" t="s">
        <v>3006</v>
      </c>
      <c r="Q802" s="69" t="s">
        <v>3638</v>
      </c>
    </row>
    <row r="803" spans="1:17">
      <c r="E803" s="426"/>
      <c r="F803" s="426"/>
      <c r="G803" s="426"/>
      <c r="H803" s="426"/>
      <c r="I803" s="426"/>
      <c r="J803" s="426"/>
      <c r="K803" s="426"/>
      <c r="L803" s="426"/>
      <c r="M803" s="426"/>
      <c r="N803" s="426"/>
    </row>
    <row r="804" spans="1:17" s="217" customFormat="1">
      <c r="A804" s="217" t="s">
        <v>464</v>
      </c>
      <c r="E804" s="411">
        <f t="shared" ref="E804:N804" si="521">calcY5Q1Rev/calcY2Q1Rev-1</f>
        <v>1.4110733985602364</v>
      </c>
      <c r="F804" s="217">
        <f t="shared" si="521"/>
        <v>1.4110733985602364</v>
      </c>
      <c r="G804" s="217">
        <f t="shared" si="521"/>
        <v>1.4110733985602364</v>
      </c>
      <c r="H804" s="217">
        <f t="shared" si="521"/>
        <v>1.4110733985602364</v>
      </c>
      <c r="I804" s="217">
        <f t="shared" si="521"/>
        <v>1.4110733985602364</v>
      </c>
      <c r="J804" s="217">
        <f t="shared" si="521"/>
        <v>1.4110733985602364</v>
      </c>
      <c r="K804" s="217">
        <f t="shared" si="521"/>
        <v>1.4110733985602364</v>
      </c>
      <c r="L804" s="217">
        <f t="shared" si="521"/>
        <v>1.4110733985602364</v>
      </c>
      <c r="M804" s="217">
        <f t="shared" si="521"/>
        <v>1.4110733985602364</v>
      </c>
      <c r="N804" s="217">
        <f t="shared" si="521"/>
        <v>1.4110733985602364</v>
      </c>
    </row>
    <row r="805" spans="1:17">
      <c r="B805" s="810">
        <f>B788</f>
        <v>0.75</v>
      </c>
      <c r="C805" s="69" t="s">
        <v>2999</v>
      </c>
      <c r="D805" s="69" t="s">
        <v>486</v>
      </c>
      <c r="E805" s="426">
        <f t="shared" ref="E805:N805" si="522">calcY2Q1RDExp*(1+$B805)</f>
        <v>27420067.025434632</v>
      </c>
      <c r="F805" s="426">
        <f t="shared" si="522"/>
        <v>27420067.025434632</v>
      </c>
      <c r="G805" s="426">
        <f t="shared" si="522"/>
        <v>27420067.025434632</v>
      </c>
      <c r="H805" s="426">
        <f t="shared" si="522"/>
        <v>27420067.025434632</v>
      </c>
      <c r="I805" s="426">
        <f t="shared" si="522"/>
        <v>27420067.025434632</v>
      </c>
      <c r="J805" s="426">
        <f t="shared" si="522"/>
        <v>27420067.025434632</v>
      </c>
      <c r="K805" s="426">
        <f t="shared" si="522"/>
        <v>27420067.025434632</v>
      </c>
      <c r="L805" s="426">
        <f t="shared" si="522"/>
        <v>27420067.025434632</v>
      </c>
      <c r="M805" s="426">
        <f t="shared" si="522"/>
        <v>27420067.025434632</v>
      </c>
      <c r="N805" s="426">
        <f t="shared" si="522"/>
        <v>27420067.025434632</v>
      </c>
      <c r="Q805" s="69" t="s">
        <v>3639</v>
      </c>
    </row>
    <row r="806" spans="1:17">
      <c r="E806" s="426"/>
      <c r="F806" s="426"/>
      <c r="G806" s="426"/>
      <c r="H806" s="426"/>
      <c r="I806" s="426"/>
      <c r="J806" s="426"/>
      <c r="K806" s="426"/>
      <c r="L806" s="426"/>
      <c r="M806" s="426"/>
      <c r="N806" s="426"/>
    </row>
    <row r="807" spans="1:17">
      <c r="D807" s="69" t="s">
        <v>487</v>
      </c>
      <c r="E807" s="426">
        <f>SUM(E805:E806)</f>
        <v>27420067.025434632</v>
      </c>
      <c r="F807" s="426">
        <f t="shared" ref="F807" si="523">SUM(F805:F806)</f>
        <v>27420067.025434632</v>
      </c>
      <c r="G807" s="426">
        <f t="shared" ref="G807" si="524">SUM(G805:G806)</f>
        <v>27420067.025434632</v>
      </c>
      <c r="H807" s="426">
        <f t="shared" ref="H807" si="525">SUM(H805:H806)</f>
        <v>27420067.025434632</v>
      </c>
      <c r="I807" s="426">
        <f t="shared" ref="I807" si="526">SUM(I805:I806)</f>
        <v>27420067.025434632</v>
      </c>
      <c r="J807" s="426">
        <f t="shared" ref="J807" si="527">SUM(J805:J806)</f>
        <v>27420067.025434632</v>
      </c>
      <c r="K807" s="426">
        <f t="shared" ref="K807" si="528">SUM(K805:K806)</f>
        <v>27420067.025434632</v>
      </c>
      <c r="L807" s="426">
        <f t="shared" ref="L807" si="529">SUM(L805:L806)</f>
        <v>27420067.025434632</v>
      </c>
      <c r="M807" s="426">
        <f t="shared" ref="M807" si="530">SUM(M805:M806)</f>
        <v>27420067.025434632</v>
      </c>
      <c r="N807" s="426">
        <f t="shared" ref="N807" si="531">SUM(N805:N806)</f>
        <v>27420067.025434632</v>
      </c>
      <c r="O807" s="69" t="s">
        <v>3007</v>
      </c>
      <c r="Q807" s="69" t="s">
        <v>3640</v>
      </c>
    </row>
    <row r="808" spans="1:17">
      <c r="E808" s="411">
        <f t="shared" ref="E808:N808" si="532">calcY5Q2Rev/calcY2Q2Rev-1</f>
        <v>1.3295259892915277</v>
      </c>
      <c r="F808" s="69">
        <f t="shared" si="532"/>
        <v>1.3295259892915277</v>
      </c>
      <c r="G808" s="426">
        <f t="shared" si="532"/>
        <v>1.3295259892915277</v>
      </c>
      <c r="H808" s="426">
        <f t="shared" si="532"/>
        <v>1.3295259892915277</v>
      </c>
      <c r="I808" s="426">
        <f t="shared" si="532"/>
        <v>1.3295259892915277</v>
      </c>
      <c r="J808" s="426">
        <f t="shared" si="532"/>
        <v>1.3295259892915277</v>
      </c>
      <c r="K808" s="426">
        <f t="shared" si="532"/>
        <v>1.3295259892915277</v>
      </c>
      <c r="L808" s="426">
        <f t="shared" si="532"/>
        <v>1.3295259892915277</v>
      </c>
      <c r="M808" s="426">
        <f t="shared" si="532"/>
        <v>1.3295259892915277</v>
      </c>
      <c r="N808" s="426">
        <f t="shared" si="532"/>
        <v>1.3295259892915277</v>
      </c>
    </row>
    <row r="809" spans="1:17">
      <c r="B809" s="810">
        <f>B792</f>
        <v>0.75</v>
      </c>
      <c r="C809" s="69" t="s">
        <v>3001</v>
      </c>
      <c r="D809" s="69" t="s">
        <v>486</v>
      </c>
      <c r="E809" s="426">
        <f t="shared" ref="E809:N809" si="533">calcY2Q2RDExp*(1+$B809)</f>
        <v>29375914.763168998</v>
      </c>
      <c r="F809" s="426">
        <f t="shared" si="533"/>
        <v>29375914.763168998</v>
      </c>
      <c r="G809" s="426">
        <f t="shared" si="533"/>
        <v>29375914.763168998</v>
      </c>
      <c r="H809" s="426">
        <f t="shared" si="533"/>
        <v>29375914.763168998</v>
      </c>
      <c r="I809" s="426">
        <f t="shared" si="533"/>
        <v>29375914.763168998</v>
      </c>
      <c r="J809" s="426">
        <f t="shared" si="533"/>
        <v>29375914.763168998</v>
      </c>
      <c r="K809" s="426">
        <f t="shared" si="533"/>
        <v>29375914.763168998</v>
      </c>
      <c r="L809" s="426">
        <f t="shared" si="533"/>
        <v>29375914.763168998</v>
      </c>
      <c r="M809" s="426">
        <f t="shared" si="533"/>
        <v>29375914.763168998</v>
      </c>
      <c r="N809" s="426">
        <f t="shared" si="533"/>
        <v>29375914.763168998</v>
      </c>
      <c r="Q809" s="69" t="s">
        <v>3641</v>
      </c>
    </row>
    <row r="810" spans="1:17">
      <c r="E810" s="426"/>
      <c r="F810" s="426"/>
      <c r="G810" s="426"/>
      <c r="H810" s="426"/>
      <c r="I810" s="426"/>
      <c r="J810" s="426"/>
      <c r="K810" s="426"/>
      <c r="L810" s="426"/>
      <c r="M810" s="426"/>
      <c r="N810" s="426"/>
    </row>
    <row r="811" spans="1:17">
      <c r="D811" s="69" t="s">
        <v>487</v>
      </c>
      <c r="E811" s="426">
        <f>SUM(E809:E810)</f>
        <v>29375914.763168998</v>
      </c>
      <c r="F811" s="426">
        <f t="shared" ref="F811" si="534">SUM(F809:F810)</f>
        <v>29375914.763168998</v>
      </c>
      <c r="G811" s="426">
        <f t="shared" ref="G811" si="535">SUM(G809:G810)</f>
        <v>29375914.763168998</v>
      </c>
      <c r="H811" s="426">
        <f t="shared" ref="H811" si="536">SUM(H809:H810)</f>
        <v>29375914.763168998</v>
      </c>
      <c r="I811" s="426">
        <f t="shared" ref="I811" si="537">SUM(I809:I810)</f>
        <v>29375914.763168998</v>
      </c>
      <c r="J811" s="426">
        <f t="shared" ref="J811" si="538">SUM(J809:J810)</f>
        <v>29375914.763168998</v>
      </c>
      <c r="K811" s="426">
        <f t="shared" ref="K811" si="539">SUM(K809:K810)</f>
        <v>29375914.763168998</v>
      </c>
      <c r="L811" s="426">
        <f t="shared" ref="L811" si="540">SUM(L809:L810)</f>
        <v>29375914.763168998</v>
      </c>
      <c r="M811" s="426">
        <f t="shared" ref="M811" si="541">SUM(M809:M810)</f>
        <v>29375914.763168998</v>
      </c>
      <c r="N811" s="426">
        <f t="shared" ref="N811" si="542">SUM(N809:N810)</f>
        <v>29375914.763168998</v>
      </c>
      <c r="O811" s="69" t="s">
        <v>3008</v>
      </c>
      <c r="Q811" s="69" t="s">
        <v>3642</v>
      </c>
    </row>
    <row r="812" spans="1:17">
      <c r="E812" s="411">
        <f t="shared" ref="E812:N812" si="543">calcY5Q3Rev/calcY2Q3Rev-1</f>
        <v>1.2237942510227784</v>
      </c>
      <c r="F812" s="69">
        <f t="shared" si="543"/>
        <v>1.2237942510227784</v>
      </c>
      <c r="G812" s="426">
        <f t="shared" si="543"/>
        <v>1.2237942510227784</v>
      </c>
      <c r="H812" s="426">
        <f t="shared" si="543"/>
        <v>1.2237942510227784</v>
      </c>
      <c r="I812" s="426">
        <f t="shared" si="543"/>
        <v>1.2237942510227784</v>
      </c>
      <c r="J812" s="426">
        <f t="shared" si="543"/>
        <v>1.2237942510227784</v>
      </c>
      <c r="K812" s="426">
        <f t="shared" si="543"/>
        <v>1.2237942510227784</v>
      </c>
      <c r="L812" s="426">
        <f t="shared" si="543"/>
        <v>1.2237942510227784</v>
      </c>
      <c r="M812" s="426">
        <f t="shared" si="543"/>
        <v>1.2237942510227784</v>
      </c>
      <c r="N812" s="426">
        <f t="shared" si="543"/>
        <v>1.2237942510227784</v>
      </c>
    </row>
    <row r="813" spans="1:17">
      <c r="B813" s="810">
        <f>B796</f>
        <v>0.75</v>
      </c>
      <c r="C813" s="69" t="s">
        <v>3003</v>
      </c>
      <c r="D813" s="69" t="s">
        <v>486</v>
      </c>
      <c r="E813" s="426">
        <f t="shared" ref="E813:N813" si="544">calcY2Q3RDExp*(1+$B813)</f>
        <v>32565207.023008179</v>
      </c>
      <c r="F813" s="426">
        <f t="shared" si="544"/>
        <v>32565207.023008179</v>
      </c>
      <c r="G813" s="426">
        <f t="shared" si="544"/>
        <v>32565207.023008179</v>
      </c>
      <c r="H813" s="426">
        <f t="shared" si="544"/>
        <v>32565207.023008179</v>
      </c>
      <c r="I813" s="426">
        <f t="shared" si="544"/>
        <v>32565207.023008179</v>
      </c>
      <c r="J813" s="426">
        <f t="shared" si="544"/>
        <v>32565207.023008179</v>
      </c>
      <c r="K813" s="426">
        <f t="shared" si="544"/>
        <v>32565207.023008179</v>
      </c>
      <c r="L813" s="426">
        <f t="shared" si="544"/>
        <v>32565207.023008179</v>
      </c>
      <c r="M813" s="426">
        <f t="shared" si="544"/>
        <v>32565207.023008179</v>
      </c>
      <c r="N813" s="426">
        <f t="shared" si="544"/>
        <v>32565207.023008179</v>
      </c>
      <c r="Q813" s="69" t="s">
        <v>3643</v>
      </c>
    </row>
    <row r="814" spans="1:17">
      <c r="E814" s="426"/>
      <c r="F814" s="426"/>
      <c r="G814" s="426"/>
      <c r="H814" s="426"/>
      <c r="I814" s="426"/>
      <c r="J814" s="426"/>
      <c r="K814" s="426"/>
      <c r="L814" s="426"/>
      <c r="M814" s="426"/>
      <c r="N814" s="426"/>
    </row>
    <row r="815" spans="1:17">
      <c r="D815" s="69" t="s">
        <v>487</v>
      </c>
      <c r="E815" s="426">
        <f>SUM(E813:E814)</f>
        <v>32565207.023008179</v>
      </c>
      <c r="F815" s="426">
        <f t="shared" ref="F815" si="545">SUM(F813:F814)</f>
        <v>32565207.023008179</v>
      </c>
      <c r="G815" s="426">
        <f t="shared" ref="G815" si="546">SUM(G813:G814)</f>
        <v>32565207.023008179</v>
      </c>
      <c r="H815" s="426">
        <f t="shared" ref="H815" si="547">SUM(H813:H814)</f>
        <v>32565207.023008179</v>
      </c>
      <c r="I815" s="426">
        <f t="shared" ref="I815" si="548">SUM(I813:I814)</f>
        <v>32565207.023008179</v>
      </c>
      <c r="J815" s="426">
        <f t="shared" ref="J815" si="549">SUM(J813:J814)</f>
        <v>32565207.023008179</v>
      </c>
      <c r="K815" s="426">
        <f t="shared" ref="K815" si="550">SUM(K813:K814)</f>
        <v>32565207.023008179</v>
      </c>
      <c r="L815" s="426">
        <f t="shared" ref="L815" si="551">SUM(L813:L814)</f>
        <v>32565207.023008179</v>
      </c>
      <c r="M815" s="426">
        <f t="shared" ref="M815" si="552">SUM(M813:M814)</f>
        <v>32565207.023008179</v>
      </c>
      <c r="N815" s="426">
        <f t="shared" ref="N815" si="553">SUM(N813:N814)</f>
        <v>32565207.023008179</v>
      </c>
      <c r="O815" s="69" t="s">
        <v>3009</v>
      </c>
      <c r="Q815" s="69" t="s">
        <v>3644</v>
      </c>
    </row>
    <row r="816" spans="1:17">
      <c r="E816" s="411">
        <f t="shared" ref="E816:N816" si="554">calcY5Q4Rev/calcY2Q4Rev-1</f>
        <v>1.1011370176169861</v>
      </c>
      <c r="F816" s="69">
        <f t="shared" si="554"/>
        <v>1.1011370176169861</v>
      </c>
      <c r="G816" s="426">
        <f t="shared" si="554"/>
        <v>1.1011370176169861</v>
      </c>
      <c r="H816" s="426">
        <f t="shared" si="554"/>
        <v>1.1011370176169861</v>
      </c>
      <c r="I816" s="426">
        <f t="shared" si="554"/>
        <v>1.1011370176169861</v>
      </c>
      <c r="J816" s="426">
        <f t="shared" si="554"/>
        <v>1.1011370176169861</v>
      </c>
      <c r="K816" s="426">
        <f t="shared" si="554"/>
        <v>1.1011370176169861</v>
      </c>
      <c r="L816" s="426">
        <f t="shared" si="554"/>
        <v>1.1011370176169861</v>
      </c>
      <c r="M816" s="426">
        <f t="shared" si="554"/>
        <v>1.1011370176169861</v>
      </c>
      <c r="N816" s="426">
        <f t="shared" si="554"/>
        <v>1.1011370176169861</v>
      </c>
    </row>
    <row r="817" spans="1:17">
      <c r="B817" s="810">
        <f>B800</f>
        <v>0.75</v>
      </c>
      <c r="C817" s="69" t="s">
        <v>3005</v>
      </c>
      <c r="D817" s="69" t="s">
        <v>486</v>
      </c>
      <c r="E817" s="426">
        <f t="shared" ref="E817:N817" si="555">calcY2Q4RDExp*(1+$B817)</f>
        <v>37340932.406719118</v>
      </c>
      <c r="F817" s="426">
        <f t="shared" si="555"/>
        <v>37340932.406719118</v>
      </c>
      <c r="G817" s="426">
        <f t="shared" si="555"/>
        <v>37340932.406719118</v>
      </c>
      <c r="H817" s="426">
        <f t="shared" si="555"/>
        <v>37340932.406719118</v>
      </c>
      <c r="I817" s="426">
        <f t="shared" si="555"/>
        <v>37340932.406719118</v>
      </c>
      <c r="J817" s="426">
        <f t="shared" si="555"/>
        <v>37340932.406719118</v>
      </c>
      <c r="K817" s="426">
        <f t="shared" si="555"/>
        <v>37340932.406719118</v>
      </c>
      <c r="L817" s="426">
        <f t="shared" si="555"/>
        <v>37340932.406719118</v>
      </c>
      <c r="M817" s="426">
        <f t="shared" si="555"/>
        <v>37340932.406719118</v>
      </c>
      <c r="N817" s="426">
        <f t="shared" si="555"/>
        <v>37340932.406719118</v>
      </c>
      <c r="Q817" s="69" t="s">
        <v>3645</v>
      </c>
    </row>
    <row r="818" spans="1:17">
      <c r="E818" s="426"/>
      <c r="F818" s="426"/>
      <c r="G818" s="426"/>
      <c r="H818" s="426"/>
      <c r="I818" s="426"/>
      <c r="J818" s="426"/>
      <c r="K818" s="426"/>
      <c r="L818" s="426"/>
      <c r="M818" s="426"/>
      <c r="N818" s="426"/>
    </row>
    <row r="819" spans="1:17">
      <c r="D819" s="69" t="s">
        <v>487</v>
      </c>
      <c r="E819" s="426">
        <f>SUM(E817:E818)</f>
        <v>37340932.406719118</v>
      </c>
      <c r="F819" s="426">
        <f t="shared" ref="F819" si="556">SUM(F817:F818)</f>
        <v>37340932.406719118</v>
      </c>
      <c r="G819" s="426">
        <f t="shared" ref="G819" si="557">SUM(G817:G818)</f>
        <v>37340932.406719118</v>
      </c>
      <c r="H819" s="426">
        <f t="shared" ref="H819" si="558">SUM(H817:H818)</f>
        <v>37340932.406719118</v>
      </c>
      <c r="I819" s="426">
        <f t="shared" ref="I819" si="559">SUM(I817:I818)</f>
        <v>37340932.406719118</v>
      </c>
      <c r="J819" s="426">
        <f t="shared" ref="J819" si="560">SUM(J817:J818)</f>
        <v>37340932.406719118</v>
      </c>
      <c r="K819" s="426">
        <f t="shared" ref="K819" si="561">SUM(K817:K818)</f>
        <v>37340932.406719118</v>
      </c>
      <c r="L819" s="426">
        <f t="shared" ref="L819" si="562">SUM(L817:L818)</f>
        <v>37340932.406719118</v>
      </c>
      <c r="M819" s="426">
        <f t="shared" ref="M819" si="563">SUM(M817:M818)</f>
        <v>37340932.406719118</v>
      </c>
      <c r="N819" s="426">
        <f t="shared" ref="N819" si="564">SUM(N817:N818)</f>
        <v>37340932.406719118</v>
      </c>
      <c r="O819" s="69" t="s">
        <v>3010</v>
      </c>
      <c r="Q819" s="69" t="s">
        <v>3646</v>
      </c>
    </row>
    <row r="820" spans="1:17">
      <c r="E820" s="426"/>
      <c r="F820" s="426"/>
      <c r="G820" s="426"/>
      <c r="H820" s="426"/>
      <c r="I820" s="426"/>
      <c r="J820" s="426"/>
      <c r="K820" s="426"/>
      <c r="L820" s="426"/>
      <c r="M820" s="426"/>
      <c r="N820" s="426"/>
    </row>
    <row r="821" spans="1:17" s="217" customFormat="1">
      <c r="A821" s="217" t="s">
        <v>465</v>
      </c>
      <c r="E821" s="411">
        <f t="shared" ref="E821:N821" si="565">calcY5Q1Rev/calcY2Q1Rev-1</f>
        <v>1.4110733985602364</v>
      </c>
      <c r="F821" s="217">
        <f t="shared" si="565"/>
        <v>1.4110733985602364</v>
      </c>
      <c r="G821" s="217">
        <f t="shared" si="565"/>
        <v>1.4110733985602364</v>
      </c>
      <c r="H821" s="217">
        <f t="shared" si="565"/>
        <v>1.4110733985602364</v>
      </c>
      <c r="I821" s="217">
        <f t="shared" si="565"/>
        <v>1.4110733985602364</v>
      </c>
      <c r="J821" s="217">
        <f t="shared" si="565"/>
        <v>1.4110733985602364</v>
      </c>
      <c r="K821" s="217">
        <f t="shared" si="565"/>
        <v>1.4110733985602364</v>
      </c>
      <c r="L821" s="217">
        <f t="shared" si="565"/>
        <v>1.4110733985602364</v>
      </c>
      <c r="M821" s="217">
        <f t="shared" si="565"/>
        <v>1.4110733985602364</v>
      </c>
      <c r="N821" s="217">
        <f t="shared" si="565"/>
        <v>1.4110733985602364</v>
      </c>
    </row>
    <row r="822" spans="1:17">
      <c r="B822" s="810">
        <f>B788</f>
        <v>0.75</v>
      </c>
      <c r="C822" s="69" t="s">
        <v>2999</v>
      </c>
      <c r="D822" s="69" t="s">
        <v>486</v>
      </c>
      <c r="E822" s="426">
        <f t="shared" ref="E822:N822" si="566">calcY2Q1GAExp*(1+$B822)</f>
        <v>17456619.24742385</v>
      </c>
      <c r="F822" s="426">
        <f t="shared" si="566"/>
        <v>17456619.24742385</v>
      </c>
      <c r="G822" s="426">
        <f t="shared" si="566"/>
        <v>17456619.24742385</v>
      </c>
      <c r="H822" s="426">
        <f t="shared" si="566"/>
        <v>17456619.24742385</v>
      </c>
      <c r="I822" s="426">
        <f t="shared" si="566"/>
        <v>17456619.24742385</v>
      </c>
      <c r="J822" s="426">
        <f t="shared" si="566"/>
        <v>17456619.24742385</v>
      </c>
      <c r="K822" s="426">
        <f t="shared" si="566"/>
        <v>17456619.24742385</v>
      </c>
      <c r="L822" s="426">
        <f t="shared" si="566"/>
        <v>17456619.24742385</v>
      </c>
      <c r="M822" s="426">
        <f t="shared" si="566"/>
        <v>17456619.24742385</v>
      </c>
      <c r="N822" s="426">
        <f t="shared" si="566"/>
        <v>17456619.24742385</v>
      </c>
      <c r="Q822" s="69" t="s">
        <v>3647</v>
      </c>
    </row>
    <row r="823" spans="1:17">
      <c r="E823" s="426"/>
      <c r="F823" s="426"/>
      <c r="G823" s="426"/>
      <c r="H823" s="426"/>
      <c r="I823" s="426"/>
      <c r="J823" s="426"/>
      <c r="K823" s="426"/>
      <c r="L823" s="426"/>
      <c r="M823" s="426"/>
      <c r="N823" s="426"/>
    </row>
    <row r="824" spans="1:17">
      <c r="D824" s="69" t="s">
        <v>487</v>
      </c>
      <c r="E824" s="426">
        <f>SUM(E822:E823)</f>
        <v>17456619.24742385</v>
      </c>
      <c r="F824" s="426">
        <f t="shared" ref="F824" si="567">SUM(F822:F823)</f>
        <v>17456619.24742385</v>
      </c>
      <c r="G824" s="426">
        <f t="shared" ref="G824" si="568">SUM(G822:G823)</f>
        <v>17456619.24742385</v>
      </c>
      <c r="H824" s="426">
        <f t="shared" ref="H824" si="569">SUM(H822:H823)</f>
        <v>17456619.24742385</v>
      </c>
      <c r="I824" s="426">
        <f t="shared" ref="I824" si="570">SUM(I822:I823)</f>
        <v>17456619.24742385</v>
      </c>
      <c r="J824" s="426">
        <f t="shared" ref="J824" si="571">SUM(J822:J823)</f>
        <v>17456619.24742385</v>
      </c>
      <c r="K824" s="426">
        <f t="shared" ref="K824" si="572">SUM(K822:K823)</f>
        <v>17456619.24742385</v>
      </c>
      <c r="L824" s="426">
        <f t="shared" ref="L824" si="573">SUM(L822:L823)</f>
        <v>17456619.24742385</v>
      </c>
      <c r="M824" s="426">
        <f t="shared" ref="M824" si="574">SUM(M822:M823)</f>
        <v>17456619.24742385</v>
      </c>
      <c r="N824" s="426">
        <f t="shared" ref="N824" si="575">SUM(N822:N823)</f>
        <v>17456619.24742385</v>
      </c>
      <c r="O824" s="69" t="s">
        <v>3011</v>
      </c>
      <c r="Q824" s="69" t="s">
        <v>3648</v>
      </c>
    </row>
    <row r="825" spans="1:17">
      <c r="E825" s="411">
        <f t="shared" ref="E825:N825" si="576">calcY5Q2Rev/calcY2Q2Rev-1</f>
        <v>1.3295259892915277</v>
      </c>
      <c r="F825" s="69">
        <f t="shared" si="576"/>
        <v>1.3295259892915277</v>
      </c>
      <c r="G825" s="426">
        <f t="shared" si="576"/>
        <v>1.3295259892915277</v>
      </c>
      <c r="H825" s="426">
        <f t="shared" si="576"/>
        <v>1.3295259892915277</v>
      </c>
      <c r="I825" s="426">
        <f t="shared" si="576"/>
        <v>1.3295259892915277</v>
      </c>
      <c r="J825" s="426">
        <f t="shared" si="576"/>
        <v>1.3295259892915277</v>
      </c>
      <c r="K825" s="426">
        <f t="shared" si="576"/>
        <v>1.3295259892915277</v>
      </c>
      <c r="L825" s="426">
        <f t="shared" si="576"/>
        <v>1.3295259892915277</v>
      </c>
      <c r="M825" s="426">
        <f t="shared" si="576"/>
        <v>1.3295259892915277</v>
      </c>
      <c r="N825" s="426">
        <f t="shared" si="576"/>
        <v>1.3295259892915277</v>
      </c>
    </row>
    <row r="826" spans="1:17">
      <c r="B826" s="810">
        <f>B792</f>
        <v>0.75</v>
      </c>
      <c r="C826" s="69" t="s">
        <v>3001</v>
      </c>
      <c r="D826" s="69" t="s">
        <v>486</v>
      </c>
      <c r="E826" s="426">
        <f t="shared" ref="E826:N826" si="577">calcY2Q2GAExp*(1+$B826)</f>
        <v>18701783.572948433</v>
      </c>
      <c r="F826" s="426">
        <f t="shared" si="577"/>
        <v>18701783.572948433</v>
      </c>
      <c r="G826" s="426">
        <f t="shared" si="577"/>
        <v>18701783.572948433</v>
      </c>
      <c r="H826" s="426">
        <f t="shared" si="577"/>
        <v>18701783.572948433</v>
      </c>
      <c r="I826" s="426">
        <f t="shared" si="577"/>
        <v>18701783.572948433</v>
      </c>
      <c r="J826" s="426">
        <f t="shared" si="577"/>
        <v>18701783.572948433</v>
      </c>
      <c r="K826" s="426">
        <f t="shared" si="577"/>
        <v>18701783.572948433</v>
      </c>
      <c r="L826" s="426">
        <f t="shared" si="577"/>
        <v>18701783.572948433</v>
      </c>
      <c r="M826" s="426">
        <f t="shared" si="577"/>
        <v>18701783.572948433</v>
      </c>
      <c r="N826" s="426">
        <f t="shared" si="577"/>
        <v>18701783.572948433</v>
      </c>
      <c r="Q826" s="69" t="s">
        <v>3649</v>
      </c>
    </row>
    <row r="827" spans="1:17">
      <c r="E827" s="426"/>
      <c r="F827" s="426"/>
      <c r="G827" s="426"/>
      <c r="H827" s="426"/>
      <c r="I827" s="426"/>
      <c r="J827" s="426"/>
      <c r="K827" s="426"/>
      <c r="L827" s="426"/>
      <c r="M827" s="426"/>
      <c r="N827" s="426"/>
    </row>
    <row r="828" spans="1:17">
      <c r="D828" s="69" t="s">
        <v>487</v>
      </c>
      <c r="E828" s="426">
        <f>SUM(E826:E827)</f>
        <v>18701783.572948433</v>
      </c>
      <c r="F828" s="426">
        <f t="shared" ref="F828" si="578">SUM(F826:F827)</f>
        <v>18701783.572948433</v>
      </c>
      <c r="G828" s="426">
        <f t="shared" ref="G828" si="579">SUM(G826:G827)</f>
        <v>18701783.572948433</v>
      </c>
      <c r="H828" s="426">
        <f t="shared" ref="H828" si="580">SUM(H826:H827)</f>
        <v>18701783.572948433</v>
      </c>
      <c r="I828" s="426">
        <f t="shared" ref="I828" si="581">SUM(I826:I827)</f>
        <v>18701783.572948433</v>
      </c>
      <c r="J828" s="426">
        <f t="shared" ref="J828" si="582">SUM(J826:J827)</f>
        <v>18701783.572948433</v>
      </c>
      <c r="K828" s="426">
        <f t="shared" ref="K828" si="583">SUM(K826:K827)</f>
        <v>18701783.572948433</v>
      </c>
      <c r="L828" s="426">
        <f t="shared" ref="L828" si="584">SUM(L826:L827)</f>
        <v>18701783.572948433</v>
      </c>
      <c r="M828" s="426">
        <f t="shared" ref="M828" si="585">SUM(M826:M827)</f>
        <v>18701783.572948433</v>
      </c>
      <c r="N828" s="426">
        <f t="shared" ref="N828" si="586">SUM(N826:N827)</f>
        <v>18701783.572948433</v>
      </c>
      <c r="O828" s="69" t="s">
        <v>3012</v>
      </c>
      <c r="Q828" s="69" t="s">
        <v>3650</v>
      </c>
    </row>
    <row r="829" spans="1:17">
      <c r="E829" s="411">
        <f t="shared" ref="E829:N829" si="587">calcY5Q3Rev/calcY2Q3Rev-1</f>
        <v>1.2237942510227784</v>
      </c>
      <c r="F829" s="69">
        <f t="shared" si="587"/>
        <v>1.2237942510227784</v>
      </c>
      <c r="G829" s="426">
        <f t="shared" si="587"/>
        <v>1.2237942510227784</v>
      </c>
      <c r="H829" s="426">
        <f t="shared" si="587"/>
        <v>1.2237942510227784</v>
      </c>
      <c r="I829" s="426">
        <f t="shared" si="587"/>
        <v>1.2237942510227784</v>
      </c>
      <c r="J829" s="426">
        <f t="shared" si="587"/>
        <v>1.2237942510227784</v>
      </c>
      <c r="K829" s="426">
        <f t="shared" si="587"/>
        <v>1.2237942510227784</v>
      </c>
      <c r="L829" s="426">
        <f t="shared" si="587"/>
        <v>1.2237942510227784</v>
      </c>
      <c r="M829" s="426">
        <f t="shared" si="587"/>
        <v>1.2237942510227784</v>
      </c>
      <c r="N829" s="426">
        <f t="shared" si="587"/>
        <v>1.2237942510227784</v>
      </c>
    </row>
    <row r="830" spans="1:17">
      <c r="B830" s="810">
        <f>B796</f>
        <v>0.75</v>
      </c>
      <c r="C830" s="69" t="s">
        <v>3003</v>
      </c>
      <c r="D830" s="69" t="s">
        <v>486</v>
      </c>
      <c r="E830" s="426">
        <f t="shared" ref="E830:N830" si="588">calcY2Q3GAExp*(1+$B830)</f>
        <v>20732203.870503701</v>
      </c>
      <c r="F830" s="426">
        <f t="shared" si="588"/>
        <v>20732203.870503701</v>
      </c>
      <c r="G830" s="426">
        <f t="shared" si="588"/>
        <v>20732203.870503701</v>
      </c>
      <c r="H830" s="426">
        <f t="shared" si="588"/>
        <v>20732203.870503701</v>
      </c>
      <c r="I830" s="426">
        <f t="shared" si="588"/>
        <v>20732203.870503701</v>
      </c>
      <c r="J830" s="426">
        <f t="shared" si="588"/>
        <v>20732203.870503701</v>
      </c>
      <c r="K830" s="426">
        <f t="shared" si="588"/>
        <v>20732203.870503701</v>
      </c>
      <c r="L830" s="426">
        <f t="shared" si="588"/>
        <v>20732203.870503701</v>
      </c>
      <c r="M830" s="426">
        <f t="shared" si="588"/>
        <v>20732203.870503701</v>
      </c>
      <c r="N830" s="426">
        <f t="shared" si="588"/>
        <v>20732203.870503701</v>
      </c>
      <c r="Q830" s="69" t="s">
        <v>3651</v>
      </c>
    </row>
    <row r="831" spans="1:17">
      <c r="E831" s="426"/>
      <c r="F831" s="426"/>
      <c r="G831" s="426"/>
      <c r="H831" s="426"/>
      <c r="I831" s="426"/>
      <c r="J831" s="426"/>
      <c r="K831" s="426"/>
      <c r="L831" s="426"/>
      <c r="M831" s="426"/>
      <c r="N831" s="426"/>
    </row>
    <row r="832" spans="1:17">
      <c r="D832" s="69" t="s">
        <v>487</v>
      </c>
      <c r="E832" s="426">
        <f>SUM(E830:E831)</f>
        <v>20732203.870503701</v>
      </c>
      <c r="F832" s="426">
        <f t="shared" ref="F832" si="589">SUM(F830:F831)</f>
        <v>20732203.870503701</v>
      </c>
      <c r="G832" s="426">
        <f t="shared" ref="G832" si="590">SUM(G830:G831)</f>
        <v>20732203.870503701</v>
      </c>
      <c r="H832" s="426">
        <f t="shared" ref="H832" si="591">SUM(H830:H831)</f>
        <v>20732203.870503701</v>
      </c>
      <c r="I832" s="426">
        <f t="shared" ref="I832" si="592">SUM(I830:I831)</f>
        <v>20732203.870503701</v>
      </c>
      <c r="J832" s="426">
        <f t="shared" ref="J832" si="593">SUM(J830:J831)</f>
        <v>20732203.870503701</v>
      </c>
      <c r="K832" s="426">
        <f t="shared" ref="K832" si="594">SUM(K830:K831)</f>
        <v>20732203.870503701</v>
      </c>
      <c r="L832" s="426">
        <f t="shared" ref="L832" si="595">SUM(L830:L831)</f>
        <v>20732203.870503701</v>
      </c>
      <c r="M832" s="426">
        <f t="shared" ref="M832" si="596">SUM(M830:M831)</f>
        <v>20732203.870503701</v>
      </c>
      <c r="N832" s="426">
        <f t="shared" ref="N832" si="597">SUM(N830:N831)</f>
        <v>20732203.870503701</v>
      </c>
      <c r="O832" s="69" t="s">
        <v>3013</v>
      </c>
      <c r="Q832" s="69" t="s">
        <v>3652</v>
      </c>
    </row>
    <row r="833" spans="1:21">
      <c r="E833" s="411">
        <f t="shared" ref="E833:N833" si="598">calcY5Q4Rev/calcY2Q4Rev-1</f>
        <v>1.1011370176169861</v>
      </c>
      <c r="F833" s="69">
        <f t="shared" si="598"/>
        <v>1.1011370176169861</v>
      </c>
      <c r="G833" s="426">
        <f t="shared" si="598"/>
        <v>1.1011370176169861</v>
      </c>
      <c r="H833" s="426">
        <f t="shared" si="598"/>
        <v>1.1011370176169861</v>
      </c>
      <c r="I833" s="426">
        <f t="shared" si="598"/>
        <v>1.1011370176169861</v>
      </c>
      <c r="J833" s="426">
        <f t="shared" si="598"/>
        <v>1.1011370176169861</v>
      </c>
      <c r="K833" s="426">
        <f t="shared" si="598"/>
        <v>1.1011370176169861</v>
      </c>
      <c r="L833" s="426">
        <f t="shared" si="598"/>
        <v>1.1011370176169861</v>
      </c>
      <c r="M833" s="426">
        <f t="shared" si="598"/>
        <v>1.1011370176169861</v>
      </c>
      <c r="N833" s="426">
        <f t="shared" si="598"/>
        <v>1.1011370176169861</v>
      </c>
    </row>
    <row r="834" spans="1:21">
      <c r="B834" s="810">
        <f>B800</f>
        <v>0.75</v>
      </c>
      <c r="C834" s="69" t="s">
        <v>3005</v>
      </c>
      <c r="D834" s="69" t="s">
        <v>486</v>
      </c>
      <c r="E834" s="426">
        <f t="shared" ref="E834:N834" si="599">calcY2Q4GAExp*(1+$B834)</f>
        <v>23772605.616289649</v>
      </c>
      <c r="F834" s="426">
        <f t="shared" si="599"/>
        <v>23772605.616289649</v>
      </c>
      <c r="G834" s="426">
        <f t="shared" si="599"/>
        <v>23772605.616289649</v>
      </c>
      <c r="H834" s="426">
        <f t="shared" si="599"/>
        <v>23772605.616289649</v>
      </c>
      <c r="I834" s="426">
        <f t="shared" si="599"/>
        <v>23772605.616289649</v>
      </c>
      <c r="J834" s="426">
        <f t="shared" si="599"/>
        <v>23772605.616289649</v>
      </c>
      <c r="K834" s="426">
        <f t="shared" si="599"/>
        <v>23772605.616289649</v>
      </c>
      <c r="L834" s="426">
        <f t="shared" si="599"/>
        <v>23772605.616289649</v>
      </c>
      <c r="M834" s="426">
        <f t="shared" si="599"/>
        <v>23772605.616289649</v>
      </c>
      <c r="N834" s="426">
        <f t="shared" si="599"/>
        <v>23772605.616289649</v>
      </c>
      <c r="Q834" s="69" t="s">
        <v>3653</v>
      </c>
    </row>
    <row r="835" spans="1:21">
      <c r="E835" s="426"/>
      <c r="F835" s="426"/>
      <c r="G835" s="426"/>
      <c r="H835" s="426"/>
      <c r="I835" s="426"/>
      <c r="J835" s="426"/>
      <c r="K835" s="426"/>
      <c r="L835" s="426"/>
      <c r="M835" s="426"/>
      <c r="N835" s="426"/>
    </row>
    <row r="836" spans="1:21">
      <c r="D836" s="69" t="s">
        <v>487</v>
      </c>
      <c r="E836" s="426">
        <f>SUM(E834:E835)</f>
        <v>23772605.616289649</v>
      </c>
      <c r="F836" s="426">
        <f t="shared" ref="F836" si="600">SUM(F834:F835)</f>
        <v>23772605.616289649</v>
      </c>
      <c r="G836" s="426">
        <f t="shared" ref="G836" si="601">SUM(G834:G835)</f>
        <v>23772605.616289649</v>
      </c>
      <c r="H836" s="426">
        <f t="shared" ref="H836" si="602">SUM(H834:H835)</f>
        <v>23772605.616289649</v>
      </c>
      <c r="I836" s="426">
        <f t="shared" ref="I836" si="603">SUM(I834:I835)</f>
        <v>23772605.616289649</v>
      </c>
      <c r="J836" s="426">
        <f t="shared" ref="J836" si="604">SUM(J834:J835)</f>
        <v>23772605.616289649</v>
      </c>
      <c r="K836" s="426">
        <f t="shared" ref="K836" si="605">SUM(K834:K835)</f>
        <v>23772605.616289649</v>
      </c>
      <c r="L836" s="426">
        <f t="shared" ref="L836" si="606">SUM(L834:L835)</f>
        <v>23772605.616289649</v>
      </c>
      <c r="M836" s="426">
        <f t="shared" ref="M836" si="607">SUM(M834:M835)</f>
        <v>23772605.616289649</v>
      </c>
      <c r="N836" s="426">
        <f t="shared" ref="N836" si="608">SUM(N834:N835)</f>
        <v>23772605.616289649</v>
      </c>
      <c r="O836" s="69" t="s">
        <v>3014</v>
      </c>
      <c r="Q836" s="69" t="s">
        <v>3654</v>
      </c>
    </row>
    <row r="838" spans="1:21" s="1" customFormat="1">
      <c r="A838" s="474" t="s">
        <v>466</v>
      </c>
      <c r="C838" s="102"/>
      <c r="E838" s="17"/>
      <c r="F838" s="17"/>
      <c r="G838" s="17"/>
      <c r="H838" s="17"/>
      <c r="I838" s="17"/>
      <c r="J838" s="17"/>
      <c r="K838" s="17"/>
      <c r="L838" s="17"/>
      <c r="M838" s="17"/>
      <c r="N838" s="17"/>
    </row>
    <row r="839" spans="1:21" customFormat="1">
      <c r="E839" s="26"/>
      <c r="F839" s="26"/>
      <c r="G839" s="26"/>
      <c r="H839" s="26"/>
      <c r="I839" s="26"/>
      <c r="J839" s="26"/>
      <c r="K839" s="26"/>
      <c r="L839" s="26"/>
      <c r="M839" s="26"/>
      <c r="N839" s="26"/>
    </row>
    <row r="840" spans="1:21">
      <c r="E840" s="426"/>
      <c r="F840" s="426"/>
      <c r="G840" s="426"/>
      <c r="H840" s="426"/>
      <c r="I840" s="426"/>
      <c r="J840" s="426"/>
      <c r="K840" s="426"/>
      <c r="L840" s="426"/>
      <c r="M840" s="426"/>
      <c r="N840" s="426"/>
    </row>
    <row r="841" spans="1:21">
      <c r="E841" s="426"/>
      <c r="F841" s="426"/>
      <c r="G841" s="426"/>
      <c r="H841" s="426"/>
      <c r="I841" s="426"/>
      <c r="J841" s="426"/>
      <c r="K841" s="426"/>
      <c r="L841" s="426"/>
      <c r="M841" s="426"/>
      <c r="N841" s="426"/>
    </row>
    <row r="842" spans="1:21">
      <c r="E842" s="426"/>
      <c r="F842" s="426"/>
      <c r="G842" s="426"/>
      <c r="H842" s="426"/>
      <c r="I842" s="426"/>
      <c r="J842" s="426"/>
      <c r="K842" s="426"/>
      <c r="L842" s="426"/>
      <c r="M842" s="426"/>
      <c r="N842" s="426"/>
    </row>
    <row r="844" spans="1:21">
      <c r="E844" s="69" t="s">
        <v>3139</v>
      </c>
      <c r="F844" s="69" t="s">
        <v>3139</v>
      </c>
      <c r="G844" s="69" t="s">
        <v>3139</v>
      </c>
      <c r="H844" s="69" t="s">
        <v>3139</v>
      </c>
      <c r="I844" s="69" t="s">
        <v>3139</v>
      </c>
      <c r="J844" s="69" t="s">
        <v>3139</v>
      </c>
      <c r="K844" s="69" t="s">
        <v>3139</v>
      </c>
      <c r="L844" s="69" t="s">
        <v>3139</v>
      </c>
      <c r="M844" s="69" t="s">
        <v>3139</v>
      </c>
      <c r="N844" s="69" t="s">
        <v>3139</v>
      </c>
    </row>
    <row r="845" spans="1:21" s="479" customFormat="1">
      <c r="A845" s="479" t="s">
        <v>1280</v>
      </c>
    </row>
    <row r="847" spans="1:21" s="217" customFormat="1">
      <c r="A847" s="217" t="s">
        <v>974</v>
      </c>
      <c r="P847" s="217" t="s">
        <v>899</v>
      </c>
      <c r="Q847" s="217" t="s">
        <v>900</v>
      </c>
      <c r="R847" s="217" t="s">
        <v>901</v>
      </c>
      <c r="S847" s="217" t="s">
        <v>902</v>
      </c>
      <c r="T847" s="217" t="s">
        <v>1284</v>
      </c>
      <c r="U847" s="217" t="s">
        <v>1665</v>
      </c>
    </row>
    <row r="848" spans="1:21">
      <c r="D848" s="69" t="s">
        <v>467</v>
      </c>
      <c r="E848" s="69">
        <f t="shared" ref="E848:N848" si="609">INDEX($P848:$U848,,MATCH(decPeopleTimeline,$P$847:$U$847,0))</f>
        <v>27</v>
      </c>
      <c r="F848" s="69">
        <f t="shared" si="609"/>
        <v>27</v>
      </c>
      <c r="G848" s="69">
        <f t="shared" si="609"/>
        <v>27</v>
      </c>
      <c r="H848" s="69">
        <f t="shared" si="609"/>
        <v>27</v>
      </c>
      <c r="I848" s="69">
        <f t="shared" si="609"/>
        <v>27</v>
      </c>
      <c r="J848" s="69">
        <f t="shared" si="609"/>
        <v>27</v>
      </c>
      <c r="K848" s="69">
        <f t="shared" si="609"/>
        <v>27</v>
      </c>
      <c r="L848" s="69">
        <f t="shared" si="609"/>
        <v>27</v>
      </c>
      <c r="M848" s="69">
        <f t="shared" si="609"/>
        <v>27</v>
      </c>
      <c r="N848" s="69">
        <f t="shared" si="609"/>
        <v>27</v>
      </c>
      <c r="O848" s="69" t="s">
        <v>1727</v>
      </c>
      <c r="P848" s="69">
        <v>3</v>
      </c>
      <c r="Q848" s="69">
        <v>6</v>
      </c>
      <c r="R848" s="69">
        <v>9</v>
      </c>
      <c r="S848" s="69">
        <v>12</v>
      </c>
      <c r="T848" s="69">
        <v>15</v>
      </c>
      <c r="U848" s="69">
        <v>27</v>
      </c>
    </row>
    <row r="849" spans="1:21">
      <c r="D849" s="69" t="s">
        <v>1967</v>
      </c>
      <c r="E849" s="69">
        <f t="shared" ref="E849:N849" si="610">INDEX($P849:$U849,,MATCH(decProductTimeline,$P$847:$U$847,0))</f>
        <v>27</v>
      </c>
      <c r="F849" s="69">
        <f t="shared" si="610"/>
        <v>27</v>
      </c>
      <c r="G849" s="69">
        <f t="shared" si="610"/>
        <v>27</v>
      </c>
      <c r="H849" s="69">
        <f t="shared" si="610"/>
        <v>27</v>
      </c>
      <c r="I849" s="69">
        <f t="shared" si="610"/>
        <v>27</v>
      </c>
      <c r="J849" s="69">
        <f t="shared" si="610"/>
        <v>27</v>
      </c>
      <c r="K849" s="69">
        <f t="shared" si="610"/>
        <v>27</v>
      </c>
      <c r="L849" s="69">
        <f t="shared" si="610"/>
        <v>27</v>
      </c>
      <c r="M849" s="69">
        <f t="shared" si="610"/>
        <v>27</v>
      </c>
      <c r="N849" s="69">
        <f t="shared" si="610"/>
        <v>27</v>
      </c>
      <c r="O849" s="69" t="s">
        <v>1968</v>
      </c>
      <c r="P849" s="69">
        <v>3</v>
      </c>
      <c r="Q849" s="69">
        <v>6</v>
      </c>
      <c r="R849" s="69">
        <v>9</v>
      </c>
      <c r="S849" s="69">
        <v>12</v>
      </c>
      <c r="T849" s="69">
        <v>24</v>
      </c>
      <c r="U849" s="69">
        <v>27</v>
      </c>
    </row>
    <row r="850" spans="1:21">
      <c r="D850" s="69" t="s">
        <v>1009</v>
      </c>
      <c r="E850" s="69">
        <f t="shared" ref="E850:N850" si="611">INDEX($P850:$U850,,MATCH(decITTimeline,$P$847:$U$847,0))</f>
        <v>27</v>
      </c>
      <c r="F850" s="69">
        <f t="shared" si="611"/>
        <v>27</v>
      </c>
      <c r="G850" s="69">
        <f t="shared" si="611"/>
        <v>27</v>
      </c>
      <c r="H850" s="69">
        <f t="shared" si="611"/>
        <v>27</v>
      </c>
      <c r="I850" s="69">
        <f t="shared" si="611"/>
        <v>27</v>
      </c>
      <c r="J850" s="69">
        <f t="shared" si="611"/>
        <v>27</v>
      </c>
      <c r="K850" s="69">
        <f t="shared" si="611"/>
        <v>27</v>
      </c>
      <c r="L850" s="69">
        <f t="shared" si="611"/>
        <v>27</v>
      </c>
      <c r="M850" s="69">
        <f t="shared" si="611"/>
        <v>27</v>
      </c>
      <c r="N850" s="69">
        <f t="shared" si="611"/>
        <v>27</v>
      </c>
      <c r="O850" s="69" t="s">
        <v>1042</v>
      </c>
      <c r="P850" s="69">
        <v>3</v>
      </c>
      <c r="Q850" s="69">
        <v>6</v>
      </c>
      <c r="R850" s="69">
        <v>9</v>
      </c>
      <c r="S850" s="69">
        <v>12</v>
      </c>
      <c r="T850" s="69">
        <v>24</v>
      </c>
      <c r="U850" s="69">
        <v>27</v>
      </c>
    </row>
    <row r="851" spans="1:21">
      <c r="D851" s="69" t="s">
        <v>1969</v>
      </c>
      <c r="E851" s="69">
        <f t="shared" ref="E851:N851" si="612">INDEX($P851:$U851,,MATCH(decSecurityTimeline,$P$847:$U$847,0))</f>
        <v>27</v>
      </c>
      <c r="F851" s="69">
        <f t="shared" si="612"/>
        <v>27</v>
      </c>
      <c r="G851" s="69">
        <f t="shared" si="612"/>
        <v>27</v>
      </c>
      <c r="H851" s="69">
        <f t="shared" si="612"/>
        <v>27</v>
      </c>
      <c r="I851" s="69">
        <f t="shared" si="612"/>
        <v>27</v>
      </c>
      <c r="J851" s="69">
        <f t="shared" si="612"/>
        <v>27</v>
      </c>
      <c r="K851" s="69">
        <f t="shared" si="612"/>
        <v>27</v>
      </c>
      <c r="L851" s="69">
        <f t="shared" si="612"/>
        <v>27</v>
      </c>
      <c r="M851" s="69">
        <f t="shared" si="612"/>
        <v>27</v>
      </c>
      <c r="N851" s="69">
        <f t="shared" si="612"/>
        <v>27</v>
      </c>
      <c r="O851" s="69" t="s">
        <v>1970</v>
      </c>
      <c r="P851" s="69">
        <v>3</v>
      </c>
      <c r="Q851" s="69">
        <v>6</v>
      </c>
      <c r="R851" s="69">
        <v>9</v>
      </c>
      <c r="S851" s="69">
        <v>12</v>
      </c>
      <c r="T851" s="69">
        <v>24</v>
      </c>
      <c r="U851" s="69">
        <v>27</v>
      </c>
    </row>
    <row r="852" spans="1:21">
      <c r="D852" s="69" t="s">
        <v>2305</v>
      </c>
      <c r="E852" s="69">
        <f t="shared" ref="E852:N852" si="613">INDEX($P852:$U852,,MATCH(decGTMCSGPostSales,$P$847:$U$847,0))</f>
        <v>27</v>
      </c>
      <c r="F852" s="69">
        <f t="shared" si="613"/>
        <v>27</v>
      </c>
      <c r="G852" s="69">
        <f t="shared" si="613"/>
        <v>27</v>
      </c>
      <c r="H852" s="69">
        <f t="shared" si="613"/>
        <v>27</v>
      </c>
      <c r="I852" s="69">
        <f t="shared" si="613"/>
        <v>27</v>
      </c>
      <c r="J852" s="69">
        <f t="shared" si="613"/>
        <v>27</v>
      </c>
      <c r="K852" s="69">
        <f t="shared" si="613"/>
        <v>27</v>
      </c>
      <c r="L852" s="69">
        <f t="shared" si="613"/>
        <v>27</v>
      </c>
      <c r="M852" s="69">
        <f t="shared" si="613"/>
        <v>27</v>
      </c>
      <c r="N852" s="69">
        <f t="shared" si="613"/>
        <v>27</v>
      </c>
      <c r="O852" s="69" t="s">
        <v>2304</v>
      </c>
      <c r="P852" s="69">
        <v>3</v>
      </c>
      <c r="Q852" s="69">
        <v>6</v>
      </c>
      <c r="R852" s="69">
        <v>9</v>
      </c>
      <c r="S852" s="69">
        <v>12</v>
      </c>
      <c r="T852" s="69">
        <v>24</v>
      </c>
      <c r="U852" s="69">
        <v>27</v>
      </c>
    </row>
    <row r="853" spans="1:21">
      <c r="D853" s="69" t="s">
        <v>3079</v>
      </c>
      <c r="E853" s="69">
        <f t="shared" ref="E853:N853" si="614">IF(decGTMBrandIntegration=E$844,27,INDEX($P853:$U853,,MATCH(decGTMBrandIntegration,$P$847:$U$847,0)))</f>
        <v>27</v>
      </c>
      <c r="F853" s="69">
        <f t="shared" si="614"/>
        <v>27</v>
      </c>
      <c r="G853" s="69">
        <f t="shared" si="614"/>
        <v>27</v>
      </c>
      <c r="H853" s="69">
        <f t="shared" si="614"/>
        <v>27</v>
      </c>
      <c r="I853" s="69">
        <f t="shared" si="614"/>
        <v>27</v>
      </c>
      <c r="J853" s="69">
        <f t="shared" si="614"/>
        <v>27</v>
      </c>
      <c r="K853" s="69">
        <f t="shared" si="614"/>
        <v>27</v>
      </c>
      <c r="L853" s="69">
        <f t="shared" si="614"/>
        <v>27</v>
      </c>
      <c r="M853" s="69">
        <f t="shared" si="614"/>
        <v>27</v>
      </c>
      <c r="N853" s="69">
        <f t="shared" si="614"/>
        <v>27</v>
      </c>
      <c r="O853" s="69" t="s">
        <v>3112</v>
      </c>
      <c r="P853" s="69">
        <v>3</v>
      </c>
      <c r="Q853" s="69">
        <v>6</v>
      </c>
      <c r="R853" s="69">
        <v>9</v>
      </c>
      <c r="S853" s="69">
        <v>12</v>
      </c>
      <c r="T853" s="69">
        <v>24</v>
      </c>
      <c r="U853" s="69">
        <v>27</v>
      </c>
    </row>
    <row r="855" spans="1:21" s="620" customFormat="1">
      <c r="A855" s="620" t="s">
        <v>2514</v>
      </c>
    </row>
    <row r="856" spans="1:21" s="217" customFormat="1"/>
    <row r="858" spans="1:21">
      <c r="A858" s="217" t="s">
        <v>1043</v>
      </c>
    </row>
    <row r="859" spans="1:21">
      <c r="E859" s="643">
        <v>1</v>
      </c>
      <c r="F859" s="643">
        <v>2</v>
      </c>
      <c r="G859" s="643">
        <v>3</v>
      </c>
      <c r="H859" s="643">
        <v>4</v>
      </c>
      <c r="I859" s="643">
        <v>5</v>
      </c>
      <c r="J859" s="643">
        <v>6</v>
      </c>
      <c r="K859" s="643">
        <v>7</v>
      </c>
      <c r="L859" s="643">
        <v>8</v>
      </c>
      <c r="M859" s="643">
        <v>9</v>
      </c>
      <c r="N859" s="643">
        <v>10</v>
      </c>
      <c r="O859" s="218" t="s">
        <v>3135</v>
      </c>
    </row>
    <row r="860" spans="1:21">
      <c r="A860" s="217"/>
      <c r="B860" s="69">
        <v>13</v>
      </c>
      <c r="C860" s="217" t="s">
        <v>1278</v>
      </c>
      <c r="D860" s="217" t="s">
        <v>899</v>
      </c>
    </row>
    <row r="861" spans="1:21" s="217" customFormat="1">
      <c r="C861" s="217" t="s">
        <v>1736</v>
      </c>
      <c r="E861" s="409"/>
      <c r="F861" s="409"/>
      <c r="G861" s="409"/>
      <c r="H861" s="409"/>
      <c r="I861" s="409"/>
      <c r="J861" s="409"/>
      <c r="K861" s="409"/>
      <c r="L861" s="409"/>
      <c r="M861" s="409"/>
      <c r="N861" s="409"/>
    </row>
    <row r="862" spans="1:21" s="410" customFormat="1">
      <c r="D862" s="410" t="s">
        <v>1754</v>
      </c>
      <c r="E862" s="547">
        <f t="shared" ref="E862:N862" si="615">FORECAST(calcNPS,datatblNPSAttrition,datatblNPSScore)</f>
        <v>0.14946428571428572</v>
      </c>
      <c r="F862" s="547">
        <f t="shared" si="615"/>
        <v>0.14946428571428572</v>
      </c>
      <c r="G862" s="547">
        <f t="shared" si="615"/>
        <v>0.14946428571428572</v>
      </c>
      <c r="H862" s="547">
        <f t="shared" si="615"/>
        <v>0.14946428571428572</v>
      </c>
      <c r="I862" s="547">
        <f t="shared" si="615"/>
        <v>0.14946428571428572</v>
      </c>
      <c r="J862" s="547">
        <f t="shared" si="615"/>
        <v>0.14946428571428572</v>
      </c>
      <c r="K862" s="547">
        <f t="shared" si="615"/>
        <v>0.14946428571428572</v>
      </c>
      <c r="L862" s="547">
        <f t="shared" si="615"/>
        <v>0.14946428571428572</v>
      </c>
      <c r="M862" s="547">
        <f t="shared" si="615"/>
        <v>0.14946428571428572</v>
      </c>
      <c r="N862" s="547">
        <f t="shared" si="615"/>
        <v>0.14946428571428572</v>
      </c>
    </row>
    <row r="863" spans="1:21" s="410" customFormat="1">
      <c r="D863" s="410" t="s">
        <v>1753</v>
      </c>
      <c r="E863" s="547">
        <f>Data!$D$277</f>
        <v>0.1515124491492886</v>
      </c>
      <c r="F863" s="547">
        <f>Data!$D$277</f>
        <v>0.1515124491492886</v>
      </c>
      <c r="G863" s="547">
        <f>Data!$D$277</f>
        <v>0.1515124491492886</v>
      </c>
      <c r="H863" s="547">
        <f>Data!$D$277</f>
        <v>0.1515124491492886</v>
      </c>
      <c r="I863" s="547">
        <f>Data!$D$277</f>
        <v>0.1515124491492886</v>
      </c>
      <c r="J863" s="547">
        <f>Data!$D$277</f>
        <v>0.1515124491492886</v>
      </c>
      <c r="K863" s="547">
        <f>Data!$D$277</f>
        <v>0.1515124491492886</v>
      </c>
      <c r="L863" s="547">
        <f>Data!$D$277</f>
        <v>0.1515124491492886</v>
      </c>
      <c r="M863" s="547">
        <f>Data!$D$277</f>
        <v>0.1515124491492886</v>
      </c>
      <c r="N863" s="547">
        <f>Data!$D$277</f>
        <v>0.1515124491492886</v>
      </c>
    </row>
    <row r="864" spans="1:21" s="217" customFormat="1">
      <c r="D864" s="217" t="s">
        <v>1755</v>
      </c>
      <c r="E864" s="411">
        <f>E862-E863</f>
        <v>-2.0481634350028866E-3</v>
      </c>
      <c r="F864" s="411">
        <f t="shared" ref="F864:I864" si="616">F862-F863</f>
        <v>-2.0481634350028866E-3</v>
      </c>
      <c r="G864" s="411">
        <f t="shared" si="616"/>
        <v>-2.0481634350028866E-3</v>
      </c>
      <c r="H864" s="411">
        <f t="shared" si="616"/>
        <v>-2.0481634350028866E-3</v>
      </c>
      <c r="I864" s="411">
        <f t="shared" si="616"/>
        <v>-2.0481634350028866E-3</v>
      </c>
      <c r="J864" s="411">
        <f t="shared" ref="J864:N864" si="617">J862-J863</f>
        <v>-2.0481634350028866E-3</v>
      </c>
      <c r="K864" s="411">
        <f t="shared" si="617"/>
        <v>-2.0481634350028866E-3</v>
      </c>
      <c r="L864" s="411">
        <f t="shared" si="617"/>
        <v>-2.0481634350028866E-3</v>
      </c>
      <c r="M864" s="411">
        <f t="shared" si="617"/>
        <v>-2.0481634350028866E-3</v>
      </c>
      <c r="N864" s="411">
        <f t="shared" si="617"/>
        <v>-2.0481634350028866E-3</v>
      </c>
      <c r="O864" s="217" t="s">
        <v>1756</v>
      </c>
    </row>
    <row r="865" spans="1:18" s="217" customFormat="1">
      <c r="C865" s="217" t="s">
        <v>1757</v>
      </c>
      <c r="E865" s="411"/>
      <c r="F865" s="411"/>
      <c r="G865" s="411"/>
      <c r="H865" s="411"/>
      <c r="I865" s="411"/>
      <c r="J865" s="411"/>
      <c r="K865" s="411"/>
      <c r="L865" s="411"/>
      <c r="M865" s="411"/>
      <c r="N865" s="411"/>
    </row>
    <row r="866" spans="1:18">
      <c r="D866" s="69" t="s">
        <v>1151</v>
      </c>
      <c r="E866" s="425">
        <f>IF(calcOrg62Timeline&lt;=$Q866,INDEX(datatblOrg62Timeline,MATCH(decGTMOrg62Timeline,Data!$C$106:$C$111,0),2),0)*paramOrg62Impacts</f>
        <v>0</v>
      </c>
      <c r="F866" s="425">
        <f>IF(calcOrg62Timeline&lt;=$Q866,INDEX(datatblOrg62Timeline,MATCH(decGTMOrg62Timeline,Data!$C$106:$C$111,0),2),0)*paramOrg62Impacts</f>
        <v>0</v>
      </c>
      <c r="G866" s="425">
        <f>IF(calcOrg62Timeline&lt;=$Q866,INDEX(datatblOrg62Timeline,MATCH(decGTMOrg62Timeline,Data!$C$106:$C$111,0),2),0)*paramOrg62Impacts</f>
        <v>0</v>
      </c>
      <c r="H866" s="425">
        <f>IF(calcOrg62Timeline&lt;=$Q866,INDEX(datatblOrg62Timeline,MATCH(decGTMOrg62Timeline,Data!$C$106:$C$111,0),2),0)*paramOrg62Impacts</f>
        <v>0</v>
      </c>
      <c r="I866" s="425">
        <f>IF(calcOrg62Timeline&lt;=$Q866,INDEX(datatblOrg62Timeline,MATCH(decGTMOrg62Timeline,Data!$C$106:$C$111,0),2),0)*paramOrg62Impacts</f>
        <v>0</v>
      </c>
      <c r="J866" s="425">
        <f>IF(calcOrg62Timeline&lt;=$Q866,INDEX(datatblOrg62Timeline,MATCH(decGTMOrg62Timeline,Data!$C$106:$C$111,0),2),0)*paramOrg62Impacts</f>
        <v>0</v>
      </c>
      <c r="K866" s="425">
        <f>IF(calcOrg62Timeline&lt;=$Q866,INDEX(datatblOrg62Timeline,MATCH(decGTMOrg62Timeline,Data!$C$106:$C$111,0),2),0)*paramOrg62Impacts</f>
        <v>0</v>
      </c>
      <c r="L866" s="425">
        <f>IF(calcOrg62Timeline&lt;=$Q866,INDEX(datatblOrg62Timeline,MATCH(decGTMOrg62Timeline,Data!$C$106:$C$111,0),2),0)*paramOrg62Impacts</f>
        <v>0</v>
      </c>
      <c r="M866" s="425">
        <f>IF(calcOrg62Timeline&lt;=$Q866,INDEX(datatblOrg62Timeline,MATCH(decGTMOrg62Timeline,Data!$C$106:$C$111,0),2),0)*paramOrg62Impacts</f>
        <v>0</v>
      </c>
      <c r="N866" s="425">
        <f>IF(calcOrg62Timeline&lt;=$Q866,INDEX(datatblOrg62Timeline,MATCH(decGTMOrg62Timeline,Data!$C$106:$C$111,0),2),0)*paramOrg62Impacts</f>
        <v>0</v>
      </c>
      <c r="Q866" s="69">
        <v>3</v>
      </c>
    </row>
    <row r="867" spans="1:18">
      <c r="D867" s="69" t="s">
        <v>507</v>
      </c>
      <c r="E867" s="425">
        <f>IF(calcProductTimeline&lt;=$Q867,INDEX(datatblStackFocusImpact,MATCH(decProductStackFocus,Data!$C$96:$C$101,0),2),0)+paramACVGrowthStack</f>
        <v>0</v>
      </c>
      <c r="F867" s="425">
        <f>IF(calcProductTimeline&lt;=$Q867,INDEX(datatblStackFocusImpact,MATCH(decProductStackFocus,Data!$C$96:$C$101,0),2),0)+paramACVGrowthStack</f>
        <v>0</v>
      </c>
      <c r="G867" s="425">
        <f>IF(calcProductTimeline&lt;=$Q867,INDEX(datatblStackFocusImpact,MATCH(decProductStackFocus,Data!$C$96:$C$101,0),2),0)+paramACVGrowthStack</f>
        <v>0</v>
      </c>
      <c r="H867" s="425">
        <f>IF(calcProductTimeline&lt;=$Q867,INDEX(datatblStackFocusImpact,MATCH(decProductStackFocus,Data!$C$96:$C$101,0),2),0)+paramACVGrowthStack</f>
        <v>0</v>
      </c>
      <c r="I867" s="425">
        <f>IF(calcProductTimeline&lt;=$Q867,INDEX(datatblStackFocusImpact,MATCH(decProductStackFocus,Data!$C$96:$C$101,0),2),0)+paramACVGrowthStack</f>
        <v>0</v>
      </c>
      <c r="J867" s="425">
        <f>IF(calcProductTimeline&lt;=$Q867,INDEX(datatblStackFocusImpact,MATCH(decProductStackFocus,Data!$C$96:$C$101,0),2),0)+paramACVGrowthStack</f>
        <v>0</v>
      </c>
      <c r="K867" s="425">
        <f>IF(calcProductTimeline&lt;=$Q867,INDEX(datatblStackFocusImpact,MATCH(decProductStackFocus,Data!$C$96:$C$101,0),2),0)+paramACVGrowthStack</f>
        <v>0</v>
      </c>
      <c r="L867" s="425">
        <f>IF(calcProductTimeline&lt;=$Q867,INDEX(datatblStackFocusImpact,MATCH(decProductStackFocus,Data!$C$96:$C$101,0),2),0)+paramACVGrowthStack</f>
        <v>0</v>
      </c>
      <c r="M867" s="425">
        <f>IF(calcProductTimeline&lt;=$Q867,INDEX(datatblStackFocusImpact,MATCH(decProductStackFocus,Data!$C$96:$C$101,0),2),0)+paramACVGrowthStack</f>
        <v>0</v>
      </c>
      <c r="N867" s="425">
        <f>IF(calcProductTimeline&lt;=$Q867,INDEX(datatblStackFocusImpact,MATCH(decProductStackFocus,Data!$C$96:$C$101,0),2),0)+paramACVGrowthStack</f>
        <v>0</v>
      </c>
      <c r="Q867" s="69">
        <f>Q866</f>
        <v>3</v>
      </c>
    </row>
    <row r="868" spans="1:18">
      <c r="D868" s="69" t="s">
        <v>2237</v>
      </c>
      <c r="E868" s="425">
        <f>IF(calcExternalSalesTimeline&lt;=$Q868,INDEX(datatblExternalSalesImpact,MATCH(decGTMExternalSales,Data!$C$85:$C$90,0),2),0)</f>
        <v>0</v>
      </c>
      <c r="F868" s="425">
        <f>IF(calcExternalSalesTimeline&lt;=$Q868,INDEX(datatblExternalSalesImpact,MATCH(decGTMExternalSales,Data!$C$85:$C$90,0),2),0)</f>
        <v>0</v>
      </c>
      <c r="G868" s="425">
        <f>IF(calcExternalSalesTimeline&lt;=$Q868,INDEX(datatblExternalSalesImpact,MATCH(decGTMExternalSales,Data!$C$85:$C$90,0),2),0)</f>
        <v>0</v>
      </c>
      <c r="H868" s="425">
        <f>IF(calcExternalSalesTimeline&lt;=$Q868,INDEX(datatblExternalSalesImpact,MATCH(decGTMExternalSales,Data!$C$85:$C$90,0),2),0)</f>
        <v>0</v>
      </c>
      <c r="I868" s="425">
        <f>IF(calcExternalSalesTimeline&lt;=$Q868,INDEX(datatblExternalSalesImpact,MATCH(decGTMExternalSales,Data!$C$85:$C$90,0),2),0)</f>
        <v>0</v>
      </c>
      <c r="J868" s="425">
        <f>IF(calcExternalSalesTimeline&lt;=$Q868,INDEX(datatblExternalSalesImpact,MATCH(decGTMExternalSales,Data!$C$85:$C$90,0),2),0)</f>
        <v>0</v>
      </c>
      <c r="K868" s="425">
        <f>IF(calcExternalSalesTimeline&lt;=$Q868,INDEX(datatblExternalSalesImpact,MATCH(decGTMExternalSales,Data!$C$85:$C$90,0),2),0)</f>
        <v>0</v>
      </c>
      <c r="L868" s="425">
        <f>IF(calcExternalSalesTimeline&lt;=$Q868,INDEX(datatblExternalSalesImpact,MATCH(decGTMExternalSales,Data!$C$85:$C$90,0),2),0)</f>
        <v>0</v>
      </c>
      <c r="M868" s="425">
        <f>IF(calcExternalSalesTimeline&lt;=$Q868,INDEX(datatblExternalSalesImpact,MATCH(decGTMExternalSales,Data!$C$85:$C$90,0),2),0)</f>
        <v>0</v>
      </c>
      <c r="N868" s="425">
        <f>IF(calcExternalSalesTimeline&lt;=$Q868,INDEX(datatblExternalSalesImpact,MATCH(decGTMExternalSales,Data!$C$85:$C$90,0),2),0)</f>
        <v>0</v>
      </c>
      <c r="O868" s="482"/>
      <c r="P868" s="482"/>
      <c r="Q868" s="69">
        <f>Q867</f>
        <v>3</v>
      </c>
    </row>
    <row r="869" spans="1:18">
      <c r="D869" s="69" t="s">
        <v>2284</v>
      </c>
      <c r="E869" s="425">
        <f>IF(calcCSGTimeline&lt;=$Q869,INDEX(datatblCSGPostSales,MATCH(decGTMCSGPostSales,Data!$C$204:$C$209,0),3),0)</f>
        <v>0</v>
      </c>
      <c r="F869" s="425">
        <f>IF(calcCSGTimeline&lt;=$Q869,INDEX(datatblCSGPostSales,MATCH(decGTMCSGPostSales,Data!$C$204:$C$209,0),3),0)</f>
        <v>0</v>
      </c>
      <c r="G869" s="425">
        <f>IF(calcCSGTimeline&lt;=$Q869,INDEX(datatblCSGPostSales,MATCH(decGTMCSGPostSales,Data!$C$204:$C$209,0),3),0)</f>
        <v>0</v>
      </c>
      <c r="H869" s="425">
        <f>IF(calcCSGTimeline&lt;=$Q869,INDEX(datatblCSGPostSales,MATCH(decGTMCSGPostSales,Data!$C$204:$C$209,0),3),0)</f>
        <v>0</v>
      </c>
      <c r="I869" s="425">
        <f>IF(calcCSGTimeline&lt;=$Q869,INDEX(datatblCSGPostSales,MATCH(decGTMCSGPostSales,Data!$C$204:$C$209,0),3),0)</f>
        <v>0</v>
      </c>
      <c r="J869" s="425">
        <f>IF(calcCSGTimeline&lt;=$Q869,INDEX(datatblCSGPostSales,MATCH(decGTMCSGPostSales,Data!$C$204:$C$209,0),3),0)</f>
        <v>0</v>
      </c>
      <c r="K869" s="425">
        <f>IF(calcCSGTimeline&lt;=$Q869,INDEX(datatblCSGPostSales,MATCH(decGTMCSGPostSales,Data!$C$204:$C$209,0),3),0)</f>
        <v>0</v>
      </c>
      <c r="L869" s="425">
        <f>IF(calcCSGTimeline&lt;=$Q869,INDEX(datatblCSGPostSales,MATCH(decGTMCSGPostSales,Data!$C$204:$C$209,0),3),0)</f>
        <v>0</v>
      </c>
      <c r="M869" s="425">
        <f>IF(calcCSGTimeline&lt;=$Q869,INDEX(datatblCSGPostSales,MATCH(decGTMCSGPostSales,Data!$C$204:$C$209,0),3),0)</f>
        <v>0</v>
      </c>
      <c r="N869" s="425">
        <f>IF(calcCSGTimeline&lt;=$Q869,INDEX(datatblCSGPostSales,MATCH(decGTMCSGPostSales,Data!$C$204:$C$209,0),3),0)</f>
        <v>0</v>
      </c>
      <c r="O869" s="482"/>
      <c r="P869" s="482"/>
      <c r="Q869" s="69">
        <f>Q868</f>
        <v>3</v>
      </c>
    </row>
    <row r="870" spans="1:18">
      <c r="D870" s="69" t="s">
        <v>3079</v>
      </c>
      <c r="E870" s="425">
        <f>IF(calcBrandIntegrationTimeline&lt;=$Q870,INDEX(datatblBrandIntegration,MATCH(decGTMBrandIntegration,Data!$C$220:$C$226,0),3),0)</f>
        <v>0</v>
      </c>
      <c r="F870" s="425">
        <f>IF(calcBrandIntegrationTimeline&lt;=$Q870,INDEX(datatblBrandIntegration,MATCH(decGTMBrandIntegration,Data!$C$220:$C$226,0),3),0)</f>
        <v>0</v>
      </c>
      <c r="G870" s="425">
        <f>IF(calcBrandIntegrationTimeline&lt;=$Q870,INDEX(datatblBrandIntegration,MATCH(decGTMBrandIntegration,Data!$C$220:$C$226,0),3),0)</f>
        <v>0</v>
      </c>
      <c r="H870" s="425">
        <f>IF(calcBrandIntegrationTimeline&lt;=$Q870,INDEX(datatblBrandIntegration,MATCH(decGTMBrandIntegration,Data!$C$220:$C$226,0),3),0)</f>
        <v>0</v>
      </c>
      <c r="I870" s="425">
        <f>IF(calcBrandIntegrationTimeline&lt;=$Q870,INDEX(datatblBrandIntegration,MATCH(decGTMBrandIntegration,Data!$C$220:$C$226,0),3),0)</f>
        <v>0</v>
      </c>
      <c r="J870" s="425">
        <f>IF(calcBrandIntegrationTimeline&lt;=$Q870,INDEX(datatblBrandIntegration,MATCH(decGTMBrandIntegration,Data!$C$220:$C$226,0),3),0)</f>
        <v>0</v>
      </c>
      <c r="K870" s="425">
        <f>IF(calcBrandIntegrationTimeline&lt;=$Q870,INDEX(datatblBrandIntegration,MATCH(decGTMBrandIntegration,Data!$C$220:$C$226,0),3),0)</f>
        <v>0</v>
      </c>
      <c r="L870" s="425">
        <f>IF(calcBrandIntegrationTimeline&lt;=$Q870,INDEX(datatblBrandIntegration,MATCH(decGTMBrandIntegration,Data!$C$220:$C$226,0),3),0)</f>
        <v>0</v>
      </c>
      <c r="M870" s="425">
        <f>IF(calcBrandIntegrationTimeline&lt;=$Q870,INDEX(datatblBrandIntegration,MATCH(decGTMBrandIntegration,Data!$C$220:$C$226,0),3),0)</f>
        <v>0</v>
      </c>
      <c r="N870" s="425">
        <f>IF(calcBrandIntegrationTimeline&lt;=$Q870,INDEX(datatblBrandIntegration,MATCH(decGTMBrandIntegration,Data!$C$220:$C$226,0),3),0)</f>
        <v>0</v>
      </c>
      <c r="O870" s="482"/>
      <c r="P870" s="482"/>
      <c r="Q870" s="69">
        <f>Q869</f>
        <v>3</v>
      </c>
    </row>
    <row r="871" spans="1:18">
      <c r="D871" s="69" t="s">
        <v>2277</v>
      </c>
      <c r="E871" s="425">
        <f>IF(decGTMOrg62Timeline="choose",0,IF(E866=0,INDEX(datatblLeadPass,MATCH(decGTMLeadPass,Data!$C$212:$C$217,0),3),0))</f>
        <v>0</v>
      </c>
      <c r="F871" s="425">
        <f>IF(decGTMOrg62Timeline="choose",0,IF(F866=0,INDEX(datatblLeadPass,MATCH(decGTMLeadPass,Data!$C$212:$C$217,0),3),0))</f>
        <v>0</v>
      </c>
      <c r="G871" s="425">
        <f>IF(decGTMOrg62Timeline="choose",0,IF(G866=0,INDEX(datatblLeadPass,MATCH(decGTMLeadPass,Data!$C$212:$C$217,0),3),0))</f>
        <v>0</v>
      </c>
      <c r="H871" s="425">
        <f>IF(decGTMOrg62Timeline="choose",0,IF(H866=0,INDEX(datatblLeadPass,MATCH(decGTMLeadPass,Data!$C$212:$C$217,0),3),0))</f>
        <v>0</v>
      </c>
      <c r="I871" s="425">
        <f>IF(decGTMOrg62Timeline="choose",0,IF(I866=0,INDEX(datatblLeadPass,MATCH(decGTMLeadPass,Data!$C$212:$C$217,0),3),0))</f>
        <v>0</v>
      </c>
      <c r="J871" s="425">
        <f>IF(decGTMOrg62Timeline="choose",0,IF(J866=0,INDEX(datatblLeadPass,MATCH(decGTMLeadPass,Data!$C$212:$C$217,0),3),0))</f>
        <v>0</v>
      </c>
      <c r="K871" s="425">
        <f>IF(decGTMOrg62Timeline="choose",0,IF(K866=0,INDEX(datatblLeadPass,MATCH(decGTMLeadPass,Data!$C$212:$C$217,0),3),0))</f>
        <v>0</v>
      </c>
      <c r="L871" s="425">
        <f>IF(decGTMOrg62Timeline="choose",0,IF(L866=0,INDEX(datatblLeadPass,MATCH(decGTMLeadPass,Data!$C$212:$C$217,0),3),0))</f>
        <v>0</v>
      </c>
      <c r="M871" s="425">
        <f>IF(decGTMOrg62Timeline="choose",0,IF(M866=0,INDEX(datatblLeadPass,MATCH(decGTMLeadPass,Data!$C$212:$C$217,0),3),0))</f>
        <v>0</v>
      </c>
      <c r="N871" s="425">
        <f>IF(decGTMOrg62Timeline="choose",0,IF(N866=0,INDEX(datatblLeadPass,MATCH(decGTMLeadPass,Data!$C$212:$C$217,0),3),0))</f>
        <v>0</v>
      </c>
      <c r="O871" s="482"/>
      <c r="P871" s="482"/>
    </row>
    <row r="872" spans="1:18">
      <c r="D872" s="69" t="s">
        <v>1032</v>
      </c>
      <c r="E872" s="425">
        <f t="shared" ref="E872:N872" si="618">IF(decSecurityProductRestrictions="Yes",$Q872,IF(decSecurityProductRestrictions="No",$R872,$S872))</f>
        <v>0</v>
      </c>
      <c r="F872" s="425">
        <f t="shared" si="618"/>
        <v>0</v>
      </c>
      <c r="G872" s="425">
        <f t="shared" si="618"/>
        <v>0</v>
      </c>
      <c r="H872" s="425">
        <f t="shared" si="618"/>
        <v>0</v>
      </c>
      <c r="I872" s="425">
        <f t="shared" si="618"/>
        <v>0</v>
      </c>
      <c r="J872" s="425">
        <f t="shared" si="618"/>
        <v>0</v>
      </c>
      <c r="K872" s="425">
        <f t="shared" si="618"/>
        <v>0</v>
      </c>
      <c r="L872" s="425">
        <f t="shared" si="618"/>
        <v>0</v>
      </c>
      <c r="M872" s="425">
        <f t="shared" si="618"/>
        <v>0</v>
      </c>
      <c r="N872" s="425">
        <f t="shared" si="618"/>
        <v>0</v>
      </c>
      <c r="Q872" s="818">
        <v>-0.02</v>
      </c>
      <c r="R872" s="819">
        <v>0.02</v>
      </c>
    </row>
    <row r="873" spans="1:18" s="217" customFormat="1">
      <c r="D873" s="217" t="s">
        <v>1758</v>
      </c>
      <c r="E873" s="411">
        <f t="shared" ref="E873:N873" si="619">SUM(E866:E872)+paramACVGrowthBaseline</f>
        <v>0</v>
      </c>
      <c r="F873" s="411">
        <f t="shared" si="619"/>
        <v>0</v>
      </c>
      <c r="G873" s="411">
        <f t="shared" si="619"/>
        <v>0</v>
      </c>
      <c r="H873" s="411">
        <f t="shared" si="619"/>
        <v>0</v>
      </c>
      <c r="I873" s="411">
        <f t="shared" si="619"/>
        <v>0</v>
      </c>
      <c r="J873" s="411">
        <f t="shared" si="619"/>
        <v>0</v>
      </c>
      <c r="K873" s="411">
        <f t="shared" si="619"/>
        <v>0</v>
      </c>
      <c r="L873" s="411">
        <f t="shared" si="619"/>
        <v>0</v>
      </c>
      <c r="M873" s="411">
        <f t="shared" si="619"/>
        <v>0</v>
      </c>
      <c r="N873" s="411">
        <f t="shared" si="619"/>
        <v>0</v>
      </c>
      <c r="O873" s="217" t="s">
        <v>1759</v>
      </c>
    </row>
    <row r="874" spans="1:18" s="217" customFormat="1">
      <c r="E874" s="411"/>
      <c r="F874" s="411"/>
      <c r="G874" s="411"/>
      <c r="H874" s="411"/>
      <c r="I874" s="411"/>
      <c r="J874" s="411"/>
      <c r="K874" s="411"/>
      <c r="L874" s="411"/>
      <c r="M874" s="411"/>
      <c r="N874" s="411"/>
    </row>
    <row r="875" spans="1:18" s="217" customFormat="1">
      <c r="A875" s="217">
        <v>1</v>
      </c>
      <c r="B875" s="10" t="s">
        <v>1735</v>
      </c>
      <c r="C875" s="11" t="s">
        <v>899</v>
      </c>
      <c r="D875" s="217" t="str">
        <f>IF(AND(C875=D860,B875=C860),"New Revenue Adjustments",IF(OR(C875=D860,RIGHT(C875,1)&lt;RIGHT(D860,1)),"Attrition Necessary",0))</f>
        <v>Attrition Necessary</v>
      </c>
      <c r="E875" s="522">
        <f>INDEX(dataY1Q1Rev,$A875,)*(IF($D875="Attrition Necessary",1-calcQ1AttritionDifference,1))*(IF($D875="New Revenue Adjustments",1+calcQ1RevenueAdjustment,1))</f>
        <v>919792.217204349</v>
      </c>
      <c r="F875" s="522">
        <f>INDEX(dataY1Q1Rev,$A875,)*(IF($D875="Attrition Necessary",1-calcQ1AttritionDifference,1))*(IF($D875="New Revenue Adjustments",1+calcQ1RevenueAdjustment,1))</f>
        <v>919792.217204349</v>
      </c>
      <c r="G875" s="522">
        <f t="shared" ref="E875:N884" si="620">INDEX(dataY1Q1Rev,$A875,)*(IF($D875="Attrition Necessary",1-calcQ1AttritionDifference,1))*(IF($D875="New Revenue Adjustments",1+calcQ1RevenueAdjustment,1))</f>
        <v>919792.217204349</v>
      </c>
      <c r="H875" s="522">
        <f t="shared" si="620"/>
        <v>919792.217204349</v>
      </c>
      <c r="I875" s="522">
        <f t="shared" si="620"/>
        <v>919792.217204349</v>
      </c>
      <c r="J875" s="522">
        <f t="shared" si="620"/>
        <v>919792.217204349</v>
      </c>
      <c r="K875" s="522">
        <f t="shared" si="620"/>
        <v>919792.217204349</v>
      </c>
      <c r="L875" s="522">
        <f t="shared" si="620"/>
        <v>919792.217204349</v>
      </c>
      <c r="M875" s="522">
        <f t="shared" si="620"/>
        <v>919792.217204349</v>
      </c>
      <c r="N875" s="522">
        <f t="shared" si="620"/>
        <v>919792.217204349</v>
      </c>
      <c r="O875" s="410" t="s">
        <v>1775</v>
      </c>
    </row>
    <row r="876" spans="1:18" s="217" customFormat="1">
      <c r="A876" s="217">
        <v>2</v>
      </c>
      <c r="B876" s="10" t="s">
        <v>1735</v>
      </c>
      <c r="C876" s="11" t="s">
        <v>900</v>
      </c>
      <c r="D876" s="217">
        <f>IF(AND(C876=D860,B876=C860),"New Revenue Adjustments",IF(OR(C876=D860,RIGHT(C876,1)&lt;RIGHT(D860,1)),"Attrition Necessary",0))</f>
        <v>0</v>
      </c>
      <c r="E876" s="522">
        <f t="shared" si="620"/>
        <v>1619845.0288844367</v>
      </c>
      <c r="F876" s="522">
        <f t="shared" si="620"/>
        <v>1619845.0288844367</v>
      </c>
      <c r="G876" s="522">
        <f t="shared" si="620"/>
        <v>1619845.0288844367</v>
      </c>
      <c r="H876" s="522">
        <f t="shared" si="620"/>
        <v>1619845.0288844367</v>
      </c>
      <c r="I876" s="522">
        <f t="shared" si="620"/>
        <v>1619845.0288844367</v>
      </c>
      <c r="J876" s="522">
        <f t="shared" si="620"/>
        <v>1619845.0288844367</v>
      </c>
      <c r="K876" s="522">
        <f t="shared" si="620"/>
        <v>1619845.0288844367</v>
      </c>
      <c r="L876" s="522">
        <f t="shared" si="620"/>
        <v>1619845.0288844367</v>
      </c>
      <c r="M876" s="522">
        <f t="shared" si="620"/>
        <v>1619845.0288844367</v>
      </c>
      <c r="N876" s="522">
        <f t="shared" si="620"/>
        <v>1619845.0288844367</v>
      </c>
      <c r="O876" s="410" t="s">
        <v>1777</v>
      </c>
    </row>
    <row r="877" spans="1:18" s="217" customFormat="1">
      <c r="A877" s="217">
        <v>3</v>
      </c>
      <c r="B877" s="10" t="s">
        <v>1735</v>
      </c>
      <c r="C877" s="11" t="s">
        <v>901</v>
      </c>
      <c r="D877" s="217">
        <f>IF(AND(C877=D860,B877=C860),"New Revenue Adjustments",IF(OR(C877=D860,RIGHT(C877,1)&lt;RIGHT(D860,1)),"Attrition Necessary",0))</f>
        <v>0</v>
      </c>
      <c r="E877" s="522">
        <f>INDEX(dataY1Q1Rev,$A877,)*(IF($D877="Attrition Necessary",1-calcQ1AttritionDifference,1))*(IF($D877="New Revenue Adjustments",1+calcQ1RevenueAdjustment,1))</f>
        <v>2159793.3718459154</v>
      </c>
      <c r="F877" s="522">
        <f t="shared" si="620"/>
        <v>2159793.3718459154</v>
      </c>
      <c r="G877" s="522">
        <f t="shared" si="620"/>
        <v>2159793.3718459154</v>
      </c>
      <c r="H877" s="522">
        <f t="shared" si="620"/>
        <v>2159793.3718459154</v>
      </c>
      <c r="I877" s="522">
        <f t="shared" si="620"/>
        <v>2159793.3718459154</v>
      </c>
      <c r="J877" s="522">
        <f t="shared" si="620"/>
        <v>2159793.3718459154</v>
      </c>
      <c r="K877" s="522">
        <f t="shared" si="620"/>
        <v>2159793.3718459154</v>
      </c>
      <c r="L877" s="522">
        <f t="shared" si="620"/>
        <v>2159793.3718459154</v>
      </c>
      <c r="M877" s="522">
        <f t="shared" si="620"/>
        <v>2159793.3718459154</v>
      </c>
      <c r="N877" s="522">
        <f t="shared" si="620"/>
        <v>2159793.3718459154</v>
      </c>
      <c r="O877" s="410" t="s">
        <v>1776</v>
      </c>
    </row>
    <row r="878" spans="1:18" s="217" customFormat="1">
      <c r="A878" s="217">
        <v>4</v>
      </c>
      <c r="B878" s="10" t="s">
        <v>1735</v>
      </c>
      <c r="C878" s="11" t="s">
        <v>902</v>
      </c>
      <c r="D878" s="217">
        <f>IF(AND(C878=D860,B878=C860),"New Revenue Adjustments",IF(OR(C878=D860,RIGHT(C878,1)&lt;RIGHT(D860,1)),"Attrition Necessary",0))</f>
        <v>0</v>
      </c>
      <c r="E878" s="522">
        <f t="shared" si="620"/>
        <v>2699741.7148073944</v>
      </c>
      <c r="F878" s="522">
        <f t="shared" si="620"/>
        <v>2699741.7148073944</v>
      </c>
      <c r="G878" s="522">
        <f t="shared" si="620"/>
        <v>2699741.7148073944</v>
      </c>
      <c r="H878" s="522">
        <f t="shared" si="620"/>
        <v>2699741.7148073944</v>
      </c>
      <c r="I878" s="522">
        <f t="shared" si="620"/>
        <v>2699741.7148073944</v>
      </c>
      <c r="J878" s="522">
        <f t="shared" si="620"/>
        <v>2699741.7148073944</v>
      </c>
      <c r="K878" s="522">
        <f t="shared" si="620"/>
        <v>2699741.7148073944</v>
      </c>
      <c r="L878" s="522">
        <f t="shared" si="620"/>
        <v>2699741.7148073944</v>
      </c>
      <c r="M878" s="522">
        <f t="shared" si="620"/>
        <v>2699741.7148073944</v>
      </c>
      <c r="N878" s="522">
        <f t="shared" si="620"/>
        <v>2699741.7148073944</v>
      </c>
      <c r="O878" s="410" t="s">
        <v>1778</v>
      </c>
    </row>
    <row r="879" spans="1:18" s="217" customFormat="1">
      <c r="A879" s="217">
        <v>5</v>
      </c>
      <c r="B879" s="10" t="s">
        <v>1729</v>
      </c>
      <c r="C879" s="11" t="s">
        <v>899</v>
      </c>
      <c r="D879" s="217" t="str">
        <f>IF(AND(C879=D860,B879=C860),"New Revenue Adjustments",IF(OR(C879=D860,RIGHT(C879,1)&lt;RIGHT(D860,1)),"Attrition Necessary",0))</f>
        <v>Attrition Necessary</v>
      </c>
      <c r="E879" s="522">
        <f>INDEX(dataY1Q1Rev,$A879,)*(IF($D879="Attrition Necessary",1-calcQ1AttritionDifference,1))*(IF($D879="New Revenue Adjustments",1+calcQ1RevenueAdjustment,1))</f>
        <v>1082108.4908286459</v>
      </c>
      <c r="F879" s="522">
        <f t="shared" si="620"/>
        <v>1082108.4908286459</v>
      </c>
      <c r="G879" s="522">
        <f t="shared" si="620"/>
        <v>1082108.4908286459</v>
      </c>
      <c r="H879" s="522">
        <f t="shared" si="620"/>
        <v>1082108.4908286459</v>
      </c>
      <c r="I879" s="522">
        <f t="shared" si="620"/>
        <v>1082108.4908286459</v>
      </c>
      <c r="J879" s="522">
        <f t="shared" si="620"/>
        <v>1082108.4908286459</v>
      </c>
      <c r="K879" s="522">
        <f t="shared" si="620"/>
        <v>1082108.4908286459</v>
      </c>
      <c r="L879" s="522">
        <f t="shared" si="620"/>
        <v>1082108.4908286459</v>
      </c>
      <c r="M879" s="522">
        <f t="shared" si="620"/>
        <v>1082108.4908286459</v>
      </c>
      <c r="N879" s="522">
        <f t="shared" si="620"/>
        <v>1082108.4908286459</v>
      </c>
      <c r="O879" s="410" t="s">
        <v>1779</v>
      </c>
    </row>
    <row r="880" spans="1:18" s="217" customFormat="1">
      <c r="A880" s="217">
        <v>6</v>
      </c>
      <c r="B880" s="10" t="s">
        <v>1729</v>
      </c>
      <c r="C880" s="11" t="s">
        <v>900</v>
      </c>
      <c r="D880" s="217">
        <f>IF(AND(C880=D860,B880=C860),"New Revenue Adjustments",IF(OR(C880=D860,RIGHT(C880,1)&lt;RIGHT(D860,1)),"Attrition Necessary",0))</f>
        <v>0</v>
      </c>
      <c r="E880" s="522">
        <f t="shared" si="620"/>
        <v>1555560.5098929708</v>
      </c>
      <c r="F880" s="522">
        <f t="shared" si="620"/>
        <v>1555560.5098929708</v>
      </c>
      <c r="G880" s="522">
        <f t="shared" si="620"/>
        <v>1555560.5098929708</v>
      </c>
      <c r="H880" s="522">
        <f t="shared" si="620"/>
        <v>1555560.5098929708</v>
      </c>
      <c r="I880" s="522">
        <f t="shared" si="620"/>
        <v>1555560.5098929708</v>
      </c>
      <c r="J880" s="522">
        <f t="shared" si="620"/>
        <v>1555560.5098929708</v>
      </c>
      <c r="K880" s="522">
        <f t="shared" si="620"/>
        <v>1555560.5098929708</v>
      </c>
      <c r="L880" s="522">
        <f t="shared" si="620"/>
        <v>1555560.5098929708</v>
      </c>
      <c r="M880" s="522">
        <f t="shared" si="620"/>
        <v>1555560.5098929708</v>
      </c>
      <c r="N880" s="522">
        <f t="shared" si="620"/>
        <v>1555560.5098929708</v>
      </c>
      <c r="O880" s="410" t="s">
        <v>1780</v>
      </c>
    </row>
    <row r="881" spans="1:15" s="217" customFormat="1">
      <c r="A881" s="217">
        <v>7</v>
      </c>
      <c r="B881" s="10" t="s">
        <v>1729</v>
      </c>
      <c r="C881" s="11" t="s">
        <v>901</v>
      </c>
      <c r="D881" s="217">
        <f>IF(AND(C881=D860,B881=C860),"New Revenue Adjustments",IF(OR(C881=D860,RIGHT(C881,1)&lt;RIGHT(D860,1)),"Attrition Necessary",0))</f>
        <v>0</v>
      </c>
      <c r="E881" s="522">
        <f t="shared" si="620"/>
        <v>2404048.0607436826</v>
      </c>
      <c r="F881" s="522">
        <f t="shared" si="620"/>
        <v>2404048.0607436826</v>
      </c>
      <c r="G881" s="522">
        <f t="shared" si="620"/>
        <v>2404048.0607436826</v>
      </c>
      <c r="H881" s="522">
        <f t="shared" si="620"/>
        <v>2404048.0607436826</v>
      </c>
      <c r="I881" s="522">
        <f t="shared" si="620"/>
        <v>2404048.0607436826</v>
      </c>
      <c r="J881" s="522">
        <f t="shared" si="620"/>
        <v>2404048.0607436826</v>
      </c>
      <c r="K881" s="522">
        <f t="shared" si="620"/>
        <v>2404048.0607436826</v>
      </c>
      <c r="L881" s="522">
        <f t="shared" si="620"/>
        <v>2404048.0607436826</v>
      </c>
      <c r="M881" s="522">
        <f t="shared" si="620"/>
        <v>2404048.0607436826</v>
      </c>
      <c r="N881" s="522">
        <f t="shared" si="620"/>
        <v>2404048.0607436826</v>
      </c>
      <c r="O881" s="410" t="s">
        <v>1781</v>
      </c>
    </row>
    <row r="882" spans="1:15" s="217" customFormat="1">
      <c r="A882" s="217">
        <v>8</v>
      </c>
      <c r="B882" s="10" t="s">
        <v>1729</v>
      </c>
      <c r="C882" s="11" t="s">
        <v>902</v>
      </c>
      <c r="D882" s="217">
        <f>IF(AND(C882=D860,B882=C860),"New Revenue Adjustments",IF(OR(C882=D860,RIGHT(C882,1)&lt;RIGHT(D860,1)),"Attrition Necessary",0))</f>
        <v>0</v>
      </c>
      <c r="E882" s="522">
        <f t="shared" si="620"/>
        <v>3535364.7952112975</v>
      </c>
      <c r="F882" s="522">
        <f t="shared" si="620"/>
        <v>3535364.7952112975</v>
      </c>
      <c r="G882" s="522">
        <f t="shared" si="620"/>
        <v>3535364.7952112975</v>
      </c>
      <c r="H882" s="522">
        <f t="shared" si="620"/>
        <v>3535364.7952112975</v>
      </c>
      <c r="I882" s="522">
        <f t="shared" si="620"/>
        <v>3535364.7952112975</v>
      </c>
      <c r="J882" s="522">
        <f t="shared" si="620"/>
        <v>3535364.7952112975</v>
      </c>
      <c r="K882" s="522">
        <f t="shared" si="620"/>
        <v>3535364.7952112975</v>
      </c>
      <c r="L882" s="522">
        <f t="shared" si="620"/>
        <v>3535364.7952112975</v>
      </c>
      <c r="M882" s="522">
        <f t="shared" si="620"/>
        <v>3535364.7952112975</v>
      </c>
      <c r="N882" s="522">
        <f t="shared" si="620"/>
        <v>3535364.7952112975</v>
      </c>
      <c r="O882" s="410" t="s">
        <v>1782</v>
      </c>
    </row>
    <row r="883" spans="1:15" s="217" customFormat="1">
      <c r="A883" s="217">
        <v>9</v>
      </c>
      <c r="B883" s="10" t="s">
        <v>405</v>
      </c>
      <c r="C883" s="11" t="s">
        <v>899</v>
      </c>
      <c r="D883" s="217" t="str">
        <f>IF(AND(C883=D860,B883=C860),"New Revenue Adjustments",IF(OR(C883=D860,RIGHT(C883,1)&lt;RIGHT(D860,1)),"Attrition Necessary",0))</f>
        <v>Attrition Necessary</v>
      </c>
      <c r="E883" s="522">
        <f t="shared" si="620"/>
        <v>1594172.6100514105</v>
      </c>
      <c r="F883" s="522">
        <f t="shared" si="620"/>
        <v>1594172.6100514105</v>
      </c>
      <c r="G883" s="522">
        <f t="shared" si="620"/>
        <v>1594172.6100514105</v>
      </c>
      <c r="H883" s="522">
        <f t="shared" si="620"/>
        <v>1594172.6100514105</v>
      </c>
      <c r="I883" s="522">
        <f t="shared" si="620"/>
        <v>1594172.6100514105</v>
      </c>
      <c r="J883" s="522">
        <f t="shared" si="620"/>
        <v>1594172.6100514105</v>
      </c>
      <c r="K883" s="522">
        <f t="shared" si="620"/>
        <v>1594172.6100514105</v>
      </c>
      <c r="L883" s="522">
        <f t="shared" si="620"/>
        <v>1594172.6100514105</v>
      </c>
      <c r="M883" s="522">
        <f t="shared" si="620"/>
        <v>1594172.6100514105</v>
      </c>
      <c r="N883" s="522">
        <f t="shared" si="620"/>
        <v>1594172.6100514105</v>
      </c>
      <c r="O883" s="410" t="s">
        <v>1783</v>
      </c>
    </row>
    <row r="884" spans="1:15" s="217" customFormat="1">
      <c r="A884" s="217">
        <v>10</v>
      </c>
      <c r="B884" s="10" t="s">
        <v>405</v>
      </c>
      <c r="C884" s="11" t="s">
        <v>900</v>
      </c>
      <c r="D884" s="217">
        <f>IF(AND(C884=D860,B884=C860),"New Revenue Adjustments",IF(OR(C884=D860,RIGHT(C884,1)&lt;RIGHT(D860,1)),"Attrition Necessary",0))</f>
        <v>0</v>
      </c>
      <c r="E884" s="522">
        <f t="shared" si="620"/>
        <v>2291666.6666666665</v>
      </c>
      <c r="F884" s="522">
        <f t="shared" si="620"/>
        <v>2291666.6666666665</v>
      </c>
      <c r="G884" s="522">
        <f t="shared" si="620"/>
        <v>2291666.6666666665</v>
      </c>
      <c r="H884" s="522">
        <f t="shared" si="620"/>
        <v>2291666.6666666665</v>
      </c>
      <c r="I884" s="522">
        <f t="shared" si="620"/>
        <v>2291666.6666666665</v>
      </c>
      <c r="J884" s="522">
        <f t="shared" si="620"/>
        <v>2291666.6666666665</v>
      </c>
      <c r="K884" s="522">
        <f t="shared" si="620"/>
        <v>2291666.6666666665</v>
      </c>
      <c r="L884" s="522">
        <f t="shared" si="620"/>
        <v>2291666.6666666665</v>
      </c>
      <c r="M884" s="522">
        <f t="shared" si="620"/>
        <v>2291666.6666666665</v>
      </c>
      <c r="N884" s="522">
        <f t="shared" si="620"/>
        <v>2291666.6666666665</v>
      </c>
      <c r="O884" s="410" t="s">
        <v>1784</v>
      </c>
    </row>
    <row r="885" spans="1:15" s="217" customFormat="1">
      <c r="A885" s="217">
        <v>11</v>
      </c>
      <c r="B885" s="10" t="s">
        <v>405</v>
      </c>
      <c r="C885" s="11" t="s">
        <v>901</v>
      </c>
      <c r="D885" s="217">
        <f>IF(AND(C885=D860,B885=C860),"New Revenue Adjustments",IF(OR(C885=D860,RIGHT(C885,1)&lt;RIGHT(D860,1)),"Attrition Necessary",0))</f>
        <v>0</v>
      </c>
      <c r="E885" s="522">
        <f t="shared" ref="E885:N900" si="621">INDEX(dataY1Q1Rev,$A885,)*(IF($D885="Attrition Necessary",1-calcQ1AttritionDifference,1))*(IF($D885="New Revenue Adjustments",1+calcQ1RevenueAdjustment,1))</f>
        <v>3541666.666666667</v>
      </c>
      <c r="F885" s="522">
        <f t="shared" si="621"/>
        <v>3541666.666666667</v>
      </c>
      <c r="G885" s="522">
        <f t="shared" si="621"/>
        <v>3541666.666666667</v>
      </c>
      <c r="H885" s="522">
        <f t="shared" si="621"/>
        <v>3541666.666666667</v>
      </c>
      <c r="I885" s="522">
        <f t="shared" si="621"/>
        <v>3541666.666666667</v>
      </c>
      <c r="J885" s="522">
        <f t="shared" si="621"/>
        <v>3541666.666666667</v>
      </c>
      <c r="K885" s="522">
        <f t="shared" si="621"/>
        <v>3541666.666666667</v>
      </c>
      <c r="L885" s="522">
        <f t="shared" si="621"/>
        <v>3541666.666666667</v>
      </c>
      <c r="M885" s="522">
        <f t="shared" si="621"/>
        <v>3541666.666666667</v>
      </c>
      <c r="N885" s="522">
        <f t="shared" si="621"/>
        <v>3541666.666666667</v>
      </c>
      <c r="O885" s="410" t="s">
        <v>1785</v>
      </c>
    </row>
    <row r="886" spans="1:15" s="217" customFormat="1">
      <c r="A886" s="217">
        <v>12</v>
      </c>
      <c r="B886" s="10" t="s">
        <v>405</v>
      </c>
      <c r="C886" s="11" t="s">
        <v>902</v>
      </c>
      <c r="D886" s="217">
        <f>IF(AND(C886=D860,B886=C860),"New Revenue Adjustments",IF(OR(C886=D860,RIGHT(C886,1)&lt;RIGHT(D860,1)),"Attrition Necessary",0))</f>
        <v>0</v>
      </c>
      <c r="E886" s="522">
        <f t="shared" si="621"/>
        <v>5208333.333333333</v>
      </c>
      <c r="F886" s="522">
        <f t="shared" si="621"/>
        <v>5208333.333333333</v>
      </c>
      <c r="G886" s="522">
        <f t="shared" si="621"/>
        <v>5208333.333333333</v>
      </c>
      <c r="H886" s="522">
        <f t="shared" si="621"/>
        <v>5208333.333333333</v>
      </c>
      <c r="I886" s="522">
        <f t="shared" si="621"/>
        <v>5208333.333333333</v>
      </c>
      <c r="J886" s="522">
        <f t="shared" si="621"/>
        <v>5208333.333333333</v>
      </c>
      <c r="K886" s="522">
        <f t="shared" si="621"/>
        <v>5208333.333333333</v>
      </c>
      <c r="L886" s="522">
        <f t="shared" si="621"/>
        <v>5208333.333333333</v>
      </c>
      <c r="M886" s="522">
        <f t="shared" si="621"/>
        <v>5208333.333333333</v>
      </c>
      <c r="N886" s="522">
        <f t="shared" si="621"/>
        <v>5208333.333333333</v>
      </c>
      <c r="O886" s="410" t="s">
        <v>1786</v>
      </c>
    </row>
    <row r="887" spans="1:15" s="217" customFormat="1">
      <c r="A887" s="217">
        <v>13</v>
      </c>
      <c r="B887" s="10" t="s">
        <v>1278</v>
      </c>
      <c r="C887" s="11" t="s">
        <v>899</v>
      </c>
      <c r="D887" s="217" t="str">
        <f>IF(AND(C887=D860,B887=C860),"New Revenue Adjustments",IF(OR(C887=D860,RIGHT(C887,1)&lt;RIGHT(D860,1)),"Attrition Necessary",0))</f>
        <v>New Revenue Adjustments</v>
      </c>
      <c r="E887" s="522">
        <f t="shared" si="621"/>
        <v>2343750</v>
      </c>
      <c r="F887" s="522">
        <f t="shared" si="621"/>
        <v>2343750</v>
      </c>
      <c r="G887" s="522">
        <f t="shared" si="621"/>
        <v>2343750</v>
      </c>
      <c r="H887" s="522">
        <f t="shared" si="621"/>
        <v>2343750</v>
      </c>
      <c r="I887" s="522">
        <f t="shared" si="621"/>
        <v>2343750</v>
      </c>
      <c r="J887" s="522">
        <f>INDEX(dataY1Q1Rev,$A887,)*(IF($D887="Attrition Necessary",1-calcQ1AttritionDifference,1))*(IF($D887="New Revenue Adjustments",1+calcQ1RevenueAdjustment,1))</f>
        <v>2343750</v>
      </c>
      <c r="K887" s="522">
        <f t="shared" si="621"/>
        <v>2343750</v>
      </c>
      <c r="L887" s="522">
        <f t="shared" si="621"/>
        <v>2343750</v>
      </c>
      <c r="M887" s="522">
        <f t="shared" si="621"/>
        <v>2343750</v>
      </c>
      <c r="N887" s="522">
        <f t="shared" si="621"/>
        <v>2343750</v>
      </c>
      <c r="O887" s="410" t="s">
        <v>1787</v>
      </c>
    </row>
    <row r="888" spans="1:15" s="217" customFormat="1">
      <c r="A888" s="217">
        <v>14</v>
      </c>
      <c r="B888" s="10" t="s">
        <v>1278</v>
      </c>
      <c r="C888" s="11" t="s">
        <v>900</v>
      </c>
      <c r="D888" s="217">
        <f>IF(AND(C888=D860,B888=C860),"New Revenue Adjustments",IF(OR(C888=D860,RIGHT(C888,1)&lt;RIGHT(D860,1)),"Attrition Necessary",0))</f>
        <v>0</v>
      </c>
      <c r="E888" s="522">
        <f t="shared" si="621"/>
        <v>0</v>
      </c>
      <c r="F888" s="522">
        <f t="shared" si="621"/>
        <v>0</v>
      </c>
      <c r="G888" s="522">
        <f t="shared" si="621"/>
        <v>0</v>
      </c>
      <c r="H888" s="522">
        <f t="shared" si="621"/>
        <v>0</v>
      </c>
      <c r="I888" s="522">
        <f t="shared" si="621"/>
        <v>0</v>
      </c>
      <c r="J888" s="522">
        <f t="shared" si="621"/>
        <v>0</v>
      </c>
      <c r="K888" s="522">
        <f t="shared" si="621"/>
        <v>0</v>
      </c>
      <c r="L888" s="522">
        <f t="shared" si="621"/>
        <v>0</v>
      </c>
      <c r="M888" s="522">
        <f t="shared" si="621"/>
        <v>0</v>
      </c>
      <c r="N888" s="522">
        <f t="shared" si="621"/>
        <v>0</v>
      </c>
      <c r="O888" s="410" t="s">
        <v>1788</v>
      </c>
    </row>
    <row r="889" spans="1:15" s="217" customFormat="1">
      <c r="A889" s="217">
        <v>15</v>
      </c>
      <c r="B889" s="10" t="s">
        <v>1278</v>
      </c>
      <c r="C889" s="11" t="s">
        <v>901</v>
      </c>
      <c r="D889" s="217">
        <f>IF(AND(C889=D860,B889=C860),"New Revenue Adjustments",IF(OR(C889=D860,RIGHT(C889,1)&lt;RIGHT(D860,1)),"Attrition Necessary",0))</f>
        <v>0</v>
      </c>
      <c r="E889" s="522">
        <f t="shared" si="621"/>
        <v>0</v>
      </c>
      <c r="F889" s="522">
        <f t="shared" si="621"/>
        <v>0</v>
      </c>
      <c r="G889" s="522">
        <f t="shared" si="621"/>
        <v>0</v>
      </c>
      <c r="H889" s="522">
        <f t="shared" si="621"/>
        <v>0</v>
      </c>
      <c r="I889" s="522">
        <f t="shared" si="621"/>
        <v>0</v>
      </c>
      <c r="J889" s="522">
        <f t="shared" si="621"/>
        <v>0</v>
      </c>
      <c r="K889" s="522">
        <f t="shared" si="621"/>
        <v>0</v>
      </c>
      <c r="L889" s="522">
        <f t="shared" si="621"/>
        <v>0</v>
      </c>
      <c r="M889" s="522">
        <f t="shared" si="621"/>
        <v>0</v>
      </c>
      <c r="N889" s="522">
        <f t="shared" si="621"/>
        <v>0</v>
      </c>
      <c r="O889" s="410" t="s">
        <v>1789</v>
      </c>
    </row>
    <row r="890" spans="1:15" s="217" customFormat="1">
      <c r="A890" s="217">
        <v>16</v>
      </c>
      <c r="B890" s="10" t="s">
        <v>1278</v>
      </c>
      <c r="C890" s="11" t="s">
        <v>902</v>
      </c>
      <c r="D890" s="217">
        <f>IF(AND(C890=D860,B890=C860),"New Revenue Adjustments",IF(OR(C890=D860,RIGHT(C890,1)&lt;RIGHT(D860,1)),"Attrition Necessary",0))</f>
        <v>0</v>
      </c>
      <c r="E890" s="522">
        <f t="shared" si="621"/>
        <v>0</v>
      </c>
      <c r="F890" s="522">
        <f t="shared" si="621"/>
        <v>0</v>
      </c>
      <c r="G890" s="522">
        <f t="shared" si="621"/>
        <v>0</v>
      </c>
      <c r="H890" s="522">
        <f t="shared" si="621"/>
        <v>0</v>
      </c>
      <c r="I890" s="522">
        <f t="shared" si="621"/>
        <v>0</v>
      </c>
      <c r="J890" s="522">
        <f t="shared" si="621"/>
        <v>0</v>
      </c>
      <c r="K890" s="522">
        <f t="shared" si="621"/>
        <v>0</v>
      </c>
      <c r="L890" s="522">
        <f t="shared" si="621"/>
        <v>0</v>
      </c>
      <c r="M890" s="522">
        <f t="shared" si="621"/>
        <v>0</v>
      </c>
      <c r="N890" s="522">
        <f t="shared" si="621"/>
        <v>0</v>
      </c>
      <c r="O890" s="410" t="s">
        <v>1790</v>
      </c>
    </row>
    <row r="891" spans="1:15" s="217" customFormat="1">
      <c r="A891" s="217">
        <v>17</v>
      </c>
      <c r="B891" s="10" t="s">
        <v>1279</v>
      </c>
      <c r="C891" s="11" t="s">
        <v>899</v>
      </c>
      <c r="D891" s="217" t="str">
        <f>IF(AND(C891=D860,B891=C860),"New Revenue Adjustments",IF(OR(C891=D860,RIGHT(C891,1)&lt;RIGHT(D860,1)),"Attrition Necessary",0))</f>
        <v>Attrition Necessary</v>
      </c>
      <c r="E891" s="522">
        <f t="shared" si="621"/>
        <v>0</v>
      </c>
      <c r="F891" s="522">
        <f t="shared" si="621"/>
        <v>0</v>
      </c>
      <c r="G891" s="522">
        <f t="shared" si="621"/>
        <v>0</v>
      </c>
      <c r="H891" s="522">
        <f t="shared" si="621"/>
        <v>0</v>
      </c>
      <c r="I891" s="522">
        <f t="shared" si="621"/>
        <v>0</v>
      </c>
      <c r="J891" s="522">
        <f t="shared" si="621"/>
        <v>0</v>
      </c>
      <c r="K891" s="522">
        <f t="shared" si="621"/>
        <v>0</v>
      </c>
      <c r="L891" s="522">
        <f t="shared" si="621"/>
        <v>0</v>
      </c>
      <c r="M891" s="522">
        <f t="shared" si="621"/>
        <v>0</v>
      </c>
      <c r="N891" s="522">
        <f t="shared" si="621"/>
        <v>0</v>
      </c>
      <c r="O891" s="410" t="s">
        <v>1791</v>
      </c>
    </row>
    <row r="892" spans="1:15" s="217" customFormat="1">
      <c r="A892" s="217">
        <v>18</v>
      </c>
      <c r="B892" s="10" t="s">
        <v>1279</v>
      </c>
      <c r="C892" s="11" t="s">
        <v>900</v>
      </c>
      <c r="D892" s="217">
        <f>IF(AND(C892=D860,B892=C860),"New Revenue Adjustments",IF(OR(C892=D860,RIGHT(C892,1)&lt;RIGHT(D860,1)),"Attrition Necessary",0))</f>
        <v>0</v>
      </c>
      <c r="E892" s="522">
        <f t="shared" si="621"/>
        <v>0</v>
      </c>
      <c r="F892" s="522">
        <f t="shared" si="621"/>
        <v>0</v>
      </c>
      <c r="G892" s="522">
        <f t="shared" si="621"/>
        <v>0</v>
      </c>
      <c r="H892" s="522">
        <f t="shared" si="621"/>
        <v>0</v>
      </c>
      <c r="I892" s="522">
        <f t="shared" si="621"/>
        <v>0</v>
      </c>
      <c r="J892" s="522">
        <f t="shared" si="621"/>
        <v>0</v>
      </c>
      <c r="K892" s="522">
        <f t="shared" si="621"/>
        <v>0</v>
      </c>
      <c r="L892" s="522">
        <f t="shared" si="621"/>
        <v>0</v>
      </c>
      <c r="M892" s="522">
        <f t="shared" si="621"/>
        <v>0</v>
      </c>
      <c r="N892" s="522">
        <f t="shared" si="621"/>
        <v>0</v>
      </c>
      <c r="O892" s="410" t="s">
        <v>1792</v>
      </c>
    </row>
    <row r="893" spans="1:15" s="217" customFormat="1">
      <c r="A893" s="217">
        <v>19</v>
      </c>
      <c r="B893" s="10" t="s">
        <v>1279</v>
      </c>
      <c r="C893" s="11" t="s">
        <v>901</v>
      </c>
      <c r="D893" s="217">
        <f>IF(AND(C893=D860,B893=C860),"New Revenue Adjustments",IF(OR(C893=D860,RIGHT(C893,1)&lt;RIGHT(D860,1)),"Attrition Necessary",0))</f>
        <v>0</v>
      </c>
      <c r="E893" s="522">
        <f t="shared" si="621"/>
        <v>0</v>
      </c>
      <c r="F893" s="522">
        <f t="shared" si="621"/>
        <v>0</v>
      </c>
      <c r="G893" s="522">
        <f t="shared" si="621"/>
        <v>0</v>
      </c>
      <c r="H893" s="522">
        <f t="shared" si="621"/>
        <v>0</v>
      </c>
      <c r="I893" s="522">
        <f t="shared" si="621"/>
        <v>0</v>
      </c>
      <c r="J893" s="522">
        <f t="shared" si="621"/>
        <v>0</v>
      </c>
      <c r="K893" s="522">
        <f t="shared" si="621"/>
        <v>0</v>
      </c>
      <c r="L893" s="522">
        <f t="shared" si="621"/>
        <v>0</v>
      </c>
      <c r="M893" s="522">
        <f t="shared" si="621"/>
        <v>0</v>
      </c>
      <c r="N893" s="522">
        <f t="shared" si="621"/>
        <v>0</v>
      </c>
      <c r="O893" s="410" t="s">
        <v>1793</v>
      </c>
    </row>
    <row r="894" spans="1:15" s="217" customFormat="1">
      <c r="A894" s="217">
        <v>20</v>
      </c>
      <c r="B894" s="10" t="s">
        <v>1279</v>
      </c>
      <c r="C894" s="11" t="s">
        <v>902</v>
      </c>
      <c r="D894" s="217">
        <f>IF(AND(C894=D860,B894=C860),"New Revenue Adjustments",IF(OR(C894=D860,RIGHT(C894,1)&lt;RIGHT(D860,1)),"Attrition Necessary",0))</f>
        <v>0</v>
      </c>
      <c r="E894" s="522">
        <f t="shared" si="621"/>
        <v>0</v>
      </c>
      <c r="F894" s="522">
        <f t="shared" si="621"/>
        <v>0</v>
      </c>
      <c r="G894" s="522">
        <f t="shared" si="621"/>
        <v>0</v>
      </c>
      <c r="H894" s="522">
        <f t="shared" si="621"/>
        <v>0</v>
      </c>
      <c r="I894" s="522">
        <f t="shared" si="621"/>
        <v>0</v>
      </c>
      <c r="J894" s="522">
        <f t="shared" si="621"/>
        <v>0</v>
      </c>
      <c r="K894" s="522">
        <f t="shared" si="621"/>
        <v>0</v>
      </c>
      <c r="L894" s="522">
        <f t="shared" si="621"/>
        <v>0</v>
      </c>
      <c r="M894" s="522">
        <f t="shared" si="621"/>
        <v>0</v>
      </c>
      <c r="N894" s="522">
        <f t="shared" si="621"/>
        <v>0</v>
      </c>
      <c r="O894" s="410" t="s">
        <v>1794</v>
      </c>
    </row>
    <row r="895" spans="1:15" s="217" customFormat="1">
      <c r="A895" s="217">
        <v>21</v>
      </c>
      <c r="B895" s="10" t="s">
        <v>2052</v>
      </c>
      <c r="C895" s="11" t="s">
        <v>899</v>
      </c>
      <c r="D895" s="217" t="str">
        <f>IF(AND(C895=D860,B895=C860),"New Revenue Adjustments",IF(OR(C895=D860,RIGHT(C895,1)&lt;RIGHT(D860,1)),"Attrition Necessary",0))</f>
        <v>Attrition Necessary</v>
      </c>
      <c r="E895" s="522">
        <f t="shared" si="621"/>
        <v>0</v>
      </c>
      <c r="F895" s="522">
        <f t="shared" si="621"/>
        <v>0</v>
      </c>
      <c r="G895" s="522">
        <f t="shared" si="621"/>
        <v>0</v>
      </c>
      <c r="H895" s="522">
        <f t="shared" si="621"/>
        <v>0</v>
      </c>
      <c r="I895" s="522">
        <f t="shared" si="621"/>
        <v>0</v>
      </c>
      <c r="J895" s="522">
        <f t="shared" si="621"/>
        <v>0</v>
      </c>
      <c r="K895" s="522">
        <f t="shared" si="621"/>
        <v>0</v>
      </c>
      <c r="L895" s="522">
        <f t="shared" si="621"/>
        <v>0</v>
      </c>
      <c r="M895" s="522">
        <f t="shared" si="621"/>
        <v>0</v>
      </c>
      <c r="N895" s="522">
        <f t="shared" si="621"/>
        <v>0</v>
      </c>
      <c r="O895" s="410" t="s">
        <v>2418</v>
      </c>
    </row>
    <row r="896" spans="1:15" s="217" customFormat="1">
      <c r="A896" s="217">
        <v>22</v>
      </c>
      <c r="B896" s="10" t="s">
        <v>2052</v>
      </c>
      <c r="C896" s="11" t="s">
        <v>900</v>
      </c>
      <c r="D896" s="217">
        <f>IF(AND(C896=D860,B896=C860),"New Revenue Adjustments",IF(OR(C896=D860,RIGHT(C896,1)&lt;RIGHT(D860,1)),"Attrition Necessary",0))</f>
        <v>0</v>
      </c>
      <c r="E896" s="522">
        <f t="shared" si="621"/>
        <v>0</v>
      </c>
      <c r="F896" s="522">
        <f t="shared" si="621"/>
        <v>0</v>
      </c>
      <c r="G896" s="522">
        <f t="shared" si="621"/>
        <v>0</v>
      </c>
      <c r="H896" s="522">
        <f t="shared" si="621"/>
        <v>0</v>
      </c>
      <c r="I896" s="522">
        <f t="shared" si="621"/>
        <v>0</v>
      </c>
      <c r="J896" s="522">
        <f t="shared" si="621"/>
        <v>0</v>
      </c>
      <c r="K896" s="522">
        <f t="shared" si="621"/>
        <v>0</v>
      </c>
      <c r="L896" s="522">
        <f t="shared" si="621"/>
        <v>0</v>
      </c>
      <c r="M896" s="522">
        <f t="shared" si="621"/>
        <v>0</v>
      </c>
      <c r="N896" s="522">
        <f t="shared" si="621"/>
        <v>0</v>
      </c>
      <c r="O896" s="410" t="s">
        <v>2419</v>
      </c>
    </row>
    <row r="897" spans="1:15" s="217" customFormat="1">
      <c r="A897" s="217">
        <v>23</v>
      </c>
      <c r="B897" s="10" t="s">
        <v>2052</v>
      </c>
      <c r="C897" s="11" t="s">
        <v>901</v>
      </c>
      <c r="D897" s="217">
        <f>IF(AND(C897=D860,B897=C860),"New Revenue Adjustments",IF(OR(C897=D860,RIGHT(C897,1)&lt;RIGHT(D860,1)),"Attrition Necessary",0))</f>
        <v>0</v>
      </c>
      <c r="E897" s="522">
        <f t="shared" si="621"/>
        <v>0</v>
      </c>
      <c r="F897" s="522">
        <f t="shared" si="621"/>
        <v>0</v>
      </c>
      <c r="G897" s="522">
        <f t="shared" si="621"/>
        <v>0</v>
      </c>
      <c r="H897" s="522">
        <f t="shared" si="621"/>
        <v>0</v>
      </c>
      <c r="I897" s="522">
        <f t="shared" si="621"/>
        <v>0</v>
      </c>
      <c r="J897" s="522">
        <f t="shared" si="621"/>
        <v>0</v>
      </c>
      <c r="K897" s="522">
        <f t="shared" si="621"/>
        <v>0</v>
      </c>
      <c r="L897" s="522">
        <f t="shared" si="621"/>
        <v>0</v>
      </c>
      <c r="M897" s="522">
        <f t="shared" si="621"/>
        <v>0</v>
      </c>
      <c r="N897" s="522">
        <f t="shared" si="621"/>
        <v>0</v>
      </c>
      <c r="O897" s="410" t="s">
        <v>2420</v>
      </c>
    </row>
    <row r="898" spans="1:15" s="217" customFormat="1">
      <c r="A898" s="217">
        <v>24</v>
      </c>
      <c r="B898" s="10" t="s">
        <v>2052</v>
      </c>
      <c r="C898" s="11" t="s">
        <v>902</v>
      </c>
      <c r="D898" s="217">
        <f>IF(AND(C898=D860,B898=C860),"New Revenue Adjustments",IF(OR(C898=D860,RIGHT(C898,1)&lt;RIGHT(D860,1)),"Attrition Necessary",0))</f>
        <v>0</v>
      </c>
      <c r="E898" s="522">
        <f t="shared" si="621"/>
        <v>0</v>
      </c>
      <c r="F898" s="522">
        <f t="shared" si="621"/>
        <v>0</v>
      </c>
      <c r="G898" s="522">
        <f t="shared" si="621"/>
        <v>0</v>
      </c>
      <c r="H898" s="522">
        <f t="shared" si="621"/>
        <v>0</v>
      </c>
      <c r="I898" s="522">
        <f t="shared" si="621"/>
        <v>0</v>
      </c>
      <c r="J898" s="522">
        <f t="shared" si="621"/>
        <v>0</v>
      </c>
      <c r="K898" s="522">
        <f t="shared" si="621"/>
        <v>0</v>
      </c>
      <c r="L898" s="522">
        <f t="shared" si="621"/>
        <v>0</v>
      </c>
      <c r="M898" s="522">
        <f t="shared" si="621"/>
        <v>0</v>
      </c>
      <c r="N898" s="522">
        <f t="shared" si="621"/>
        <v>0</v>
      </c>
      <c r="O898" s="410" t="s">
        <v>2421</v>
      </c>
    </row>
    <row r="899" spans="1:15" s="217" customFormat="1">
      <c r="A899" s="217">
        <v>25</v>
      </c>
      <c r="B899" s="10" t="s">
        <v>2408</v>
      </c>
      <c r="C899" s="11" t="s">
        <v>899</v>
      </c>
      <c r="D899" s="217" t="str">
        <f>IF(AND(C899=D860,B899=C860),"New Revenue Adjustments",IF(OR(C899=D860,RIGHT(C899,1)&lt;RIGHT(D860,1)),"Attrition Necessary",0))</f>
        <v>Attrition Necessary</v>
      </c>
      <c r="E899" s="522">
        <f t="shared" si="621"/>
        <v>0</v>
      </c>
      <c r="F899" s="522">
        <f t="shared" si="621"/>
        <v>0</v>
      </c>
      <c r="G899" s="522">
        <f t="shared" si="621"/>
        <v>0</v>
      </c>
      <c r="H899" s="522">
        <f t="shared" si="621"/>
        <v>0</v>
      </c>
      <c r="I899" s="522">
        <f t="shared" si="621"/>
        <v>0</v>
      </c>
      <c r="J899" s="522">
        <f t="shared" si="621"/>
        <v>0</v>
      </c>
      <c r="K899" s="522">
        <f t="shared" si="621"/>
        <v>0</v>
      </c>
      <c r="L899" s="522">
        <f t="shared" si="621"/>
        <v>0</v>
      </c>
      <c r="M899" s="522">
        <f t="shared" si="621"/>
        <v>0</v>
      </c>
      <c r="N899" s="522">
        <f t="shared" si="621"/>
        <v>0</v>
      </c>
      <c r="O899" s="410" t="s">
        <v>2422</v>
      </c>
    </row>
    <row r="900" spans="1:15" s="217" customFormat="1">
      <c r="A900" s="217">
        <v>26</v>
      </c>
      <c r="B900" s="10" t="s">
        <v>2408</v>
      </c>
      <c r="C900" s="11" t="s">
        <v>900</v>
      </c>
      <c r="D900" s="217">
        <f>IF(AND(C900=D860,B900=C860),"New Revenue Adjustments",IF(OR(C900=D860,RIGHT(C900,1)&lt;RIGHT(D860,1)),"Attrition Necessary",0))</f>
        <v>0</v>
      </c>
      <c r="E900" s="522">
        <f t="shared" si="621"/>
        <v>0</v>
      </c>
      <c r="F900" s="522">
        <f t="shared" si="621"/>
        <v>0</v>
      </c>
      <c r="G900" s="522">
        <f t="shared" si="621"/>
        <v>0</v>
      </c>
      <c r="H900" s="522">
        <f t="shared" si="621"/>
        <v>0</v>
      </c>
      <c r="I900" s="522">
        <f t="shared" si="621"/>
        <v>0</v>
      </c>
      <c r="J900" s="522">
        <f t="shared" si="621"/>
        <v>0</v>
      </c>
      <c r="K900" s="522">
        <f t="shared" si="621"/>
        <v>0</v>
      </c>
      <c r="L900" s="522">
        <f t="shared" si="621"/>
        <v>0</v>
      </c>
      <c r="M900" s="522">
        <f t="shared" si="621"/>
        <v>0</v>
      </c>
      <c r="N900" s="522">
        <f t="shared" si="621"/>
        <v>0</v>
      </c>
      <c r="O900" s="410" t="s">
        <v>2423</v>
      </c>
    </row>
    <row r="901" spans="1:15" s="217" customFormat="1">
      <c r="A901" s="217">
        <v>27</v>
      </c>
      <c r="B901" s="10" t="s">
        <v>2408</v>
      </c>
      <c r="C901" s="11" t="s">
        <v>901</v>
      </c>
      <c r="D901" s="217">
        <f>IF(AND(C901=D860,B901=C860),"New Revenue Adjustments",IF(OR(C901=D860,RIGHT(C901,1)&lt;RIGHT(D860,1)),"Attrition Necessary",0))</f>
        <v>0</v>
      </c>
      <c r="E901" s="522">
        <f t="shared" ref="E901:N906" si="622">INDEX(dataY1Q1Rev,$A901,)*(IF($D901="Attrition Necessary",1-calcQ1AttritionDifference,1))*(IF($D901="New Revenue Adjustments",1+calcQ1RevenueAdjustment,1))</f>
        <v>0</v>
      </c>
      <c r="F901" s="522">
        <f t="shared" si="622"/>
        <v>0</v>
      </c>
      <c r="G901" s="522">
        <f t="shared" si="622"/>
        <v>0</v>
      </c>
      <c r="H901" s="522">
        <f t="shared" si="622"/>
        <v>0</v>
      </c>
      <c r="I901" s="522">
        <f t="shared" si="622"/>
        <v>0</v>
      </c>
      <c r="J901" s="522">
        <f t="shared" si="622"/>
        <v>0</v>
      </c>
      <c r="K901" s="522">
        <f t="shared" si="622"/>
        <v>0</v>
      </c>
      <c r="L901" s="522">
        <f t="shared" si="622"/>
        <v>0</v>
      </c>
      <c r="M901" s="522">
        <f t="shared" si="622"/>
        <v>0</v>
      </c>
      <c r="N901" s="522">
        <f t="shared" si="622"/>
        <v>0</v>
      </c>
      <c r="O901" s="410" t="s">
        <v>2424</v>
      </c>
    </row>
    <row r="902" spans="1:15" s="217" customFormat="1">
      <c r="A902" s="217">
        <v>28</v>
      </c>
      <c r="B902" s="10" t="s">
        <v>2408</v>
      </c>
      <c r="C902" s="11" t="s">
        <v>902</v>
      </c>
      <c r="D902" s="217">
        <f>IF(AND(C902=D860,B902=C860),"New Revenue Adjustments",IF(OR(C902=D860,RIGHT(C902,1)&lt;RIGHT(D860,1)),"Attrition Necessary",0))</f>
        <v>0</v>
      </c>
      <c r="E902" s="522">
        <f t="shared" si="622"/>
        <v>0</v>
      </c>
      <c r="F902" s="522">
        <f t="shared" si="622"/>
        <v>0</v>
      </c>
      <c r="G902" s="522">
        <f t="shared" si="622"/>
        <v>0</v>
      </c>
      <c r="H902" s="522">
        <f t="shared" si="622"/>
        <v>0</v>
      </c>
      <c r="I902" s="522">
        <f t="shared" si="622"/>
        <v>0</v>
      </c>
      <c r="J902" s="522">
        <f t="shared" si="622"/>
        <v>0</v>
      </c>
      <c r="K902" s="522">
        <f t="shared" si="622"/>
        <v>0</v>
      </c>
      <c r="L902" s="522">
        <f t="shared" si="622"/>
        <v>0</v>
      </c>
      <c r="M902" s="522">
        <f t="shared" si="622"/>
        <v>0</v>
      </c>
      <c r="N902" s="522">
        <f t="shared" si="622"/>
        <v>0</v>
      </c>
      <c r="O902" s="410" t="s">
        <v>2425</v>
      </c>
    </row>
    <row r="903" spans="1:15" s="217" customFormat="1">
      <c r="A903" s="217">
        <v>29</v>
      </c>
      <c r="B903" s="10" t="s">
        <v>2413</v>
      </c>
      <c r="C903" s="11" t="s">
        <v>899</v>
      </c>
      <c r="D903" s="217" t="str">
        <f>IF(AND(C903=D860,B903=C860),"New Revenue Adjustments",IF(OR(C903=D860,RIGHT(C903,1)&lt;RIGHT(D860,1)),"Attrition Necessary",0))</f>
        <v>Attrition Necessary</v>
      </c>
      <c r="E903" s="522">
        <f t="shared" si="622"/>
        <v>0</v>
      </c>
      <c r="F903" s="522">
        <f t="shared" si="622"/>
        <v>0</v>
      </c>
      <c r="G903" s="522">
        <f t="shared" si="622"/>
        <v>0</v>
      </c>
      <c r="H903" s="522">
        <f t="shared" si="622"/>
        <v>0</v>
      </c>
      <c r="I903" s="522">
        <f t="shared" si="622"/>
        <v>0</v>
      </c>
      <c r="J903" s="522">
        <f t="shared" si="622"/>
        <v>0</v>
      </c>
      <c r="K903" s="522">
        <f t="shared" si="622"/>
        <v>0</v>
      </c>
      <c r="L903" s="522">
        <f t="shared" si="622"/>
        <v>0</v>
      </c>
      <c r="M903" s="522">
        <f t="shared" si="622"/>
        <v>0</v>
      </c>
      <c r="N903" s="522">
        <f t="shared" si="622"/>
        <v>0</v>
      </c>
      <c r="O903" s="410" t="s">
        <v>2426</v>
      </c>
    </row>
    <row r="904" spans="1:15" s="217" customFormat="1">
      <c r="A904" s="217">
        <v>30</v>
      </c>
      <c r="B904" s="10" t="s">
        <v>2413</v>
      </c>
      <c r="C904" s="11" t="s">
        <v>900</v>
      </c>
      <c r="D904" s="217">
        <f>IF(AND(C904=D860,B904=C860),"New Revenue Adjustments",IF(OR(C904=D860,RIGHT(C904,1)&lt;RIGHT(D860,1)),"Attrition Necessary",0))</f>
        <v>0</v>
      </c>
      <c r="E904" s="522">
        <f t="shared" si="622"/>
        <v>0</v>
      </c>
      <c r="F904" s="522">
        <f t="shared" si="622"/>
        <v>0</v>
      </c>
      <c r="G904" s="522">
        <f t="shared" si="622"/>
        <v>0</v>
      </c>
      <c r="H904" s="522">
        <f t="shared" si="622"/>
        <v>0</v>
      </c>
      <c r="I904" s="522">
        <f t="shared" si="622"/>
        <v>0</v>
      </c>
      <c r="J904" s="522">
        <f t="shared" si="622"/>
        <v>0</v>
      </c>
      <c r="K904" s="522">
        <f t="shared" si="622"/>
        <v>0</v>
      </c>
      <c r="L904" s="522">
        <f t="shared" si="622"/>
        <v>0</v>
      </c>
      <c r="M904" s="522">
        <f t="shared" si="622"/>
        <v>0</v>
      </c>
      <c r="N904" s="522">
        <f t="shared" si="622"/>
        <v>0</v>
      </c>
      <c r="O904" s="410" t="s">
        <v>2427</v>
      </c>
    </row>
    <row r="905" spans="1:15" s="217" customFormat="1">
      <c r="A905" s="217">
        <v>31</v>
      </c>
      <c r="B905" s="10" t="s">
        <v>2413</v>
      </c>
      <c r="C905" s="11" t="s">
        <v>901</v>
      </c>
      <c r="D905" s="217">
        <f>IF(AND(C905=D860,B905=C860),"New Revenue Adjustments",IF(OR(C905=D860,RIGHT(C905,1)&lt;RIGHT(D860,1)),"Attrition Necessary",0))</f>
        <v>0</v>
      </c>
      <c r="E905" s="522">
        <f t="shared" si="622"/>
        <v>0</v>
      </c>
      <c r="F905" s="522">
        <f t="shared" si="622"/>
        <v>0</v>
      </c>
      <c r="G905" s="522">
        <f t="shared" si="622"/>
        <v>0</v>
      </c>
      <c r="H905" s="522">
        <f t="shared" si="622"/>
        <v>0</v>
      </c>
      <c r="I905" s="522">
        <f t="shared" si="622"/>
        <v>0</v>
      </c>
      <c r="J905" s="522">
        <f t="shared" si="622"/>
        <v>0</v>
      </c>
      <c r="K905" s="522">
        <f t="shared" si="622"/>
        <v>0</v>
      </c>
      <c r="L905" s="522">
        <f t="shared" si="622"/>
        <v>0</v>
      </c>
      <c r="M905" s="522">
        <f t="shared" si="622"/>
        <v>0</v>
      </c>
      <c r="N905" s="522">
        <f t="shared" si="622"/>
        <v>0</v>
      </c>
      <c r="O905" s="410" t="s">
        <v>2428</v>
      </c>
    </row>
    <row r="906" spans="1:15" s="217" customFormat="1">
      <c r="A906" s="217">
        <v>32</v>
      </c>
      <c r="B906" s="10" t="s">
        <v>2413</v>
      </c>
      <c r="C906" s="11" t="s">
        <v>902</v>
      </c>
      <c r="D906" s="217">
        <f>IF(AND(C906=D860,B906=C860),"New Revenue Adjustments",IF(OR(C906=D860,RIGHT(C906,1)&lt;RIGHT(D860,1)),"Attrition Necessary",0))</f>
        <v>0</v>
      </c>
      <c r="E906" s="522">
        <f t="shared" si="622"/>
        <v>0</v>
      </c>
      <c r="F906" s="522">
        <f t="shared" si="622"/>
        <v>0</v>
      </c>
      <c r="G906" s="522">
        <f t="shared" si="622"/>
        <v>0</v>
      </c>
      <c r="H906" s="522">
        <f t="shared" si="622"/>
        <v>0</v>
      </c>
      <c r="I906" s="522">
        <f t="shared" si="622"/>
        <v>0</v>
      </c>
      <c r="J906" s="522">
        <f t="shared" si="622"/>
        <v>0</v>
      </c>
      <c r="K906" s="522">
        <f t="shared" si="622"/>
        <v>0</v>
      </c>
      <c r="L906" s="522">
        <f t="shared" si="622"/>
        <v>0</v>
      </c>
      <c r="M906" s="522">
        <f t="shared" si="622"/>
        <v>0</v>
      </c>
      <c r="N906" s="522">
        <f t="shared" si="622"/>
        <v>0</v>
      </c>
      <c r="O906" s="410" t="s">
        <v>2429</v>
      </c>
    </row>
    <row r="907" spans="1:15" s="217" customFormat="1">
      <c r="D907" s="217" t="s">
        <v>905</v>
      </c>
      <c r="E907" s="427">
        <f>SUM(E875:E906)</f>
        <v>30955843.466136772</v>
      </c>
      <c r="F907" s="427">
        <f t="shared" ref="F907" si="623">SUM(F875:F906)</f>
        <v>30955843.466136772</v>
      </c>
      <c r="G907" s="427">
        <f t="shared" ref="G907" si="624">SUM(G875:G906)</f>
        <v>30955843.466136772</v>
      </c>
      <c r="H907" s="427">
        <f t="shared" ref="H907" si="625">SUM(H875:H906)</f>
        <v>30955843.466136772</v>
      </c>
      <c r="I907" s="427">
        <f t="shared" ref="I907:N907" si="626">SUM(I875:I906)</f>
        <v>30955843.466136772</v>
      </c>
      <c r="J907" s="427">
        <f t="shared" si="626"/>
        <v>30955843.466136772</v>
      </c>
      <c r="K907" s="427">
        <f t="shared" si="626"/>
        <v>30955843.466136772</v>
      </c>
      <c r="L907" s="427">
        <f t="shared" si="626"/>
        <v>30955843.466136772</v>
      </c>
      <c r="M907" s="427">
        <f t="shared" si="626"/>
        <v>30955843.466136772</v>
      </c>
      <c r="N907" s="427">
        <f t="shared" si="626"/>
        <v>30955843.466136772</v>
      </c>
      <c r="O907" s="217" t="s">
        <v>904</v>
      </c>
    </row>
    <row r="908" spans="1:15" s="217" customFormat="1">
      <c r="E908" s="409"/>
      <c r="F908" s="409"/>
      <c r="G908" s="409"/>
      <c r="H908" s="409"/>
      <c r="I908" s="409"/>
      <c r="J908" s="409"/>
      <c r="K908" s="409"/>
      <c r="L908" s="409"/>
      <c r="M908" s="409"/>
      <c r="N908" s="409"/>
    </row>
    <row r="909" spans="1:15">
      <c r="A909" s="217"/>
      <c r="B909" s="69">
        <v>14</v>
      </c>
      <c r="C909" s="217" t="s">
        <v>1278</v>
      </c>
      <c r="D909" s="217" t="s">
        <v>900</v>
      </c>
    </row>
    <row r="910" spans="1:15" s="217" customFormat="1">
      <c r="C910" s="217" t="s">
        <v>1736</v>
      </c>
      <c r="E910" s="409"/>
      <c r="F910" s="409"/>
      <c r="G910" s="409"/>
      <c r="H910" s="409"/>
      <c r="I910" s="409"/>
      <c r="J910" s="409"/>
      <c r="K910" s="409"/>
      <c r="L910" s="409"/>
      <c r="M910" s="409"/>
      <c r="N910" s="409"/>
    </row>
    <row r="911" spans="1:15" s="410" customFormat="1">
      <c r="D911" s="410" t="s">
        <v>1754</v>
      </c>
      <c r="E911" s="547">
        <f t="shared" ref="E911:N911" si="627">FORECAST(calcNPS,datatblNPSAttrition,datatblNPSScore)</f>
        <v>0.14946428571428572</v>
      </c>
      <c r="F911" s="547">
        <f t="shared" si="627"/>
        <v>0.14946428571428572</v>
      </c>
      <c r="G911" s="547">
        <f t="shared" si="627"/>
        <v>0.14946428571428572</v>
      </c>
      <c r="H911" s="547">
        <f t="shared" si="627"/>
        <v>0.14946428571428572</v>
      </c>
      <c r="I911" s="547">
        <f t="shared" si="627"/>
        <v>0.14946428571428572</v>
      </c>
      <c r="J911" s="547">
        <f t="shared" si="627"/>
        <v>0.14946428571428572</v>
      </c>
      <c r="K911" s="547">
        <f t="shared" si="627"/>
        <v>0.14946428571428572</v>
      </c>
      <c r="L911" s="547">
        <f t="shared" si="627"/>
        <v>0.14946428571428572</v>
      </c>
      <c r="M911" s="547">
        <f t="shared" si="627"/>
        <v>0.14946428571428572</v>
      </c>
      <c r="N911" s="547">
        <f t="shared" si="627"/>
        <v>0.14946428571428572</v>
      </c>
    </row>
    <row r="912" spans="1:15" s="410" customFormat="1">
      <c r="D912" s="410" t="s">
        <v>1753</v>
      </c>
      <c r="E912" s="547">
        <f>Data!$D$277</f>
        <v>0.1515124491492886</v>
      </c>
      <c r="F912" s="547">
        <f>Data!$D$277</f>
        <v>0.1515124491492886</v>
      </c>
      <c r="G912" s="547">
        <f>Data!$D$277</f>
        <v>0.1515124491492886</v>
      </c>
      <c r="H912" s="547">
        <f>Data!$D$277</f>
        <v>0.1515124491492886</v>
      </c>
      <c r="I912" s="547">
        <f>Data!$D$277</f>
        <v>0.1515124491492886</v>
      </c>
      <c r="J912" s="547">
        <f>Data!$D$277</f>
        <v>0.1515124491492886</v>
      </c>
      <c r="K912" s="547">
        <f>Data!$D$277</f>
        <v>0.1515124491492886</v>
      </c>
      <c r="L912" s="547">
        <f>Data!$D$277</f>
        <v>0.1515124491492886</v>
      </c>
      <c r="M912" s="547">
        <f>Data!$D$277</f>
        <v>0.1515124491492886</v>
      </c>
      <c r="N912" s="547">
        <f>Data!$D$277</f>
        <v>0.1515124491492886</v>
      </c>
    </row>
    <row r="913" spans="1:18" s="217" customFormat="1">
      <c r="D913" s="217" t="s">
        <v>1755</v>
      </c>
      <c r="E913" s="411">
        <f>E911-E912</f>
        <v>-2.0481634350028866E-3</v>
      </c>
      <c r="F913" s="411">
        <f t="shared" ref="F913" si="628">F911-F912</f>
        <v>-2.0481634350028866E-3</v>
      </c>
      <c r="G913" s="411">
        <f t="shared" ref="G913" si="629">G911-G912</f>
        <v>-2.0481634350028866E-3</v>
      </c>
      <c r="H913" s="411">
        <f t="shared" ref="H913" si="630">H911-H912</f>
        <v>-2.0481634350028866E-3</v>
      </c>
      <c r="I913" s="411">
        <f t="shared" ref="I913:N913" si="631">I911-I912</f>
        <v>-2.0481634350028866E-3</v>
      </c>
      <c r="J913" s="411">
        <f t="shared" si="631"/>
        <v>-2.0481634350028866E-3</v>
      </c>
      <c r="K913" s="411">
        <f t="shared" si="631"/>
        <v>-2.0481634350028866E-3</v>
      </c>
      <c r="L913" s="411">
        <f t="shared" si="631"/>
        <v>-2.0481634350028866E-3</v>
      </c>
      <c r="M913" s="411">
        <f t="shared" si="631"/>
        <v>-2.0481634350028866E-3</v>
      </c>
      <c r="N913" s="411">
        <f t="shared" si="631"/>
        <v>-2.0481634350028866E-3</v>
      </c>
      <c r="O913" s="217" t="s">
        <v>1760</v>
      </c>
    </row>
    <row r="914" spans="1:18" s="217" customFormat="1">
      <c r="C914" s="217" t="s">
        <v>1757</v>
      </c>
      <c r="E914" s="411"/>
      <c r="F914" s="411"/>
      <c r="G914" s="411"/>
      <c r="H914" s="411"/>
      <c r="I914" s="411"/>
      <c r="J914" s="411"/>
      <c r="K914" s="411"/>
      <c r="L914" s="411"/>
      <c r="M914" s="411"/>
      <c r="N914" s="411"/>
    </row>
    <row r="915" spans="1:18">
      <c r="D915" s="69" t="s">
        <v>1151</v>
      </c>
      <c r="E915" s="425">
        <f>IF(calcOrg62Timeline&lt;=$Q915,INDEX(datatblOrg62Timeline,MATCH(decGTMOrg62Timeline,Data!$C$106:$C$111,0),2),0)*paramOrg62Impacts</f>
        <v>0</v>
      </c>
      <c r="F915" s="425">
        <f>IF(calcOrg62Timeline&lt;=$Q915,INDEX(datatblOrg62Timeline,MATCH(decGTMOrg62Timeline,Data!$C$106:$C$111,0),2),0)*paramOrg62Impacts</f>
        <v>0</v>
      </c>
      <c r="G915" s="425">
        <f>IF(calcOrg62Timeline&lt;=$Q915,INDEX(datatblOrg62Timeline,MATCH(decGTMOrg62Timeline,Data!$C$106:$C$111,0),2),0)*paramOrg62Impacts</f>
        <v>0</v>
      </c>
      <c r="H915" s="425">
        <f>IF(calcOrg62Timeline&lt;=$Q915,INDEX(datatblOrg62Timeline,MATCH(decGTMOrg62Timeline,Data!$C$106:$C$111,0),2),0)*paramOrg62Impacts</f>
        <v>0</v>
      </c>
      <c r="I915" s="425">
        <f>IF(calcOrg62Timeline&lt;=$Q915,INDEX(datatblOrg62Timeline,MATCH(decGTMOrg62Timeline,Data!$C$106:$C$111,0),2),0)*paramOrg62Impacts</f>
        <v>0</v>
      </c>
      <c r="J915" s="425">
        <f>IF(calcOrg62Timeline&lt;=$Q915,INDEX(datatblOrg62Timeline,MATCH(decGTMOrg62Timeline,Data!$C$106:$C$111,0),2),0)*paramOrg62Impacts</f>
        <v>0</v>
      </c>
      <c r="K915" s="425">
        <f>IF(calcOrg62Timeline&lt;=$Q915,INDEX(datatblOrg62Timeline,MATCH(decGTMOrg62Timeline,Data!$C$106:$C$111,0),2),0)*paramOrg62Impacts</f>
        <v>0</v>
      </c>
      <c r="L915" s="425">
        <f>IF(calcOrg62Timeline&lt;=$Q915,INDEX(datatblOrg62Timeline,MATCH(decGTMOrg62Timeline,Data!$C$106:$C$111,0),2),0)*paramOrg62Impacts</f>
        <v>0</v>
      </c>
      <c r="M915" s="425">
        <f>IF(calcOrg62Timeline&lt;=$Q915,INDEX(datatblOrg62Timeline,MATCH(decGTMOrg62Timeline,Data!$C$106:$C$111,0),2),0)*paramOrg62Impacts</f>
        <v>0</v>
      </c>
      <c r="N915" s="425">
        <f>IF(calcOrg62Timeline&lt;=$Q915,INDEX(datatblOrg62Timeline,MATCH(decGTMOrg62Timeline,Data!$C$106:$C$111,0),2),0)*paramOrg62Impacts</f>
        <v>0</v>
      </c>
      <c r="Q915" s="69">
        <v>6</v>
      </c>
    </row>
    <row r="916" spans="1:18">
      <c r="D916" s="69" t="s">
        <v>507</v>
      </c>
      <c r="E916" s="425">
        <f>IF(calcProductTimeline&lt;=$Q916,INDEX(datatblStackFocusImpact,MATCH(decProductStackFocus,Data!$C$96:$C$101,0),2),0)+paramACVGrowthStack</f>
        <v>0</v>
      </c>
      <c r="F916" s="425">
        <f>IF(calcProductTimeline&lt;=$Q916,INDEX(datatblStackFocusImpact,MATCH(decProductStackFocus,Data!$C$96:$C$101,0),2),0)+paramACVGrowthStack</f>
        <v>0</v>
      </c>
      <c r="G916" s="425">
        <f>IF(calcProductTimeline&lt;=$Q916,INDEX(datatblStackFocusImpact,MATCH(decProductStackFocus,Data!$C$96:$C$101,0),2),0)+paramACVGrowthStack</f>
        <v>0</v>
      </c>
      <c r="H916" s="425">
        <f>IF(calcProductTimeline&lt;=$Q916,INDEX(datatblStackFocusImpact,MATCH(decProductStackFocus,Data!$C$96:$C$101,0),2),0)+paramACVGrowthStack</f>
        <v>0</v>
      </c>
      <c r="I916" s="425">
        <f>IF(calcProductTimeline&lt;=$Q916,INDEX(datatblStackFocusImpact,MATCH(decProductStackFocus,Data!$C$96:$C$101,0),2),0)+paramACVGrowthStack</f>
        <v>0</v>
      </c>
      <c r="J916" s="425">
        <f>IF(calcProductTimeline&lt;=$Q916,INDEX(datatblStackFocusImpact,MATCH(decProductStackFocus,Data!$C$96:$C$101,0),2),0)+paramACVGrowthStack</f>
        <v>0</v>
      </c>
      <c r="K916" s="425">
        <f>IF(calcProductTimeline&lt;=$Q916,INDEX(datatblStackFocusImpact,MATCH(decProductStackFocus,Data!$C$96:$C$101,0),2),0)+paramACVGrowthStack</f>
        <v>0</v>
      </c>
      <c r="L916" s="425">
        <f>IF(calcProductTimeline&lt;=$Q916,INDEX(datatblStackFocusImpact,MATCH(decProductStackFocus,Data!$C$96:$C$101,0),2),0)+paramACVGrowthStack</f>
        <v>0</v>
      </c>
      <c r="M916" s="425">
        <f>IF(calcProductTimeline&lt;=$Q916,INDEX(datatblStackFocusImpact,MATCH(decProductStackFocus,Data!$C$96:$C$101,0),2),0)+paramACVGrowthStack</f>
        <v>0</v>
      </c>
      <c r="N916" s="425">
        <f>IF(calcProductTimeline&lt;=$Q916,INDEX(datatblStackFocusImpact,MATCH(decProductStackFocus,Data!$C$96:$C$101,0),2),0)+paramACVGrowthStack</f>
        <v>0</v>
      </c>
      <c r="Q916" s="69">
        <f>Q915</f>
        <v>6</v>
      </c>
    </row>
    <row r="917" spans="1:18">
      <c r="D917" s="69" t="s">
        <v>2237</v>
      </c>
      <c r="E917" s="425">
        <f>IF(calcExternalSalesTimeline&lt;=$Q917,INDEX(datatblExternalSalesImpact,MATCH(decGTMExternalSales,Data!$C$85:$C$90,0),2),0)</f>
        <v>0</v>
      </c>
      <c r="F917" s="425">
        <f>IF(calcExternalSalesTimeline&lt;=$Q917,INDEX(datatblExternalSalesImpact,MATCH(decGTMExternalSales,Data!$C$85:$C$90,0),2),0)</f>
        <v>0</v>
      </c>
      <c r="G917" s="425">
        <f>IF(calcExternalSalesTimeline&lt;=$Q917,INDEX(datatblExternalSalesImpact,MATCH(decGTMExternalSales,Data!$C$85:$C$90,0),2),0)</f>
        <v>0</v>
      </c>
      <c r="H917" s="425">
        <f>IF(calcExternalSalesTimeline&lt;=$Q917,INDEX(datatblExternalSalesImpact,MATCH(decGTMExternalSales,Data!$C$85:$C$90,0),2),0)</f>
        <v>0</v>
      </c>
      <c r="I917" s="425">
        <f>IF(calcExternalSalesTimeline&lt;=$Q917,INDEX(datatblExternalSalesImpact,MATCH(decGTMExternalSales,Data!$C$85:$C$90,0),2),0)</f>
        <v>0</v>
      </c>
      <c r="J917" s="425">
        <f>IF(calcExternalSalesTimeline&lt;=$Q917,INDEX(datatblExternalSalesImpact,MATCH(decGTMExternalSales,Data!$C$85:$C$90,0),2),0)</f>
        <v>0</v>
      </c>
      <c r="K917" s="425">
        <f>IF(calcExternalSalesTimeline&lt;=$Q917,INDEX(datatblExternalSalesImpact,MATCH(decGTMExternalSales,Data!$C$85:$C$90,0),2),0)</f>
        <v>0</v>
      </c>
      <c r="L917" s="425">
        <f>IF(calcExternalSalesTimeline&lt;=$Q917,INDEX(datatblExternalSalesImpact,MATCH(decGTMExternalSales,Data!$C$85:$C$90,0),2),0)</f>
        <v>0</v>
      </c>
      <c r="M917" s="425">
        <f>IF(calcExternalSalesTimeline&lt;=$Q917,INDEX(datatblExternalSalesImpact,MATCH(decGTMExternalSales,Data!$C$85:$C$90,0),2),0)</f>
        <v>0</v>
      </c>
      <c r="N917" s="425">
        <f>IF(calcExternalSalesTimeline&lt;=$Q917,INDEX(datatblExternalSalesImpact,MATCH(decGTMExternalSales,Data!$C$85:$C$90,0),2),0)</f>
        <v>0</v>
      </c>
      <c r="O917" s="482"/>
      <c r="P917" s="482"/>
      <c r="Q917" s="69">
        <f>Q916</f>
        <v>6</v>
      </c>
    </row>
    <row r="918" spans="1:18">
      <c r="D918" s="69" t="s">
        <v>2284</v>
      </c>
      <c r="E918" s="425">
        <f>IF(calcCSGTimeline&lt;=$Q918,INDEX(datatblCSGPostSales,MATCH(decGTMCSGPostSales,Data!$C$204:$C$209,0),3),0)</f>
        <v>0</v>
      </c>
      <c r="F918" s="425">
        <f>IF(calcCSGTimeline&lt;=$Q918,INDEX(datatblCSGPostSales,MATCH(decGTMCSGPostSales,Data!$C$204:$C$209,0),3),0)</f>
        <v>0</v>
      </c>
      <c r="G918" s="425">
        <f>IF(calcCSGTimeline&lt;=$Q918,INDEX(datatblCSGPostSales,MATCH(decGTMCSGPostSales,Data!$C$204:$C$209,0),3),0)</f>
        <v>0</v>
      </c>
      <c r="H918" s="425">
        <f>IF(calcCSGTimeline&lt;=$Q918,INDEX(datatblCSGPostSales,MATCH(decGTMCSGPostSales,Data!$C$204:$C$209,0),3),0)</f>
        <v>0</v>
      </c>
      <c r="I918" s="425">
        <f>IF(calcCSGTimeline&lt;=$Q918,INDEX(datatblCSGPostSales,MATCH(decGTMCSGPostSales,Data!$C$204:$C$209,0),3),0)</f>
        <v>0</v>
      </c>
      <c r="J918" s="425">
        <f>IF(calcCSGTimeline&lt;=$Q918,INDEX(datatblCSGPostSales,MATCH(decGTMCSGPostSales,Data!$C$204:$C$209,0),3),0)</f>
        <v>0</v>
      </c>
      <c r="K918" s="425">
        <f>IF(calcCSGTimeline&lt;=$Q918,INDEX(datatblCSGPostSales,MATCH(decGTMCSGPostSales,Data!$C$204:$C$209,0),3),0)</f>
        <v>0</v>
      </c>
      <c r="L918" s="425">
        <f>IF(calcCSGTimeline&lt;=$Q918,INDEX(datatblCSGPostSales,MATCH(decGTMCSGPostSales,Data!$C$204:$C$209,0),3),0)</f>
        <v>0</v>
      </c>
      <c r="M918" s="425">
        <f>IF(calcCSGTimeline&lt;=$Q918,INDEX(datatblCSGPostSales,MATCH(decGTMCSGPostSales,Data!$C$204:$C$209,0),3),0)</f>
        <v>0</v>
      </c>
      <c r="N918" s="425">
        <f>IF(calcCSGTimeline&lt;=$Q918,INDEX(datatblCSGPostSales,MATCH(decGTMCSGPostSales,Data!$C$204:$C$209,0),3),0)</f>
        <v>0</v>
      </c>
      <c r="O918" s="482"/>
      <c r="P918" s="482"/>
      <c r="Q918" s="69">
        <f>Q917</f>
        <v>6</v>
      </c>
    </row>
    <row r="919" spans="1:18">
      <c r="D919" s="69" t="s">
        <v>3079</v>
      </c>
      <c r="E919" s="425">
        <f>IF(calcBrandIntegrationTimeline&lt;=$Q919,INDEX(datatblBrandIntegration,MATCH(decGTMBrandIntegration,Data!$C$220:$C$226,0),3),0)</f>
        <v>0</v>
      </c>
      <c r="F919" s="425">
        <f>IF(calcBrandIntegrationTimeline&lt;=$Q919,INDEX(datatblBrandIntegration,MATCH(decGTMBrandIntegration,Data!$C$220:$C$226,0),3),0)</f>
        <v>0</v>
      </c>
      <c r="G919" s="425">
        <f>IF(calcBrandIntegrationTimeline&lt;=$Q919,INDEX(datatblBrandIntegration,MATCH(decGTMBrandIntegration,Data!$C$220:$C$226,0),3),0)</f>
        <v>0</v>
      </c>
      <c r="H919" s="425">
        <f>IF(calcBrandIntegrationTimeline&lt;=$Q919,INDEX(datatblBrandIntegration,MATCH(decGTMBrandIntegration,Data!$C$220:$C$226,0),3),0)</f>
        <v>0</v>
      </c>
      <c r="I919" s="425">
        <f>IF(calcBrandIntegrationTimeline&lt;=$Q919,INDEX(datatblBrandIntegration,MATCH(decGTMBrandIntegration,Data!$C$220:$C$226,0),3),0)</f>
        <v>0</v>
      </c>
      <c r="J919" s="425">
        <f>IF(calcBrandIntegrationTimeline&lt;=$Q919,INDEX(datatblBrandIntegration,MATCH(decGTMBrandIntegration,Data!$C$220:$C$226,0),3),0)</f>
        <v>0</v>
      </c>
      <c r="K919" s="425">
        <f>IF(calcBrandIntegrationTimeline&lt;=$Q919,INDEX(datatblBrandIntegration,MATCH(decGTMBrandIntegration,Data!$C$220:$C$226,0),3),0)</f>
        <v>0</v>
      </c>
      <c r="L919" s="425">
        <f>IF(calcBrandIntegrationTimeline&lt;=$Q919,INDEX(datatblBrandIntegration,MATCH(decGTMBrandIntegration,Data!$C$220:$C$226,0),3),0)</f>
        <v>0</v>
      </c>
      <c r="M919" s="425">
        <f>IF(calcBrandIntegrationTimeline&lt;=$Q919,INDEX(datatblBrandIntegration,MATCH(decGTMBrandIntegration,Data!$C$220:$C$226,0),3),0)</f>
        <v>0</v>
      </c>
      <c r="N919" s="425">
        <f>IF(calcBrandIntegrationTimeline&lt;=$Q919,INDEX(datatblBrandIntegration,MATCH(decGTMBrandIntegration,Data!$C$220:$C$226,0),3),0)</f>
        <v>0</v>
      </c>
      <c r="O919" s="482"/>
      <c r="P919" s="482"/>
      <c r="Q919" s="69">
        <f>Q918</f>
        <v>6</v>
      </c>
    </row>
    <row r="920" spans="1:18">
      <c r="D920" s="69" t="s">
        <v>2277</v>
      </c>
      <c r="E920" s="425">
        <f>IF(decGTMOrg62Timeline="choose",0,IF(E915=0,INDEX(datatblLeadPass,MATCH(decGTMLeadPass,Data!$C$212:$C$217,0),3),0))</f>
        <v>0</v>
      </c>
      <c r="F920" s="425">
        <f>IF(decGTMOrg62Timeline="choose",0,IF(F915=0,INDEX(datatblLeadPass,MATCH(decGTMLeadPass,Data!$C$212:$C$217,0),3),0))</f>
        <v>0</v>
      </c>
      <c r="G920" s="425">
        <f>IF(decGTMOrg62Timeline="choose",0,IF(G915=0,INDEX(datatblLeadPass,MATCH(decGTMLeadPass,Data!$C$212:$C$217,0),3),0))</f>
        <v>0</v>
      </c>
      <c r="H920" s="425">
        <f>IF(decGTMOrg62Timeline="choose",0,IF(H915=0,INDEX(datatblLeadPass,MATCH(decGTMLeadPass,Data!$C$212:$C$217,0),3),0))</f>
        <v>0</v>
      </c>
      <c r="I920" s="425">
        <f>IF(decGTMOrg62Timeline="choose",0,IF(I915=0,INDEX(datatblLeadPass,MATCH(decGTMLeadPass,Data!$C$212:$C$217,0),3),0))</f>
        <v>0</v>
      </c>
      <c r="J920" s="425">
        <f>IF(decGTMOrg62Timeline="choose",0,IF(J915=0,INDEX(datatblLeadPass,MATCH(decGTMLeadPass,Data!$C$212:$C$217,0),3),0))</f>
        <v>0</v>
      </c>
      <c r="K920" s="425">
        <f>IF(decGTMOrg62Timeline="choose",0,IF(K915=0,INDEX(datatblLeadPass,MATCH(decGTMLeadPass,Data!$C$212:$C$217,0),3),0))</f>
        <v>0</v>
      </c>
      <c r="L920" s="425">
        <f>IF(decGTMOrg62Timeline="choose",0,IF(L915=0,INDEX(datatblLeadPass,MATCH(decGTMLeadPass,Data!$C$212:$C$217,0),3),0))</f>
        <v>0</v>
      </c>
      <c r="M920" s="425">
        <f>IF(decGTMOrg62Timeline="choose",0,IF(M915=0,INDEX(datatblLeadPass,MATCH(decGTMLeadPass,Data!$C$212:$C$217,0),3),0))</f>
        <v>0</v>
      </c>
      <c r="N920" s="425">
        <f>IF(decGTMOrg62Timeline="choose",0,IF(N915=0,INDEX(datatblLeadPass,MATCH(decGTMLeadPass,Data!$C$212:$C$217,0),3),0))</f>
        <v>0</v>
      </c>
      <c r="O920" s="482"/>
      <c r="P920" s="482"/>
    </row>
    <row r="921" spans="1:18">
      <c r="D921" s="69" t="s">
        <v>1032</v>
      </c>
      <c r="E921" s="425">
        <f t="shared" ref="E921:N921" si="632">IF(decSecurityProductRestrictions="Yes",$Q921,IF(decSecurityProductRestrictions="No",$R921,$S921))</f>
        <v>0</v>
      </c>
      <c r="F921" s="425">
        <f t="shared" si="632"/>
        <v>0</v>
      </c>
      <c r="G921" s="425">
        <f t="shared" si="632"/>
        <v>0</v>
      </c>
      <c r="H921" s="425">
        <f t="shared" si="632"/>
        <v>0</v>
      </c>
      <c r="I921" s="425">
        <f t="shared" si="632"/>
        <v>0</v>
      </c>
      <c r="J921" s="425">
        <f t="shared" si="632"/>
        <v>0</v>
      </c>
      <c r="K921" s="425">
        <f t="shared" si="632"/>
        <v>0</v>
      </c>
      <c r="L921" s="425">
        <f t="shared" si="632"/>
        <v>0</v>
      </c>
      <c r="M921" s="425">
        <f t="shared" si="632"/>
        <v>0</v>
      </c>
      <c r="N921" s="425">
        <f t="shared" si="632"/>
        <v>0</v>
      </c>
      <c r="Q921" s="482">
        <f>xxProductRestrictionACVHit</f>
        <v>-0.02</v>
      </c>
      <c r="R921" s="482">
        <f>xxProductRestrictionACVIncrease</f>
        <v>0.02</v>
      </c>
    </row>
    <row r="922" spans="1:18" s="217" customFormat="1">
      <c r="D922" s="217" t="s">
        <v>1758</v>
      </c>
      <c r="E922" s="411">
        <f t="shared" ref="E922:N922" si="633">SUM(E915:E921)+paramACVGrowthBaseline</f>
        <v>0</v>
      </c>
      <c r="F922" s="411">
        <f t="shared" si="633"/>
        <v>0</v>
      </c>
      <c r="G922" s="411">
        <f t="shared" si="633"/>
        <v>0</v>
      </c>
      <c r="H922" s="411">
        <f t="shared" si="633"/>
        <v>0</v>
      </c>
      <c r="I922" s="411">
        <f t="shared" si="633"/>
        <v>0</v>
      </c>
      <c r="J922" s="411">
        <f t="shared" si="633"/>
        <v>0</v>
      </c>
      <c r="K922" s="411">
        <f t="shared" si="633"/>
        <v>0</v>
      </c>
      <c r="L922" s="411">
        <f t="shared" si="633"/>
        <v>0</v>
      </c>
      <c r="M922" s="411">
        <f t="shared" si="633"/>
        <v>0</v>
      </c>
      <c r="N922" s="411">
        <f t="shared" si="633"/>
        <v>0</v>
      </c>
      <c r="O922" s="217" t="s">
        <v>1761</v>
      </c>
    </row>
    <row r="923" spans="1:18" s="217" customFormat="1">
      <c r="E923" s="411"/>
      <c r="F923" s="411"/>
      <c r="G923" s="411"/>
      <c r="H923" s="411"/>
      <c r="I923" s="411"/>
      <c r="J923" s="411"/>
      <c r="K923" s="411"/>
      <c r="L923" s="411"/>
      <c r="M923" s="411"/>
      <c r="N923" s="411"/>
    </row>
    <row r="924" spans="1:18" s="217" customFormat="1">
      <c r="A924" s="217">
        <v>1</v>
      </c>
      <c r="B924" s="10" t="s">
        <v>1735</v>
      </c>
      <c r="C924" s="11" t="s">
        <v>899</v>
      </c>
      <c r="D924" s="217">
        <f>IF(A924=B909,"New Revenue Adjustments",IF(AND(C924=D909,A924&lt;B909),"Attrition Necessary",0))</f>
        <v>0</v>
      </c>
      <c r="E924" s="522">
        <f t="shared" ref="E924:N933" si="634">IF($B$909&gt;$A924,INDEX(calcY1Q1RevFlow,$A924,calcTeamNum)*(IF($D924="Attrition Necessary",1-calcQ2AttritionDifference,1)*(IF($D924="New Revenue Adjustments",1+calcQ2RevenueAdjustment,1))),INDEX(dataY1Q2Rev,$A924,)*(IF($D924="Attrition Necessary",1-calcQ2AttritionDifference,1))*(IF($D924="New Revenue Adjustments",1+calcQ2RevenueAdjustment,1)))</f>
        <v>919792.217204349</v>
      </c>
      <c r="F924" s="522">
        <f t="shared" si="634"/>
        <v>919792.217204349</v>
      </c>
      <c r="G924" s="522">
        <f t="shared" si="634"/>
        <v>919792.217204349</v>
      </c>
      <c r="H924" s="522">
        <f t="shared" si="634"/>
        <v>919792.217204349</v>
      </c>
      <c r="I924" s="522">
        <f t="shared" si="634"/>
        <v>919792.217204349</v>
      </c>
      <c r="J924" s="522">
        <f t="shared" si="634"/>
        <v>919792.217204349</v>
      </c>
      <c r="K924" s="522">
        <f t="shared" si="634"/>
        <v>919792.217204349</v>
      </c>
      <c r="L924" s="522">
        <f t="shared" si="634"/>
        <v>919792.217204349</v>
      </c>
      <c r="M924" s="522">
        <f t="shared" si="634"/>
        <v>919792.217204349</v>
      </c>
      <c r="N924" s="522">
        <f t="shared" si="634"/>
        <v>919792.217204349</v>
      </c>
      <c r="O924" s="410" t="s">
        <v>1795</v>
      </c>
    </row>
    <row r="925" spans="1:18" s="217" customFormat="1">
      <c r="A925" s="217">
        <v>2</v>
      </c>
      <c r="B925" s="10" t="s">
        <v>1735</v>
      </c>
      <c r="C925" s="11" t="s">
        <v>900</v>
      </c>
      <c r="D925" s="217" t="str">
        <f>IF(A925=B909,"New Revenue Adjustments",IF(AND(C925=D909,A925&lt;B909),"Attrition Necessary",0))</f>
        <v>Attrition Necessary</v>
      </c>
      <c r="E925" s="522">
        <f t="shared" si="634"/>
        <v>1623162.7362429691</v>
      </c>
      <c r="F925" s="522">
        <f t="shared" si="634"/>
        <v>1623162.7362429691</v>
      </c>
      <c r="G925" s="522">
        <f t="shared" si="634"/>
        <v>1623162.7362429691</v>
      </c>
      <c r="H925" s="522">
        <f t="shared" si="634"/>
        <v>1623162.7362429691</v>
      </c>
      <c r="I925" s="522">
        <f t="shared" si="634"/>
        <v>1623162.7362429691</v>
      </c>
      <c r="J925" s="522">
        <f t="shared" si="634"/>
        <v>1623162.7362429691</v>
      </c>
      <c r="K925" s="522">
        <f t="shared" si="634"/>
        <v>1623162.7362429691</v>
      </c>
      <c r="L925" s="522">
        <f t="shared" si="634"/>
        <v>1623162.7362429691</v>
      </c>
      <c r="M925" s="522">
        <f t="shared" si="634"/>
        <v>1623162.7362429691</v>
      </c>
      <c r="N925" s="522">
        <f t="shared" si="634"/>
        <v>1623162.7362429691</v>
      </c>
      <c r="O925" s="410" t="s">
        <v>1796</v>
      </c>
    </row>
    <row r="926" spans="1:18" s="217" customFormat="1">
      <c r="A926" s="217">
        <v>3</v>
      </c>
      <c r="B926" s="10" t="s">
        <v>1735</v>
      </c>
      <c r="C926" s="11" t="s">
        <v>901</v>
      </c>
      <c r="D926" s="217">
        <f>IF(A926=B909,"New Revenue Adjustments",IF(AND(C926=D909,A926&lt;B909),"Attrition Necessary",0))</f>
        <v>0</v>
      </c>
      <c r="E926" s="522">
        <f t="shared" si="634"/>
        <v>2159793.3718459154</v>
      </c>
      <c r="F926" s="522">
        <f t="shared" si="634"/>
        <v>2159793.3718459154</v>
      </c>
      <c r="G926" s="522">
        <f t="shared" si="634"/>
        <v>2159793.3718459154</v>
      </c>
      <c r="H926" s="522">
        <f t="shared" si="634"/>
        <v>2159793.3718459154</v>
      </c>
      <c r="I926" s="522">
        <f t="shared" si="634"/>
        <v>2159793.3718459154</v>
      </c>
      <c r="J926" s="522">
        <f t="shared" si="634"/>
        <v>2159793.3718459154</v>
      </c>
      <c r="K926" s="522">
        <f t="shared" si="634"/>
        <v>2159793.3718459154</v>
      </c>
      <c r="L926" s="522">
        <f t="shared" si="634"/>
        <v>2159793.3718459154</v>
      </c>
      <c r="M926" s="522">
        <f t="shared" si="634"/>
        <v>2159793.3718459154</v>
      </c>
      <c r="N926" s="522">
        <f t="shared" si="634"/>
        <v>2159793.3718459154</v>
      </c>
      <c r="O926" s="410" t="s">
        <v>1797</v>
      </c>
    </row>
    <row r="927" spans="1:18" s="217" customFormat="1">
      <c r="A927" s="217">
        <v>4</v>
      </c>
      <c r="B927" s="10" t="s">
        <v>1735</v>
      </c>
      <c r="C927" s="11" t="s">
        <v>902</v>
      </c>
      <c r="D927" s="217">
        <f>IF(A927=B909,"New Revenue Adjustments",IF(AND(C927=D909,A927&lt;B909),"Attrition Necessary",0))</f>
        <v>0</v>
      </c>
      <c r="E927" s="522">
        <f t="shared" si="634"/>
        <v>2699741.7148073944</v>
      </c>
      <c r="F927" s="522">
        <f t="shared" si="634"/>
        <v>2699741.7148073944</v>
      </c>
      <c r="G927" s="522">
        <f t="shared" si="634"/>
        <v>2699741.7148073944</v>
      </c>
      <c r="H927" s="522">
        <f t="shared" si="634"/>
        <v>2699741.7148073944</v>
      </c>
      <c r="I927" s="522">
        <f t="shared" si="634"/>
        <v>2699741.7148073944</v>
      </c>
      <c r="J927" s="522">
        <f t="shared" si="634"/>
        <v>2699741.7148073944</v>
      </c>
      <c r="K927" s="522">
        <f t="shared" si="634"/>
        <v>2699741.7148073944</v>
      </c>
      <c r="L927" s="522">
        <f t="shared" si="634"/>
        <v>2699741.7148073944</v>
      </c>
      <c r="M927" s="522">
        <f t="shared" si="634"/>
        <v>2699741.7148073944</v>
      </c>
      <c r="N927" s="522">
        <f t="shared" si="634"/>
        <v>2699741.7148073944</v>
      </c>
      <c r="O927" s="410" t="s">
        <v>1798</v>
      </c>
    </row>
    <row r="928" spans="1:18" s="217" customFormat="1">
      <c r="A928" s="217">
        <v>5</v>
      </c>
      <c r="B928" s="10" t="s">
        <v>1729</v>
      </c>
      <c r="C928" s="11" t="s">
        <v>899</v>
      </c>
      <c r="D928" s="217">
        <f>IF(A928=B909,"New Revenue Adjustments",IF(AND(C928=D909,A928&lt;B909),"Attrition Necessary",0))</f>
        <v>0</v>
      </c>
      <c r="E928" s="522">
        <f t="shared" si="634"/>
        <v>1082108.4908286459</v>
      </c>
      <c r="F928" s="522">
        <f t="shared" si="634"/>
        <v>1082108.4908286459</v>
      </c>
      <c r="G928" s="522">
        <f t="shared" si="634"/>
        <v>1082108.4908286459</v>
      </c>
      <c r="H928" s="522">
        <f t="shared" si="634"/>
        <v>1082108.4908286459</v>
      </c>
      <c r="I928" s="522">
        <f t="shared" si="634"/>
        <v>1082108.4908286459</v>
      </c>
      <c r="J928" s="522">
        <f t="shared" si="634"/>
        <v>1082108.4908286459</v>
      </c>
      <c r="K928" s="522">
        <f t="shared" si="634"/>
        <v>1082108.4908286459</v>
      </c>
      <c r="L928" s="522">
        <f t="shared" si="634"/>
        <v>1082108.4908286459</v>
      </c>
      <c r="M928" s="522">
        <f t="shared" si="634"/>
        <v>1082108.4908286459</v>
      </c>
      <c r="N928" s="522">
        <f t="shared" si="634"/>
        <v>1082108.4908286459</v>
      </c>
      <c r="O928" s="410" t="s">
        <v>1799</v>
      </c>
    </row>
    <row r="929" spans="1:15" s="217" customFormat="1">
      <c r="A929" s="217">
        <v>6</v>
      </c>
      <c r="B929" s="10" t="s">
        <v>1729</v>
      </c>
      <c r="C929" s="11" t="s">
        <v>900</v>
      </c>
      <c r="D929" s="217" t="str">
        <f>IF(A929=B909,"New Revenue Adjustments",IF(AND(C929=D909,A929&lt;B909),"Attrition Necessary",0))</f>
        <v>Attrition Necessary</v>
      </c>
      <c r="E929" s="522">
        <f t="shared" si="634"/>
        <v>1558746.552050268</v>
      </c>
      <c r="F929" s="522">
        <f t="shared" si="634"/>
        <v>1558746.552050268</v>
      </c>
      <c r="G929" s="522">
        <f t="shared" si="634"/>
        <v>1558746.552050268</v>
      </c>
      <c r="H929" s="522">
        <f t="shared" si="634"/>
        <v>1558746.552050268</v>
      </c>
      <c r="I929" s="522">
        <f t="shared" si="634"/>
        <v>1558746.552050268</v>
      </c>
      <c r="J929" s="522">
        <f t="shared" si="634"/>
        <v>1558746.552050268</v>
      </c>
      <c r="K929" s="522">
        <f t="shared" si="634"/>
        <v>1558746.552050268</v>
      </c>
      <c r="L929" s="522">
        <f t="shared" si="634"/>
        <v>1558746.552050268</v>
      </c>
      <c r="M929" s="522">
        <f t="shared" si="634"/>
        <v>1558746.552050268</v>
      </c>
      <c r="N929" s="522">
        <f t="shared" si="634"/>
        <v>1558746.552050268</v>
      </c>
      <c r="O929" s="410" t="s">
        <v>1800</v>
      </c>
    </row>
    <row r="930" spans="1:15" s="217" customFormat="1">
      <c r="A930" s="217">
        <v>7</v>
      </c>
      <c r="B930" s="10" t="s">
        <v>1729</v>
      </c>
      <c r="C930" s="11" t="s">
        <v>901</v>
      </c>
      <c r="D930" s="217">
        <f>IF(A930=B909,"New Revenue Adjustments",IF(AND(C930=D909,A930&lt;B909),"Attrition Necessary",0))</f>
        <v>0</v>
      </c>
      <c r="E930" s="522">
        <f t="shared" si="634"/>
        <v>2404048.0607436826</v>
      </c>
      <c r="F930" s="522">
        <f t="shared" si="634"/>
        <v>2404048.0607436826</v>
      </c>
      <c r="G930" s="522">
        <f t="shared" si="634"/>
        <v>2404048.0607436826</v>
      </c>
      <c r="H930" s="522">
        <f t="shared" si="634"/>
        <v>2404048.0607436826</v>
      </c>
      <c r="I930" s="522">
        <f t="shared" si="634"/>
        <v>2404048.0607436826</v>
      </c>
      <c r="J930" s="522">
        <f t="shared" si="634"/>
        <v>2404048.0607436826</v>
      </c>
      <c r="K930" s="522">
        <f t="shared" si="634"/>
        <v>2404048.0607436826</v>
      </c>
      <c r="L930" s="522">
        <f t="shared" si="634"/>
        <v>2404048.0607436826</v>
      </c>
      <c r="M930" s="522">
        <f t="shared" si="634"/>
        <v>2404048.0607436826</v>
      </c>
      <c r="N930" s="522">
        <f t="shared" si="634"/>
        <v>2404048.0607436826</v>
      </c>
      <c r="O930" s="410" t="s">
        <v>1801</v>
      </c>
    </row>
    <row r="931" spans="1:15" s="217" customFormat="1">
      <c r="A931" s="217">
        <v>8</v>
      </c>
      <c r="B931" s="10" t="s">
        <v>1729</v>
      </c>
      <c r="C931" s="11" t="s">
        <v>902</v>
      </c>
      <c r="D931" s="217">
        <f>IF(A931=B909,"New Revenue Adjustments",IF(AND(C931=D909,A931&lt;B909),"Attrition Necessary",0))</f>
        <v>0</v>
      </c>
      <c r="E931" s="522">
        <f t="shared" si="634"/>
        <v>3535364.7952112975</v>
      </c>
      <c r="F931" s="522">
        <f t="shared" si="634"/>
        <v>3535364.7952112975</v>
      </c>
      <c r="G931" s="522">
        <f t="shared" si="634"/>
        <v>3535364.7952112975</v>
      </c>
      <c r="H931" s="522">
        <f t="shared" si="634"/>
        <v>3535364.7952112975</v>
      </c>
      <c r="I931" s="522">
        <f t="shared" si="634"/>
        <v>3535364.7952112975</v>
      </c>
      <c r="J931" s="522">
        <f t="shared" si="634"/>
        <v>3535364.7952112975</v>
      </c>
      <c r="K931" s="522">
        <f t="shared" si="634"/>
        <v>3535364.7952112975</v>
      </c>
      <c r="L931" s="522">
        <f t="shared" si="634"/>
        <v>3535364.7952112975</v>
      </c>
      <c r="M931" s="522">
        <f t="shared" si="634"/>
        <v>3535364.7952112975</v>
      </c>
      <c r="N931" s="522">
        <f t="shared" si="634"/>
        <v>3535364.7952112975</v>
      </c>
      <c r="O931" s="410" t="s">
        <v>1802</v>
      </c>
    </row>
    <row r="932" spans="1:15" s="217" customFormat="1">
      <c r="A932" s="217">
        <v>9</v>
      </c>
      <c r="B932" s="10" t="s">
        <v>405</v>
      </c>
      <c r="C932" s="11" t="s">
        <v>899</v>
      </c>
      <c r="D932" s="217">
        <f>IF(A932=B909,"New Revenue Adjustments",IF(AND(C932=D909,A932&lt;B909),"Attrition Necessary",0))</f>
        <v>0</v>
      </c>
      <c r="E932" s="522">
        <f t="shared" si="634"/>
        <v>1594172.6100514105</v>
      </c>
      <c r="F932" s="522">
        <f t="shared" si="634"/>
        <v>1594172.6100514105</v>
      </c>
      <c r="G932" s="522">
        <f t="shared" si="634"/>
        <v>1594172.6100514105</v>
      </c>
      <c r="H932" s="522">
        <f t="shared" si="634"/>
        <v>1594172.6100514105</v>
      </c>
      <c r="I932" s="522">
        <f t="shared" si="634"/>
        <v>1594172.6100514105</v>
      </c>
      <c r="J932" s="522">
        <f t="shared" si="634"/>
        <v>1594172.6100514105</v>
      </c>
      <c r="K932" s="522">
        <f t="shared" si="634"/>
        <v>1594172.6100514105</v>
      </c>
      <c r="L932" s="522">
        <f t="shared" si="634"/>
        <v>1594172.6100514105</v>
      </c>
      <c r="M932" s="522">
        <f t="shared" si="634"/>
        <v>1594172.6100514105</v>
      </c>
      <c r="N932" s="522">
        <f t="shared" si="634"/>
        <v>1594172.6100514105</v>
      </c>
      <c r="O932" s="410" t="s">
        <v>1803</v>
      </c>
    </row>
    <row r="933" spans="1:15" s="217" customFormat="1">
      <c r="A933" s="217">
        <v>10</v>
      </c>
      <c r="B933" s="10" t="s">
        <v>405</v>
      </c>
      <c r="C933" s="11" t="s">
        <v>900</v>
      </c>
      <c r="D933" s="217" t="str">
        <f>IF(A933=B909,"New Revenue Adjustments",IF(AND(C933=D909,A933&lt;B909),"Attrition Necessary",0))</f>
        <v>Attrition Necessary</v>
      </c>
      <c r="E933" s="522">
        <f t="shared" si="634"/>
        <v>2296360.3745385483</v>
      </c>
      <c r="F933" s="522">
        <f t="shared" si="634"/>
        <v>2296360.3745385483</v>
      </c>
      <c r="G933" s="522">
        <f t="shared" si="634"/>
        <v>2296360.3745385483</v>
      </c>
      <c r="H933" s="522">
        <f t="shared" si="634"/>
        <v>2296360.3745385483</v>
      </c>
      <c r="I933" s="522">
        <f t="shared" si="634"/>
        <v>2296360.3745385483</v>
      </c>
      <c r="J933" s="522">
        <f t="shared" si="634"/>
        <v>2296360.3745385483</v>
      </c>
      <c r="K933" s="522">
        <f t="shared" si="634"/>
        <v>2296360.3745385483</v>
      </c>
      <c r="L933" s="522">
        <f t="shared" si="634"/>
        <v>2296360.3745385483</v>
      </c>
      <c r="M933" s="522">
        <f t="shared" si="634"/>
        <v>2296360.3745385483</v>
      </c>
      <c r="N933" s="522">
        <f t="shared" si="634"/>
        <v>2296360.3745385483</v>
      </c>
      <c r="O933" s="410" t="s">
        <v>1804</v>
      </c>
    </row>
    <row r="934" spans="1:15" s="217" customFormat="1">
      <c r="A934" s="217">
        <v>11</v>
      </c>
      <c r="B934" s="10" t="s">
        <v>405</v>
      </c>
      <c r="C934" s="11" t="s">
        <v>901</v>
      </c>
      <c r="D934" s="217">
        <f>IF(A934=B909,"New Revenue Adjustments",IF(AND(C934=D909,A934&lt;B909),"Attrition Necessary",0))</f>
        <v>0</v>
      </c>
      <c r="E934" s="522">
        <f t="shared" ref="E934:N943" si="635">IF($B$909&gt;$A934,INDEX(calcY1Q1RevFlow,$A934,calcTeamNum)*(IF($D934="Attrition Necessary",1-calcQ2AttritionDifference,1)*(IF($D934="New Revenue Adjustments",1+calcQ2RevenueAdjustment,1))),INDEX(dataY1Q2Rev,$A934,)*(IF($D934="Attrition Necessary",1-calcQ2AttritionDifference,1))*(IF($D934="New Revenue Adjustments",1+calcQ2RevenueAdjustment,1)))</f>
        <v>3541666.666666667</v>
      </c>
      <c r="F934" s="522">
        <f t="shared" si="635"/>
        <v>3541666.666666667</v>
      </c>
      <c r="G934" s="522">
        <f t="shared" si="635"/>
        <v>3541666.666666667</v>
      </c>
      <c r="H934" s="522">
        <f t="shared" si="635"/>
        <v>3541666.666666667</v>
      </c>
      <c r="I934" s="522">
        <f t="shared" si="635"/>
        <v>3541666.666666667</v>
      </c>
      <c r="J934" s="522">
        <f t="shared" si="635"/>
        <v>3541666.666666667</v>
      </c>
      <c r="K934" s="522">
        <f t="shared" si="635"/>
        <v>3541666.666666667</v>
      </c>
      <c r="L934" s="522">
        <f t="shared" si="635"/>
        <v>3541666.666666667</v>
      </c>
      <c r="M934" s="522">
        <f t="shared" si="635"/>
        <v>3541666.666666667</v>
      </c>
      <c r="N934" s="522">
        <f t="shared" si="635"/>
        <v>3541666.666666667</v>
      </c>
      <c r="O934" s="410" t="s">
        <v>1805</v>
      </c>
    </row>
    <row r="935" spans="1:15" s="217" customFormat="1">
      <c r="A935" s="217">
        <v>12</v>
      </c>
      <c r="B935" s="10" t="s">
        <v>405</v>
      </c>
      <c r="C935" s="11" t="s">
        <v>902</v>
      </c>
      <c r="D935" s="217">
        <f>IF(A935=B909,"New Revenue Adjustments",IF(AND(C935=D909,A935&lt;B909),"Attrition Necessary",0))</f>
        <v>0</v>
      </c>
      <c r="E935" s="522">
        <f t="shared" si="635"/>
        <v>5208333.333333333</v>
      </c>
      <c r="F935" s="522">
        <f t="shared" si="635"/>
        <v>5208333.333333333</v>
      </c>
      <c r="G935" s="522">
        <f t="shared" si="635"/>
        <v>5208333.333333333</v>
      </c>
      <c r="H935" s="522">
        <f t="shared" si="635"/>
        <v>5208333.333333333</v>
      </c>
      <c r="I935" s="522">
        <f t="shared" si="635"/>
        <v>5208333.333333333</v>
      </c>
      <c r="J935" s="522">
        <f t="shared" si="635"/>
        <v>5208333.333333333</v>
      </c>
      <c r="K935" s="522">
        <f t="shared" si="635"/>
        <v>5208333.333333333</v>
      </c>
      <c r="L935" s="522">
        <f t="shared" si="635"/>
        <v>5208333.333333333</v>
      </c>
      <c r="M935" s="522">
        <f t="shared" si="635"/>
        <v>5208333.333333333</v>
      </c>
      <c r="N935" s="522">
        <f t="shared" si="635"/>
        <v>5208333.333333333</v>
      </c>
      <c r="O935" s="410" t="s">
        <v>1806</v>
      </c>
    </row>
    <row r="936" spans="1:15" s="217" customFormat="1">
      <c r="A936" s="217">
        <v>13</v>
      </c>
      <c r="B936" s="10" t="s">
        <v>1278</v>
      </c>
      <c r="C936" s="11" t="s">
        <v>899</v>
      </c>
      <c r="D936" s="217">
        <f>IF(A936=B909,"New Revenue Adjustments",IF(AND(C936=D909,A936&lt;B909),"Attrition Necessary",0))</f>
        <v>0</v>
      </c>
      <c r="E936" s="522">
        <f t="shared" si="635"/>
        <v>2343750</v>
      </c>
      <c r="F936" s="522">
        <f t="shared" si="635"/>
        <v>2343750</v>
      </c>
      <c r="G936" s="522">
        <f t="shared" si="635"/>
        <v>2343750</v>
      </c>
      <c r="H936" s="522">
        <f t="shared" si="635"/>
        <v>2343750</v>
      </c>
      <c r="I936" s="522">
        <f t="shared" si="635"/>
        <v>2343750</v>
      </c>
      <c r="J936" s="522">
        <f t="shared" si="635"/>
        <v>2343750</v>
      </c>
      <c r="K936" s="522">
        <f t="shared" si="635"/>
        <v>2343750</v>
      </c>
      <c r="L936" s="522">
        <f t="shared" si="635"/>
        <v>2343750</v>
      </c>
      <c r="M936" s="522">
        <f t="shared" si="635"/>
        <v>2343750</v>
      </c>
      <c r="N936" s="522">
        <f t="shared" si="635"/>
        <v>2343750</v>
      </c>
      <c r="O936" s="410" t="s">
        <v>1807</v>
      </c>
    </row>
    <row r="937" spans="1:15" s="217" customFormat="1">
      <c r="A937" s="217">
        <v>14</v>
      </c>
      <c r="B937" s="10" t="s">
        <v>1278</v>
      </c>
      <c r="C937" s="11" t="s">
        <v>900</v>
      </c>
      <c r="D937" s="217" t="str">
        <f>IF(A937=B909,"New Revenue Adjustments",IF(AND(C937=D909,A937&lt;B909),"Attrition Necessary",0))</f>
        <v>New Revenue Adjustments</v>
      </c>
      <c r="E937" s="522">
        <f t="shared" si="635"/>
        <v>2864583.333333333</v>
      </c>
      <c r="F937" s="522">
        <f t="shared" si="635"/>
        <v>2864583.333333333</v>
      </c>
      <c r="G937" s="522">
        <f t="shared" si="635"/>
        <v>2864583.333333333</v>
      </c>
      <c r="H937" s="522">
        <f t="shared" si="635"/>
        <v>2864583.333333333</v>
      </c>
      <c r="I937" s="522">
        <f t="shared" si="635"/>
        <v>2864583.333333333</v>
      </c>
      <c r="J937" s="522">
        <f t="shared" si="635"/>
        <v>2864583.333333333</v>
      </c>
      <c r="K937" s="522">
        <f t="shared" si="635"/>
        <v>2864583.333333333</v>
      </c>
      <c r="L937" s="522">
        <f t="shared" si="635"/>
        <v>2864583.333333333</v>
      </c>
      <c r="M937" s="522">
        <f t="shared" si="635"/>
        <v>2864583.333333333</v>
      </c>
      <c r="N937" s="522">
        <f t="shared" si="635"/>
        <v>2864583.333333333</v>
      </c>
      <c r="O937" s="410" t="s">
        <v>1808</v>
      </c>
    </row>
    <row r="938" spans="1:15" s="217" customFormat="1">
      <c r="A938" s="217">
        <v>15</v>
      </c>
      <c r="B938" s="10" t="s">
        <v>1278</v>
      </c>
      <c r="C938" s="11" t="s">
        <v>901</v>
      </c>
      <c r="D938" s="217">
        <f>IF(A938=B909,"New Revenue Adjustments",IF(AND(C938=D909,A938&lt;B909),"Attrition Necessary",0))</f>
        <v>0</v>
      </c>
      <c r="E938" s="522">
        <f t="shared" si="635"/>
        <v>0</v>
      </c>
      <c r="F938" s="522">
        <f t="shared" si="635"/>
        <v>0</v>
      </c>
      <c r="G938" s="522">
        <f t="shared" si="635"/>
        <v>0</v>
      </c>
      <c r="H938" s="522">
        <f t="shared" si="635"/>
        <v>0</v>
      </c>
      <c r="I938" s="522">
        <f t="shared" si="635"/>
        <v>0</v>
      </c>
      <c r="J938" s="522">
        <f t="shared" si="635"/>
        <v>0</v>
      </c>
      <c r="K938" s="522">
        <f t="shared" si="635"/>
        <v>0</v>
      </c>
      <c r="L938" s="522">
        <f t="shared" si="635"/>
        <v>0</v>
      </c>
      <c r="M938" s="522">
        <f t="shared" si="635"/>
        <v>0</v>
      </c>
      <c r="N938" s="522">
        <f t="shared" si="635"/>
        <v>0</v>
      </c>
      <c r="O938" s="410" t="s">
        <v>1809</v>
      </c>
    </row>
    <row r="939" spans="1:15" s="217" customFormat="1">
      <c r="A939" s="217">
        <v>16</v>
      </c>
      <c r="B939" s="10" t="s">
        <v>1278</v>
      </c>
      <c r="C939" s="11" t="s">
        <v>902</v>
      </c>
      <c r="D939" s="217">
        <f>IF(A939=B909,"New Revenue Adjustments",IF(AND(C939=D909,A939&lt;B909),"Attrition Necessary",0))</f>
        <v>0</v>
      </c>
      <c r="E939" s="522">
        <f t="shared" si="635"/>
        <v>0</v>
      </c>
      <c r="F939" s="522">
        <f t="shared" si="635"/>
        <v>0</v>
      </c>
      <c r="G939" s="522">
        <f t="shared" si="635"/>
        <v>0</v>
      </c>
      <c r="H939" s="522">
        <f t="shared" si="635"/>
        <v>0</v>
      </c>
      <c r="I939" s="522">
        <f t="shared" si="635"/>
        <v>0</v>
      </c>
      <c r="J939" s="522">
        <f t="shared" si="635"/>
        <v>0</v>
      </c>
      <c r="K939" s="522">
        <f t="shared" si="635"/>
        <v>0</v>
      </c>
      <c r="L939" s="522">
        <f t="shared" si="635"/>
        <v>0</v>
      </c>
      <c r="M939" s="522">
        <f t="shared" si="635"/>
        <v>0</v>
      </c>
      <c r="N939" s="522">
        <f t="shared" si="635"/>
        <v>0</v>
      </c>
      <c r="O939" s="410" t="s">
        <v>1810</v>
      </c>
    </row>
    <row r="940" spans="1:15" s="217" customFormat="1">
      <c r="A940" s="217">
        <v>17</v>
      </c>
      <c r="B940" s="10" t="s">
        <v>1279</v>
      </c>
      <c r="C940" s="11" t="s">
        <v>899</v>
      </c>
      <c r="D940" s="217">
        <f>IF(A940=B909,"New Revenue Adjustments",IF(AND(C940=D909,A940&lt;B909),"Attrition Necessary",0))</f>
        <v>0</v>
      </c>
      <c r="E940" s="522">
        <f t="shared" si="635"/>
        <v>0</v>
      </c>
      <c r="F940" s="522">
        <f t="shared" si="635"/>
        <v>0</v>
      </c>
      <c r="G940" s="522">
        <f t="shared" si="635"/>
        <v>0</v>
      </c>
      <c r="H940" s="522">
        <f t="shared" si="635"/>
        <v>0</v>
      </c>
      <c r="I940" s="522">
        <f t="shared" si="635"/>
        <v>0</v>
      </c>
      <c r="J940" s="522">
        <f t="shared" si="635"/>
        <v>0</v>
      </c>
      <c r="K940" s="522">
        <f t="shared" si="635"/>
        <v>0</v>
      </c>
      <c r="L940" s="522">
        <f t="shared" si="635"/>
        <v>0</v>
      </c>
      <c r="M940" s="522">
        <f t="shared" si="635"/>
        <v>0</v>
      </c>
      <c r="N940" s="522">
        <f t="shared" si="635"/>
        <v>0</v>
      </c>
      <c r="O940" s="410" t="s">
        <v>1811</v>
      </c>
    </row>
    <row r="941" spans="1:15" s="217" customFormat="1">
      <c r="A941" s="217">
        <v>18</v>
      </c>
      <c r="B941" s="10" t="s">
        <v>1279</v>
      </c>
      <c r="C941" s="11" t="s">
        <v>900</v>
      </c>
      <c r="D941" s="217">
        <f>IF(A941=B909,"New Revenue Adjustments",IF(AND(C941=D909,A941&lt;B909),"Attrition Necessary",0))</f>
        <v>0</v>
      </c>
      <c r="E941" s="522">
        <f t="shared" si="635"/>
        <v>0</v>
      </c>
      <c r="F941" s="522">
        <f t="shared" si="635"/>
        <v>0</v>
      </c>
      <c r="G941" s="522">
        <f t="shared" si="635"/>
        <v>0</v>
      </c>
      <c r="H941" s="522">
        <f t="shared" si="635"/>
        <v>0</v>
      </c>
      <c r="I941" s="522">
        <f t="shared" si="635"/>
        <v>0</v>
      </c>
      <c r="J941" s="522">
        <f t="shared" si="635"/>
        <v>0</v>
      </c>
      <c r="K941" s="522">
        <f t="shared" si="635"/>
        <v>0</v>
      </c>
      <c r="L941" s="522">
        <f t="shared" si="635"/>
        <v>0</v>
      </c>
      <c r="M941" s="522">
        <f t="shared" si="635"/>
        <v>0</v>
      </c>
      <c r="N941" s="522">
        <f t="shared" si="635"/>
        <v>0</v>
      </c>
      <c r="O941" s="410" t="s">
        <v>1812</v>
      </c>
    </row>
    <row r="942" spans="1:15" s="217" customFormat="1">
      <c r="A942" s="217">
        <v>19</v>
      </c>
      <c r="B942" s="10" t="s">
        <v>1279</v>
      </c>
      <c r="C942" s="11" t="s">
        <v>901</v>
      </c>
      <c r="D942" s="217">
        <f>IF(A942=B909,"New Revenue Adjustments",IF(AND(C942=D909,A942&lt;B909),"Attrition Necessary",0))</f>
        <v>0</v>
      </c>
      <c r="E942" s="522">
        <f t="shared" si="635"/>
        <v>0</v>
      </c>
      <c r="F942" s="522">
        <f t="shared" si="635"/>
        <v>0</v>
      </c>
      <c r="G942" s="522">
        <f t="shared" si="635"/>
        <v>0</v>
      </c>
      <c r="H942" s="522">
        <f t="shared" si="635"/>
        <v>0</v>
      </c>
      <c r="I942" s="522">
        <f t="shared" si="635"/>
        <v>0</v>
      </c>
      <c r="J942" s="522">
        <f t="shared" si="635"/>
        <v>0</v>
      </c>
      <c r="K942" s="522">
        <f t="shared" si="635"/>
        <v>0</v>
      </c>
      <c r="L942" s="522">
        <f t="shared" si="635"/>
        <v>0</v>
      </c>
      <c r="M942" s="522">
        <f t="shared" si="635"/>
        <v>0</v>
      </c>
      <c r="N942" s="522">
        <f t="shared" si="635"/>
        <v>0</v>
      </c>
      <c r="O942" s="410" t="s">
        <v>1813</v>
      </c>
    </row>
    <row r="943" spans="1:15" s="217" customFormat="1">
      <c r="A943" s="217">
        <v>20</v>
      </c>
      <c r="B943" s="10" t="s">
        <v>1279</v>
      </c>
      <c r="C943" s="11" t="s">
        <v>902</v>
      </c>
      <c r="D943" s="217">
        <f>IF(A943=B909,"New Revenue Adjustments",IF(AND(C943=D909,A943&lt;B909),"Attrition Necessary",0))</f>
        <v>0</v>
      </c>
      <c r="E943" s="522">
        <f t="shared" si="635"/>
        <v>0</v>
      </c>
      <c r="F943" s="522">
        <f t="shared" si="635"/>
        <v>0</v>
      </c>
      <c r="G943" s="522">
        <f t="shared" si="635"/>
        <v>0</v>
      </c>
      <c r="H943" s="522">
        <f t="shared" si="635"/>
        <v>0</v>
      </c>
      <c r="I943" s="522">
        <f t="shared" si="635"/>
        <v>0</v>
      </c>
      <c r="J943" s="522">
        <f t="shared" si="635"/>
        <v>0</v>
      </c>
      <c r="K943" s="522">
        <f t="shared" si="635"/>
        <v>0</v>
      </c>
      <c r="L943" s="522">
        <f t="shared" si="635"/>
        <v>0</v>
      </c>
      <c r="M943" s="522">
        <f t="shared" si="635"/>
        <v>0</v>
      </c>
      <c r="N943" s="522">
        <f t="shared" si="635"/>
        <v>0</v>
      </c>
      <c r="O943" s="410" t="s">
        <v>1814</v>
      </c>
    </row>
    <row r="944" spans="1:15" s="217" customFormat="1">
      <c r="A944" s="217">
        <v>21</v>
      </c>
      <c r="B944" s="10" t="s">
        <v>2052</v>
      </c>
      <c r="C944" s="11" t="s">
        <v>899</v>
      </c>
      <c r="D944" s="217">
        <f>IF(A944=B909,"New Revenue Adjustments",IF(AND(C944=D909,A944&lt;B909),"Attrition Necessary",0))</f>
        <v>0</v>
      </c>
      <c r="E944" s="522">
        <f t="shared" ref="E944:N955" si="636">IF($B$909&gt;$A944,INDEX(calcY1Q1RevFlow,$A944,calcTeamNum)*(IF($D944="Attrition Necessary",1-calcQ2AttritionDifference,1)*(IF($D944="New Revenue Adjustments",1+calcQ2RevenueAdjustment,1))),INDEX(dataY1Q2Rev,$A944,)*(IF($D944="Attrition Necessary",1-calcQ2AttritionDifference,1))*(IF($D944="New Revenue Adjustments",1+calcQ2RevenueAdjustment,1)))</f>
        <v>0</v>
      </c>
      <c r="F944" s="522">
        <f t="shared" si="636"/>
        <v>0</v>
      </c>
      <c r="G944" s="522">
        <f t="shared" si="636"/>
        <v>0</v>
      </c>
      <c r="H944" s="522">
        <f t="shared" si="636"/>
        <v>0</v>
      </c>
      <c r="I944" s="522">
        <f t="shared" si="636"/>
        <v>0</v>
      </c>
      <c r="J944" s="522">
        <f t="shared" si="636"/>
        <v>0</v>
      </c>
      <c r="K944" s="522">
        <f t="shared" si="636"/>
        <v>0</v>
      </c>
      <c r="L944" s="522">
        <f t="shared" si="636"/>
        <v>0</v>
      </c>
      <c r="M944" s="522">
        <f t="shared" si="636"/>
        <v>0</v>
      </c>
      <c r="N944" s="522">
        <f t="shared" si="636"/>
        <v>0</v>
      </c>
      <c r="O944" s="410" t="s">
        <v>2430</v>
      </c>
    </row>
    <row r="945" spans="1:15" s="217" customFormat="1">
      <c r="A945" s="217">
        <v>22</v>
      </c>
      <c r="B945" s="10" t="s">
        <v>2052</v>
      </c>
      <c r="C945" s="11" t="s">
        <v>900</v>
      </c>
      <c r="D945" s="217">
        <f>IF(A945=B909,"New Revenue Adjustments",IF(AND(C945=D909,A945&lt;B909),"Attrition Necessary",0))</f>
        <v>0</v>
      </c>
      <c r="E945" s="522">
        <f t="shared" si="636"/>
        <v>0</v>
      </c>
      <c r="F945" s="522">
        <f t="shared" si="636"/>
        <v>0</v>
      </c>
      <c r="G945" s="522">
        <f t="shared" si="636"/>
        <v>0</v>
      </c>
      <c r="H945" s="522">
        <f t="shared" si="636"/>
        <v>0</v>
      </c>
      <c r="I945" s="522">
        <f t="shared" si="636"/>
        <v>0</v>
      </c>
      <c r="J945" s="522">
        <f t="shared" si="636"/>
        <v>0</v>
      </c>
      <c r="K945" s="522">
        <f t="shared" si="636"/>
        <v>0</v>
      </c>
      <c r="L945" s="522">
        <f t="shared" si="636"/>
        <v>0</v>
      </c>
      <c r="M945" s="522">
        <f t="shared" si="636"/>
        <v>0</v>
      </c>
      <c r="N945" s="522">
        <f t="shared" si="636"/>
        <v>0</v>
      </c>
      <c r="O945" s="410" t="s">
        <v>2431</v>
      </c>
    </row>
    <row r="946" spans="1:15" s="217" customFormat="1">
      <c r="A946" s="217">
        <v>23</v>
      </c>
      <c r="B946" s="10" t="s">
        <v>2052</v>
      </c>
      <c r="C946" s="11" t="s">
        <v>901</v>
      </c>
      <c r="D946" s="217">
        <f>IF(A946=B909,"New Revenue Adjustments",IF(AND(C946=D909,A946&lt;B909),"Attrition Necessary",0))</f>
        <v>0</v>
      </c>
      <c r="E946" s="522">
        <f t="shared" si="636"/>
        <v>0</v>
      </c>
      <c r="F946" s="522">
        <f t="shared" si="636"/>
        <v>0</v>
      </c>
      <c r="G946" s="522">
        <f t="shared" si="636"/>
        <v>0</v>
      </c>
      <c r="H946" s="522">
        <f t="shared" si="636"/>
        <v>0</v>
      </c>
      <c r="I946" s="522">
        <f t="shared" si="636"/>
        <v>0</v>
      </c>
      <c r="J946" s="522">
        <f t="shared" si="636"/>
        <v>0</v>
      </c>
      <c r="K946" s="522">
        <f t="shared" si="636"/>
        <v>0</v>
      </c>
      <c r="L946" s="522">
        <f t="shared" si="636"/>
        <v>0</v>
      </c>
      <c r="M946" s="522">
        <f t="shared" si="636"/>
        <v>0</v>
      </c>
      <c r="N946" s="522">
        <f t="shared" si="636"/>
        <v>0</v>
      </c>
      <c r="O946" s="410" t="s">
        <v>2432</v>
      </c>
    </row>
    <row r="947" spans="1:15" s="217" customFormat="1">
      <c r="A947" s="217">
        <v>24</v>
      </c>
      <c r="B947" s="10" t="s">
        <v>2052</v>
      </c>
      <c r="C947" s="11" t="s">
        <v>902</v>
      </c>
      <c r="D947" s="217">
        <f>IF(A947=B909,"New Revenue Adjustments",IF(AND(C947=D909,A947&lt;B909),"Attrition Necessary",0))</f>
        <v>0</v>
      </c>
      <c r="E947" s="522">
        <f t="shared" si="636"/>
        <v>0</v>
      </c>
      <c r="F947" s="522">
        <f t="shared" si="636"/>
        <v>0</v>
      </c>
      <c r="G947" s="522">
        <f t="shared" si="636"/>
        <v>0</v>
      </c>
      <c r="H947" s="522">
        <f t="shared" si="636"/>
        <v>0</v>
      </c>
      <c r="I947" s="522">
        <f t="shared" si="636"/>
        <v>0</v>
      </c>
      <c r="J947" s="522">
        <f t="shared" si="636"/>
        <v>0</v>
      </c>
      <c r="K947" s="522">
        <f t="shared" si="636"/>
        <v>0</v>
      </c>
      <c r="L947" s="522">
        <f t="shared" si="636"/>
        <v>0</v>
      </c>
      <c r="M947" s="522">
        <f t="shared" si="636"/>
        <v>0</v>
      </c>
      <c r="N947" s="522">
        <f t="shared" si="636"/>
        <v>0</v>
      </c>
      <c r="O947" s="410" t="s">
        <v>2433</v>
      </c>
    </row>
    <row r="948" spans="1:15" s="217" customFormat="1">
      <c r="A948" s="217">
        <v>25</v>
      </c>
      <c r="B948" s="10" t="s">
        <v>2408</v>
      </c>
      <c r="C948" s="11" t="s">
        <v>899</v>
      </c>
      <c r="D948" s="217">
        <f>IF(A948=B909,"New Revenue Adjustments",IF(AND(C948=D909,A948&lt;B909),"Attrition Necessary",0))</f>
        <v>0</v>
      </c>
      <c r="E948" s="522">
        <f t="shared" si="636"/>
        <v>0</v>
      </c>
      <c r="F948" s="522">
        <f t="shared" si="636"/>
        <v>0</v>
      </c>
      <c r="G948" s="522">
        <f t="shared" si="636"/>
        <v>0</v>
      </c>
      <c r="H948" s="522">
        <f t="shared" si="636"/>
        <v>0</v>
      </c>
      <c r="I948" s="522">
        <f t="shared" si="636"/>
        <v>0</v>
      </c>
      <c r="J948" s="522">
        <f t="shared" si="636"/>
        <v>0</v>
      </c>
      <c r="K948" s="522">
        <f t="shared" si="636"/>
        <v>0</v>
      </c>
      <c r="L948" s="522">
        <f t="shared" si="636"/>
        <v>0</v>
      </c>
      <c r="M948" s="522">
        <f t="shared" si="636"/>
        <v>0</v>
      </c>
      <c r="N948" s="522">
        <f t="shared" si="636"/>
        <v>0</v>
      </c>
      <c r="O948" s="410" t="s">
        <v>2434</v>
      </c>
    </row>
    <row r="949" spans="1:15" s="217" customFormat="1">
      <c r="A949" s="217">
        <v>26</v>
      </c>
      <c r="B949" s="10" t="s">
        <v>2408</v>
      </c>
      <c r="C949" s="11" t="s">
        <v>900</v>
      </c>
      <c r="D949" s="217">
        <f>IF(A949=B909,"New Revenue Adjustments",IF(AND(C949=D909,A949&lt;B909),"Attrition Necessary",0))</f>
        <v>0</v>
      </c>
      <c r="E949" s="522">
        <f t="shared" si="636"/>
        <v>0</v>
      </c>
      <c r="F949" s="522">
        <f t="shared" si="636"/>
        <v>0</v>
      </c>
      <c r="G949" s="522">
        <f t="shared" si="636"/>
        <v>0</v>
      </c>
      <c r="H949" s="522">
        <f t="shared" si="636"/>
        <v>0</v>
      </c>
      <c r="I949" s="522">
        <f t="shared" si="636"/>
        <v>0</v>
      </c>
      <c r="J949" s="522">
        <f t="shared" si="636"/>
        <v>0</v>
      </c>
      <c r="K949" s="522">
        <f t="shared" si="636"/>
        <v>0</v>
      </c>
      <c r="L949" s="522">
        <f t="shared" si="636"/>
        <v>0</v>
      </c>
      <c r="M949" s="522">
        <f t="shared" si="636"/>
        <v>0</v>
      </c>
      <c r="N949" s="522">
        <f t="shared" si="636"/>
        <v>0</v>
      </c>
      <c r="O949" s="410" t="s">
        <v>2435</v>
      </c>
    </row>
    <row r="950" spans="1:15" s="217" customFormat="1">
      <c r="A950" s="217">
        <v>27</v>
      </c>
      <c r="B950" s="10" t="s">
        <v>2408</v>
      </c>
      <c r="C950" s="11" t="s">
        <v>901</v>
      </c>
      <c r="D950" s="217">
        <f>IF(A950=B909,"New Revenue Adjustments",IF(AND(C950=D909,A950&lt;B909),"Attrition Necessary",0))</f>
        <v>0</v>
      </c>
      <c r="E950" s="522">
        <f t="shared" si="636"/>
        <v>0</v>
      </c>
      <c r="F950" s="522">
        <f t="shared" si="636"/>
        <v>0</v>
      </c>
      <c r="G950" s="522">
        <f t="shared" si="636"/>
        <v>0</v>
      </c>
      <c r="H950" s="522">
        <f t="shared" si="636"/>
        <v>0</v>
      </c>
      <c r="I950" s="522">
        <f t="shared" si="636"/>
        <v>0</v>
      </c>
      <c r="J950" s="522">
        <f t="shared" si="636"/>
        <v>0</v>
      </c>
      <c r="K950" s="522">
        <f t="shared" si="636"/>
        <v>0</v>
      </c>
      <c r="L950" s="522">
        <f t="shared" si="636"/>
        <v>0</v>
      </c>
      <c r="M950" s="522">
        <f t="shared" si="636"/>
        <v>0</v>
      </c>
      <c r="N950" s="522">
        <f t="shared" si="636"/>
        <v>0</v>
      </c>
      <c r="O950" s="410" t="s">
        <v>2436</v>
      </c>
    </row>
    <row r="951" spans="1:15" s="217" customFormat="1">
      <c r="A951" s="217">
        <v>28</v>
      </c>
      <c r="B951" s="10" t="s">
        <v>2408</v>
      </c>
      <c r="C951" s="11" t="s">
        <v>902</v>
      </c>
      <c r="D951" s="217">
        <f>IF(A951=B909,"New Revenue Adjustments",IF(AND(C951=D909,A951&lt;B909),"Attrition Necessary",0))</f>
        <v>0</v>
      </c>
      <c r="E951" s="522">
        <f t="shared" si="636"/>
        <v>0</v>
      </c>
      <c r="F951" s="522">
        <f t="shared" si="636"/>
        <v>0</v>
      </c>
      <c r="G951" s="522">
        <f t="shared" si="636"/>
        <v>0</v>
      </c>
      <c r="H951" s="522">
        <f t="shared" si="636"/>
        <v>0</v>
      </c>
      <c r="I951" s="522">
        <f t="shared" si="636"/>
        <v>0</v>
      </c>
      <c r="J951" s="522">
        <f t="shared" si="636"/>
        <v>0</v>
      </c>
      <c r="K951" s="522">
        <f t="shared" si="636"/>
        <v>0</v>
      </c>
      <c r="L951" s="522">
        <f t="shared" si="636"/>
        <v>0</v>
      </c>
      <c r="M951" s="522">
        <f t="shared" si="636"/>
        <v>0</v>
      </c>
      <c r="N951" s="522">
        <f t="shared" si="636"/>
        <v>0</v>
      </c>
      <c r="O951" s="410" t="s">
        <v>2437</v>
      </c>
    </row>
    <row r="952" spans="1:15" s="217" customFormat="1">
      <c r="A952" s="217">
        <v>29</v>
      </c>
      <c r="B952" s="10" t="s">
        <v>2413</v>
      </c>
      <c r="C952" s="11" t="s">
        <v>899</v>
      </c>
      <c r="D952" s="217">
        <f>IF(A952=B909,"New Revenue Adjustments",IF(AND(C952=D909,A952&lt;B909),"Attrition Necessary",0))</f>
        <v>0</v>
      </c>
      <c r="E952" s="522">
        <f t="shared" si="636"/>
        <v>0</v>
      </c>
      <c r="F952" s="522">
        <f t="shared" si="636"/>
        <v>0</v>
      </c>
      <c r="G952" s="522">
        <f t="shared" si="636"/>
        <v>0</v>
      </c>
      <c r="H952" s="522">
        <f t="shared" si="636"/>
        <v>0</v>
      </c>
      <c r="I952" s="522">
        <f t="shared" si="636"/>
        <v>0</v>
      </c>
      <c r="J952" s="522">
        <f t="shared" si="636"/>
        <v>0</v>
      </c>
      <c r="K952" s="522">
        <f t="shared" si="636"/>
        <v>0</v>
      </c>
      <c r="L952" s="522">
        <f t="shared" si="636"/>
        <v>0</v>
      </c>
      <c r="M952" s="522">
        <f t="shared" si="636"/>
        <v>0</v>
      </c>
      <c r="N952" s="522">
        <f t="shared" si="636"/>
        <v>0</v>
      </c>
      <c r="O952" s="410" t="s">
        <v>2438</v>
      </c>
    </row>
    <row r="953" spans="1:15" s="217" customFormat="1">
      <c r="A953" s="217">
        <v>30</v>
      </c>
      <c r="B953" s="10" t="s">
        <v>2413</v>
      </c>
      <c r="C953" s="11" t="s">
        <v>900</v>
      </c>
      <c r="D953" s="217">
        <f>IF(A953=B909,"New Revenue Adjustments",IF(AND(C953=D909,A953&lt;B909),"Attrition Necessary",0))</f>
        <v>0</v>
      </c>
      <c r="E953" s="522">
        <f t="shared" si="636"/>
        <v>0</v>
      </c>
      <c r="F953" s="522">
        <f t="shared" si="636"/>
        <v>0</v>
      </c>
      <c r="G953" s="522">
        <f t="shared" si="636"/>
        <v>0</v>
      </c>
      <c r="H953" s="522">
        <f t="shared" si="636"/>
        <v>0</v>
      </c>
      <c r="I953" s="522">
        <f t="shared" si="636"/>
        <v>0</v>
      </c>
      <c r="J953" s="522">
        <f t="shared" si="636"/>
        <v>0</v>
      </c>
      <c r="K953" s="522">
        <f t="shared" si="636"/>
        <v>0</v>
      </c>
      <c r="L953" s="522">
        <f t="shared" si="636"/>
        <v>0</v>
      </c>
      <c r="M953" s="522">
        <f t="shared" si="636"/>
        <v>0</v>
      </c>
      <c r="N953" s="522">
        <f t="shared" si="636"/>
        <v>0</v>
      </c>
      <c r="O953" s="410" t="s">
        <v>2439</v>
      </c>
    </row>
    <row r="954" spans="1:15" s="217" customFormat="1">
      <c r="A954" s="217">
        <v>31</v>
      </c>
      <c r="B954" s="10" t="s">
        <v>2413</v>
      </c>
      <c r="C954" s="11" t="s">
        <v>901</v>
      </c>
      <c r="D954" s="217">
        <f>IF(A954=B909,"New Revenue Adjustments",IF(AND(C954=D909,A954&lt;B909),"Attrition Necessary",0))</f>
        <v>0</v>
      </c>
      <c r="E954" s="522">
        <f t="shared" si="636"/>
        <v>0</v>
      </c>
      <c r="F954" s="522">
        <f t="shared" si="636"/>
        <v>0</v>
      </c>
      <c r="G954" s="522">
        <f t="shared" si="636"/>
        <v>0</v>
      </c>
      <c r="H954" s="522">
        <f t="shared" si="636"/>
        <v>0</v>
      </c>
      <c r="I954" s="522">
        <f t="shared" si="636"/>
        <v>0</v>
      </c>
      <c r="J954" s="522">
        <f t="shared" si="636"/>
        <v>0</v>
      </c>
      <c r="K954" s="522">
        <f t="shared" si="636"/>
        <v>0</v>
      </c>
      <c r="L954" s="522">
        <f t="shared" si="636"/>
        <v>0</v>
      </c>
      <c r="M954" s="522">
        <f t="shared" si="636"/>
        <v>0</v>
      </c>
      <c r="N954" s="522">
        <f t="shared" si="636"/>
        <v>0</v>
      </c>
      <c r="O954" s="410" t="s">
        <v>2440</v>
      </c>
    </row>
    <row r="955" spans="1:15" s="217" customFormat="1">
      <c r="A955" s="217">
        <v>32</v>
      </c>
      <c r="B955" s="10" t="s">
        <v>2413</v>
      </c>
      <c r="C955" s="11" t="s">
        <v>902</v>
      </c>
      <c r="D955" s="217">
        <f>IF(A955=B909,"New Revenue Adjustments",IF(AND(C955=D909,A955&lt;B909),"Attrition Necessary",0))</f>
        <v>0</v>
      </c>
      <c r="E955" s="522">
        <f t="shared" si="636"/>
        <v>0</v>
      </c>
      <c r="F955" s="522">
        <f t="shared" si="636"/>
        <v>0</v>
      </c>
      <c r="G955" s="522">
        <f t="shared" si="636"/>
        <v>0</v>
      </c>
      <c r="H955" s="522">
        <f t="shared" si="636"/>
        <v>0</v>
      </c>
      <c r="I955" s="522">
        <f t="shared" si="636"/>
        <v>0</v>
      </c>
      <c r="J955" s="522">
        <f t="shared" si="636"/>
        <v>0</v>
      </c>
      <c r="K955" s="522">
        <f t="shared" si="636"/>
        <v>0</v>
      </c>
      <c r="L955" s="522">
        <f t="shared" si="636"/>
        <v>0</v>
      </c>
      <c r="M955" s="522">
        <f t="shared" si="636"/>
        <v>0</v>
      </c>
      <c r="N955" s="522">
        <f t="shared" si="636"/>
        <v>0</v>
      </c>
      <c r="O955" s="410" t="s">
        <v>2441</v>
      </c>
    </row>
    <row r="956" spans="1:15" s="217" customFormat="1">
      <c r="D956" s="217" t="s">
        <v>906</v>
      </c>
      <c r="E956" s="427">
        <f>SUM(E924:E955)</f>
        <v>33831624.25685782</v>
      </c>
      <c r="F956" s="427">
        <f t="shared" ref="F956:I956" si="637">SUM(F924:F955)</f>
        <v>33831624.25685782</v>
      </c>
      <c r="G956" s="427">
        <f t="shared" si="637"/>
        <v>33831624.25685782</v>
      </c>
      <c r="H956" s="427">
        <f t="shared" si="637"/>
        <v>33831624.25685782</v>
      </c>
      <c r="I956" s="427">
        <f t="shared" si="637"/>
        <v>33831624.25685782</v>
      </c>
      <c r="J956" s="427">
        <f t="shared" ref="J956:N956" si="638">SUM(J924:J955)</f>
        <v>33831624.25685782</v>
      </c>
      <c r="K956" s="427">
        <f t="shared" si="638"/>
        <v>33831624.25685782</v>
      </c>
      <c r="L956" s="427">
        <f t="shared" si="638"/>
        <v>33831624.25685782</v>
      </c>
      <c r="M956" s="427">
        <f t="shared" si="638"/>
        <v>33831624.25685782</v>
      </c>
      <c r="N956" s="427">
        <f t="shared" si="638"/>
        <v>33831624.25685782</v>
      </c>
      <c r="O956" s="217" t="s">
        <v>912</v>
      </c>
    </row>
    <row r="957" spans="1:15" s="217" customFormat="1">
      <c r="E957" s="409"/>
      <c r="F957" s="409"/>
      <c r="G957" s="409"/>
      <c r="H957" s="409"/>
      <c r="I957" s="409"/>
      <c r="J957" s="409"/>
      <c r="K957" s="409"/>
      <c r="L957" s="409"/>
      <c r="M957" s="409"/>
      <c r="N957" s="409"/>
    </row>
    <row r="958" spans="1:15">
      <c r="A958" s="217"/>
      <c r="B958" s="69">
        <v>15</v>
      </c>
      <c r="C958" s="217" t="s">
        <v>1278</v>
      </c>
      <c r="D958" s="217" t="s">
        <v>901</v>
      </c>
    </row>
    <row r="959" spans="1:15" s="217" customFormat="1">
      <c r="C959" s="217" t="s">
        <v>1736</v>
      </c>
      <c r="E959" s="409"/>
      <c r="F959" s="409"/>
      <c r="G959" s="409"/>
      <c r="H959" s="409"/>
      <c r="I959" s="409"/>
      <c r="J959" s="409"/>
      <c r="K959" s="409"/>
      <c r="L959" s="409"/>
      <c r="M959" s="409"/>
      <c r="N959" s="409"/>
    </row>
    <row r="960" spans="1:15" s="410" customFormat="1">
      <c r="D960" s="410" t="s">
        <v>1754</v>
      </c>
      <c r="E960" s="547">
        <f t="shared" ref="E960:N960" si="639">FORECAST(calcNPS,datatblNPSAttrition,datatblNPSScore)</f>
        <v>0.14946428571428572</v>
      </c>
      <c r="F960" s="547">
        <f t="shared" si="639"/>
        <v>0.14946428571428572</v>
      </c>
      <c r="G960" s="547">
        <f t="shared" si="639"/>
        <v>0.14946428571428572</v>
      </c>
      <c r="H960" s="547">
        <f t="shared" si="639"/>
        <v>0.14946428571428572</v>
      </c>
      <c r="I960" s="547">
        <f t="shared" si="639"/>
        <v>0.14946428571428572</v>
      </c>
      <c r="J960" s="547">
        <f t="shared" si="639"/>
        <v>0.14946428571428572</v>
      </c>
      <c r="K960" s="547">
        <f t="shared" si="639"/>
        <v>0.14946428571428572</v>
      </c>
      <c r="L960" s="547">
        <f t="shared" si="639"/>
        <v>0.14946428571428572</v>
      </c>
      <c r="M960" s="547">
        <f t="shared" si="639"/>
        <v>0.14946428571428572</v>
      </c>
      <c r="N960" s="547">
        <f t="shared" si="639"/>
        <v>0.14946428571428572</v>
      </c>
    </row>
    <row r="961" spans="1:18" s="410" customFormat="1">
      <c r="D961" s="410" t="s">
        <v>1753</v>
      </c>
      <c r="E961" s="547">
        <f>Data!$D$277</f>
        <v>0.1515124491492886</v>
      </c>
      <c r="F961" s="547">
        <f>Data!$D$277</f>
        <v>0.1515124491492886</v>
      </c>
      <c r="G961" s="547">
        <f>Data!$D$277</f>
        <v>0.1515124491492886</v>
      </c>
      <c r="H961" s="547">
        <f>Data!$D$277</f>
        <v>0.1515124491492886</v>
      </c>
      <c r="I961" s="547">
        <f>Data!$D$277</f>
        <v>0.1515124491492886</v>
      </c>
      <c r="J961" s="547">
        <f>Data!$D$277</f>
        <v>0.1515124491492886</v>
      </c>
      <c r="K961" s="547">
        <f>Data!$D$277</f>
        <v>0.1515124491492886</v>
      </c>
      <c r="L961" s="547">
        <f>Data!$D$277</f>
        <v>0.1515124491492886</v>
      </c>
      <c r="M961" s="547">
        <f>Data!$D$277</f>
        <v>0.1515124491492886</v>
      </c>
      <c r="N961" s="547">
        <f>Data!$D$277</f>
        <v>0.1515124491492886</v>
      </c>
    </row>
    <row r="962" spans="1:18" s="217" customFormat="1">
      <c r="D962" s="217" t="s">
        <v>1755</v>
      </c>
      <c r="E962" s="411">
        <f>E960-E961</f>
        <v>-2.0481634350028866E-3</v>
      </c>
      <c r="F962" s="411">
        <f t="shared" ref="F962" si="640">F960-F961</f>
        <v>-2.0481634350028866E-3</v>
      </c>
      <c r="G962" s="411">
        <f t="shared" ref="G962" si="641">G960-G961</f>
        <v>-2.0481634350028866E-3</v>
      </c>
      <c r="H962" s="411">
        <f t="shared" ref="H962" si="642">H960-H961</f>
        <v>-2.0481634350028866E-3</v>
      </c>
      <c r="I962" s="411">
        <f t="shared" ref="I962:N962" si="643">I960-I961</f>
        <v>-2.0481634350028866E-3</v>
      </c>
      <c r="J962" s="411">
        <f t="shared" si="643"/>
        <v>-2.0481634350028866E-3</v>
      </c>
      <c r="K962" s="411">
        <f t="shared" si="643"/>
        <v>-2.0481634350028866E-3</v>
      </c>
      <c r="L962" s="411">
        <f t="shared" si="643"/>
        <v>-2.0481634350028866E-3</v>
      </c>
      <c r="M962" s="411">
        <f t="shared" si="643"/>
        <v>-2.0481634350028866E-3</v>
      </c>
      <c r="N962" s="411">
        <f t="shared" si="643"/>
        <v>-2.0481634350028866E-3</v>
      </c>
      <c r="O962" s="217" t="s">
        <v>1762</v>
      </c>
    </row>
    <row r="963" spans="1:18" s="217" customFormat="1">
      <c r="C963" s="217" t="s">
        <v>1757</v>
      </c>
      <c r="E963" s="411"/>
      <c r="F963" s="411"/>
      <c r="G963" s="411"/>
      <c r="H963" s="411"/>
      <c r="I963" s="411"/>
      <c r="J963" s="411"/>
      <c r="K963" s="411"/>
      <c r="L963" s="411"/>
      <c r="M963" s="411"/>
      <c r="N963" s="411"/>
    </row>
    <row r="964" spans="1:18">
      <c r="D964" s="69" t="s">
        <v>1151</v>
      </c>
      <c r="E964" s="425">
        <f>IF(calcOrg62Timeline&lt;=$Q964,INDEX(datatblOrg62Timeline,MATCH(decGTMOrg62Timeline,Data!$C$106:$C$111,0),2),0)*paramOrg62Impacts</f>
        <v>0</v>
      </c>
      <c r="F964" s="425">
        <f>IF(calcOrg62Timeline&lt;=$Q964,INDEX(datatblOrg62Timeline,MATCH(decGTMOrg62Timeline,Data!$C$106:$C$111,0),2),0)*paramOrg62Impacts</f>
        <v>0</v>
      </c>
      <c r="G964" s="425">
        <f>IF(calcOrg62Timeline&lt;=$Q964,INDEX(datatblOrg62Timeline,MATCH(decGTMOrg62Timeline,Data!$C$106:$C$111,0),2),0)*paramOrg62Impacts</f>
        <v>0</v>
      </c>
      <c r="H964" s="425">
        <f>IF(calcOrg62Timeline&lt;=$Q964,INDEX(datatblOrg62Timeline,MATCH(decGTMOrg62Timeline,Data!$C$106:$C$111,0),2),0)*paramOrg62Impacts</f>
        <v>0</v>
      </c>
      <c r="I964" s="425">
        <f>IF(calcOrg62Timeline&lt;=$Q964,INDEX(datatblOrg62Timeline,MATCH(decGTMOrg62Timeline,Data!$C$106:$C$111,0),2),0)*paramOrg62Impacts</f>
        <v>0</v>
      </c>
      <c r="J964" s="425">
        <f>IF(calcOrg62Timeline&lt;=$Q964,INDEX(datatblOrg62Timeline,MATCH(decGTMOrg62Timeline,Data!$C$106:$C$111,0),2),0)*paramOrg62Impacts</f>
        <v>0</v>
      </c>
      <c r="K964" s="425">
        <f>IF(calcOrg62Timeline&lt;=$Q964,INDEX(datatblOrg62Timeline,MATCH(decGTMOrg62Timeline,Data!$C$106:$C$111,0),2),0)*paramOrg62Impacts</f>
        <v>0</v>
      </c>
      <c r="L964" s="425">
        <f>IF(calcOrg62Timeline&lt;=$Q964,INDEX(datatblOrg62Timeline,MATCH(decGTMOrg62Timeline,Data!$C$106:$C$111,0),2),0)*paramOrg62Impacts</f>
        <v>0</v>
      </c>
      <c r="M964" s="425">
        <f>IF(calcOrg62Timeline&lt;=$Q964,INDEX(datatblOrg62Timeline,MATCH(decGTMOrg62Timeline,Data!$C$106:$C$111,0),2),0)*paramOrg62Impacts</f>
        <v>0</v>
      </c>
      <c r="N964" s="425">
        <f>IF(calcOrg62Timeline&lt;=$Q964,INDEX(datatblOrg62Timeline,MATCH(decGTMOrg62Timeline,Data!$C$106:$C$111,0),2),0)*paramOrg62Impacts</f>
        <v>0</v>
      </c>
      <c r="Q964" s="69">
        <v>9</v>
      </c>
    </row>
    <row r="965" spans="1:18">
      <c r="D965" s="69" t="s">
        <v>507</v>
      </c>
      <c r="E965" s="425">
        <f>IF(calcProductTimeline&lt;=$Q965,INDEX(datatblStackFocusImpact,MATCH(decProductStackFocus,Data!$C$96:$C$101,0),2),0)+paramACVGrowthStack</f>
        <v>0</v>
      </c>
      <c r="F965" s="425">
        <f>IF(calcProductTimeline&lt;=$Q965,INDEX(datatblStackFocusImpact,MATCH(decProductStackFocus,Data!$C$96:$C$101,0),2),0)+paramACVGrowthStack</f>
        <v>0</v>
      </c>
      <c r="G965" s="425">
        <f>IF(calcProductTimeline&lt;=$Q965,INDEX(datatblStackFocusImpact,MATCH(decProductStackFocus,Data!$C$96:$C$101,0),2),0)+paramACVGrowthStack</f>
        <v>0</v>
      </c>
      <c r="H965" s="425">
        <f>IF(calcProductTimeline&lt;=$Q965,INDEX(datatblStackFocusImpact,MATCH(decProductStackFocus,Data!$C$96:$C$101,0),2),0)+paramACVGrowthStack</f>
        <v>0</v>
      </c>
      <c r="I965" s="425">
        <f>IF(calcProductTimeline&lt;=$Q965,INDEX(datatblStackFocusImpact,MATCH(decProductStackFocus,Data!$C$96:$C$101,0),2),0)+paramACVGrowthStack</f>
        <v>0</v>
      </c>
      <c r="J965" s="425">
        <f>IF(calcProductTimeline&lt;=$Q965,INDEX(datatblStackFocusImpact,MATCH(decProductStackFocus,Data!$C$96:$C$101,0),2),0)+paramACVGrowthStack</f>
        <v>0</v>
      </c>
      <c r="K965" s="425">
        <f>IF(calcProductTimeline&lt;=$Q965,INDEX(datatblStackFocusImpact,MATCH(decProductStackFocus,Data!$C$96:$C$101,0),2),0)+paramACVGrowthStack</f>
        <v>0</v>
      </c>
      <c r="L965" s="425">
        <f>IF(calcProductTimeline&lt;=$Q965,INDEX(datatblStackFocusImpact,MATCH(decProductStackFocus,Data!$C$96:$C$101,0),2),0)+paramACVGrowthStack</f>
        <v>0</v>
      </c>
      <c r="M965" s="425">
        <f>IF(calcProductTimeline&lt;=$Q965,INDEX(datatblStackFocusImpact,MATCH(decProductStackFocus,Data!$C$96:$C$101,0),2),0)+paramACVGrowthStack</f>
        <v>0</v>
      </c>
      <c r="N965" s="425">
        <f>IF(calcProductTimeline&lt;=$Q965,INDEX(datatblStackFocusImpact,MATCH(decProductStackFocus,Data!$C$96:$C$101,0),2),0)+paramACVGrowthStack</f>
        <v>0</v>
      </c>
      <c r="Q965" s="69">
        <f>Q964</f>
        <v>9</v>
      </c>
    </row>
    <row r="966" spans="1:18">
      <c r="D966" s="69" t="s">
        <v>2237</v>
      </c>
      <c r="E966" s="425">
        <f>IF(calcExternalSalesTimeline&lt;=$Q966,INDEX(datatblExternalSalesImpact,MATCH(decGTMExternalSales,Data!$C$85:$C$90,0),2),0)</f>
        <v>0</v>
      </c>
      <c r="F966" s="425">
        <f>IF(calcExternalSalesTimeline&lt;=$Q966,INDEX(datatblExternalSalesImpact,MATCH(decGTMExternalSales,Data!$C$85:$C$90,0),2),0)</f>
        <v>0</v>
      </c>
      <c r="G966" s="425">
        <f>IF(calcExternalSalesTimeline&lt;=$Q966,INDEX(datatblExternalSalesImpact,MATCH(decGTMExternalSales,Data!$C$85:$C$90,0),2),0)</f>
        <v>0</v>
      </c>
      <c r="H966" s="425">
        <f>IF(calcExternalSalesTimeline&lt;=$Q966,INDEX(datatblExternalSalesImpact,MATCH(decGTMExternalSales,Data!$C$85:$C$90,0),2),0)</f>
        <v>0</v>
      </c>
      <c r="I966" s="425">
        <f>IF(calcExternalSalesTimeline&lt;=$Q966,INDEX(datatblExternalSalesImpact,MATCH(decGTMExternalSales,Data!$C$85:$C$90,0),2),0)</f>
        <v>0</v>
      </c>
      <c r="J966" s="425">
        <f>IF(calcExternalSalesTimeline&lt;=$Q966,INDEX(datatblExternalSalesImpact,MATCH(decGTMExternalSales,Data!$C$85:$C$90,0),2),0)</f>
        <v>0</v>
      </c>
      <c r="K966" s="425">
        <f>IF(calcExternalSalesTimeline&lt;=$Q966,INDEX(datatblExternalSalesImpact,MATCH(decGTMExternalSales,Data!$C$85:$C$90,0),2),0)</f>
        <v>0</v>
      </c>
      <c r="L966" s="425">
        <f>IF(calcExternalSalesTimeline&lt;=$Q966,INDEX(datatblExternalSalesImpact,MATCH(decGTMExternalSales,Data!$C$85:$C$90,0),2),0)</f>
        <v>0</v>
      </c>
      <c r="M966" s="425">
        <f>IF(calcExternalSalesTimeline&lt;=$Q966,INDEX(datatblExternalSalesImpact,MATCH(decGTMExternalSales,Data!$C$85:$C$90,0),2),0)</f>
        <v>0</v>
      </c>
      <c r="N966" s="425">
        <f>IF(calcExternalSalesTimeline&lt;=$Q966,INDEX(datatblExternalSalesImpact,MATCH(decGTMExternalSales,Data!$C$85:$C$90,0),2),0)</f>
        <v>0</v>
      </c>
      <c r="O966" s="482"/>
      <c r="P966" s="482"/>
      <c r="Q966" s="69">
        <f>Q965</f>
        <v>9</v>
      </c>
    </row>
    <row r="967" spans="1:18">
      <c r="D967" s="69" t="s">
        <v>2284</v>
      </c>
      <c r="E967" s="425">
        <f>IF(calcCSGTimeline&lt;=$Q967,INDEX(datatblCSGPostSales,MATCH(decGTMCSGPostSales,Data!$C$204:$C$209,0),3),0)</f>
        <v>0</v>
      </c>
      <c r="F967" s="425">
        <f>IF(calcCSGTimeline&lt;=$Q967,INDEX(datatblCSGPostSales,MATCH(decGTMCSGPostSales,Data!$C$204:$C$209,0),3),0)</f>
        <v>0</v>
      </c>
      <c r="G967" s="425">
        <f>IF(calcCSGTimeline&lt;=$Q967,INDEX(datatblCSGPostSales,MATCH(decGTMCSGPostSales,Data!$C$204:$C$209,0),3),0)</f>
        <v>0</v>
      </c>
      <c r="H967" s="425">
        <f>IF(calcCSGTimeline&lt;=$Q967,INDEX(datatblCSGPostSales,MATCH(decGTMCSGPostSales,Data!$C$204:$C$209,0),3),0)</f>
        <v>0</v>
      </c>
      <c r="I967" s="425">
        <f>IF(calcCSGTimeline&lt;=$Q967,INDEX(datatblCSGPostSales,MATCH(decGTMCSGPostSales,Data!$C$204:$C$209,0),3),0)</f>
        <v>0</v>
      </c>
      <c r="J967" s="425">
        <f>IF(calcCSGTimeline&lt;=$Q967,INDEX(datatblCSGPostSales,MATCH(decGTMCSGPostSales,Data!$C$204:$C$209,0),3),0)</f>
        <v>0</v>
      </c>
      <c r="K967" s="425">
        <f>IF(calcCSGTimeline&lt;=$Q967,INDEX(datatblCSGPostSales,MATCH(decGTMCSGPostSales,Data!$C$204:$C$209,0),3),0)</f>
        <v>0</v>
      </c>
      <c r="L967" s="425">
        <f>IF(calcCSGTimeline&lt;=$Q967,INDEX(datatblCSGPostSales,MATCH(decGTMCSGPostSales,Data!$C$204:$C$209,0),3),0)</f>
        <v>0</v>
      </c>
      <c r="M967" s="425">
        <f>IF(calcCSGTimeline&lt;=$Q967,INDEX(datatblCSGPostSales,MATCH(decGTMCSGPostSales,Data!$C$204:$C$209,0),3),0)</f>
        <v>0</v>
      </c>
      <c r="N967" s="425">
        <f>IF(calcCSGTimeline&lt;=$Q967,INDEX(datatblCSGPostSales,MATCH(decGTMCSGPostSales,Data!$C$204:$C$209,0),3),0)</f>
        <v>0</v>
      </c>
      <c r="O967" s="482"/>
      <c r="P967" s="482"/>
      <c r="Q967" s="69">
        <f>Q966</f>
        <v>9</v>
      </c>
    </row>
    <row r="968" spans="1:18">
      <c r="D968" s="69" t="s">
        <v>3079</v>
      </c>
      <c r="E968" s="425">
        <f>IF(calcBrandIntegrationTimeline&lt;=$Q968,INDEX(datatblBrandIntegration,MATCH(decGTMBrandIntegration,Data!$C$220:$C$226,0),3),0)</f>
        <v>0</v>
      </c>
      <c r="F968" s="425">
        <f>IF(calcBrandIntegrationTimeline&lt;=$Q968,INDEX(datatblBrandIntegration,MATCH(decGTMBrandIntegration,Data!$C$220:$C$226,0),3),0)</f>
        <v>0</v>
      </c>
      <c r="G968" s="425">
        <f>IF(calcBrandIntegrationTimeline&lt;=$Q968,INDEX(datatblBrandIntegration,MATCH(decGTMBrandIntegration,Data!$C$220:$C$226,0),3),0)</f>
        <v>0</v>
      </c>
      <c r="H968" s="425">
        <f>IF(calcBrandIntegrationTimeline&lt;=$Q968,INDEX(datatblBrandIntegration,MATCH(decGTMBrandIntegration,Data!$C$220:$C$226,0),3),0)</f>
        <v>0</v>
      </c>
      <c r="I968" s="425">
        <f>IF(calcBrandIntegrationTimeline&lt;=$Q968,INDEX(datatblBrandIntegration,MATCH(decGTMBrandIntegration,Data!$C$220:$C$226,0),3),0)</f>
        <v>0</v>
      </c>
      <c r="J968" s="425">
        <f>IF(calcBrandIntegrationTimeline&lt;=$Q968,INDEX(datatblBrandIntegration,MATCH(decGTMBrandIntegration,Data!$C$220:$C$226,0),3),0)</f>
        <v>0</v>
      </c>
      <c r="K968" s="425">
        <f>IF(calcBrandIntegrationTimeline&lt;=$Q968,INDEX(datatblBrandIntegration,MATCH(decGTMBrandIntegration,Data!$C$220:$C$226,0),3),0)</f>
        <v>0</v>
      </c>
      <c r="L968" s="425">
        <f>IF(calcBrandIntegrationTimeline&lt;=$Q968,INDEX(datatblBrandIntegration,MATCH(decGTMBrandIntegration,Data!$C$220:$C$226,0),3),0)</f>
        <v>0</v>
      </c>
      <c r="M968" s="425">
        <f>IF(calcBrandIntegrationTimeline&lt;=$Q968,INDEX(datatblBrandIntegration,MATCH(decGTMBrandIntegration,Data!$C$220:$C$226,0),3),0)</f>
        <v>0</v>
      </c>
      <c r="N968" s="425">
        <f>IF(calcBrandIntegrationTimeline&lt;=$Q968,INDEX(datatblBrandIntegration,MATCH(decGTMBrandIntegration,Data!$C$220:$C$226,0),3),0)</f>
        <v>0</v>
      </c>
      <c r="O968" s="482"/>
      <c r="P968" s="482"/>
      <c r="Q968" s="69">
        <f>Q967</f>
        <v>9</v>
      </c>
    </row>
    <row r="969" spans="1:18">
      <c r="D969" s="69" t="s">
        <v>2277</v>
      </c>
      <c r="E969" s="425">
        <f>IF(decGTMOrg62Timeline="choose",0,IF(E964=0,INDEX(datatblLeadPass,MATCH(decGTMLeadPass,Data!$C$212:$C$217,0),3),0))</f>
        <v>0</v>
      </c>
      <c r="F969" s="425">
        <f>IF(decGTMOrg62Timeline="choose",0,IF(F964=0,INDEX(datatblLeadPass,MATCH(decGTMLeadPass,Data!$C$212:$C$217,0),3),0))</f>
        <v>0</v>
      </c>
      <c r="G969" s="425">
        <f>IF(decGTMOrg62Timeline="choose",0,IF(G964=0,INDEX(datatblLeadPass,MATCH(decGTMLeadPass,Data!$C$212:$C$217,0),3),0))</f>
        <v>0</v>
      </c>
      <c r="H969" s="425">
        <f>IF(decGTMOrg62Timeline="choose",0,IF(H964=0,INDEX(datatblLeadPass,MATCH(decGTMLeadPass,Data!$C$212:$C$217,0),3),0))</f>
        <v>0</v>
      </c>
      <c r="I969" s="425">
        <f>IF(decGTMOrg62Timeline="choose",0,IF(I964=0,INDEX(datatblLeadPass,MATCH(decGTMLeadPass,Data!$C$212:$C$217,0),3),0))</f>
        <v>0</v>
      </c>
      <c r="J969" s="425">
        <f>IF(decGTMOrg62Timeline="choose",0,IF(J964=0,INDEX(datatblLeadPass,MATCH(decGTMLeadPass,Data!$C$212:$C$217,0),3),0))</f>
        <v>0</v>
      </c>
      <c r="K969" s="425">
        <f>IF(decGTMOrg62Timeline="choose",0,IF(K964=0,INDEX(datatblLeadPass,MATCH(decGTMLeadPass,Data!$C$212:$C$217,0),3),0))</f>
        <v>0</v>
      </c>
      <c r="L969" s="425">
        <f>IF(decGTMOrg62Timeline="choose",0,IF(L964=0,INDEX(datatblLeadPass,MATCH(decGTMLeadPass,Data!$C$212:$C$217,0),3),0))</f>
        <v>0</v>
      </c>
      <c r="M969" s="425">
        <f>IF(decGTMOrg62Timeline="choose",0,IF(M964=0,INDEX(datatblLeadPass,MATCH(decGTMLeadPass,Data!$C$212:$C$217,0),3),0))</f>
        <v>0</v>
      </c>
      <c r="N969" s="425">
        <f>IF(decGTMOrg62Timeline="choose",0,IF(N964=0,INDEX(datatblLeadPass,MATCH(decGTMLeadPass,Data!$C$212:$C$217,0),3),0))</f>
        <v>0</v>
      </c>
      <c r="O969" s="482"/>
      <c r="P969" s="482"/>
    </row>
    <row r="970" spans="1:18">
      <c r="D970" s="69" t="s">
        <v>1032</v>
      </c>
      <c r="E970" s="425">
        <f t="shared" ref="E970:N970" si="644">IF(decSecurityProductRestrictions="Yes",$Q970,IF(decSecurityProductRestrictions="No",$R970,$S970))</f>
        <v>0</v>
      </c>
      <c r="F970" s="425">
        <f t="shared" si="644"/>
        <v>0</v>
      </c>
      <c r="G970" s="425">
        <f t="shared" si="644"/>
        <v>0</v>
      </c>
      <c r="H970" s="425">
        <f t="shared" si="644"/>
        <v>0</v>
      </c>
      <c r="I970" s="425">
        <f t="shared" si="644"/>
        <v>0</v>
      </c>
      <c r="J970" s="425">
        <f t="shared" si="644"/>
        <v>0</v>
      </c>
      <c r="K970" s="425">
        <f t="shared" si="644"/>
        <v>0</v>
      </c>
      <c r="L970" s="425">
        <f t="shared" si="644"/>
        <v>0</v>
      </c>
      <c r="M970" s="425">
        <f t="shared" si="644"/>
        <v>0</v>
      </c>
      <c r="N970" s="425">
        <f t="shared" si="644"/>
        <v>0</v>
      </c>
      <c r="Q970" s="482">
        <f>xxProductRestrictionACVHit</f>
        <v>-0.02</v>
      </c>
      <c r="R970" s="482">
        <f>xxProductRestrictionACVIncrease</f>
        <v>0.02</v>
      </c>
    </row>
    <row r="971" spans="1:18" s="217" customFormat="1">
      <c r="D971" s="217" t="s">
        <v>1758</v>
      </c>
      <c r="E971" s="411">
        <f t="shared" ref="E971:N971" si="645">SUM(E964:E970)+paramACVGrowthBaseline</f>
        <v>0</v>
      </c>
      <c r="F971" s="411">
        <f t="shared" si="645"/>
        <v>0</v>
      </c>
      <c r="G971" s="411">
        <f t="shared" si="645"/>
        <v>0</v>
      </c>
      <c r="H971" s="411">
        <f t="shared" si="645"/>
        <v>0</v>
      </c>
      <c r="I971" s="411">
        <f t="shared" si="645"/>
        <v>0</v>
      </c>
      <c r="J971" s="411">
        <f t="shared" si="645"/>
        <v>0</v>
      </c>
      <c r="K971" s="411">
        <f t="shared" si="645"/>
        <v>0</v>
      </c>
      <c r="L971" s="411">
        <f t="shared" si="645"/>
        <v>0</v>
      </c>
      <c r="M971" s="411">
        <f t="shared" si="645"/>
        <v>0</v>
      </c>
      <c r="N971" s="411">
        <f t="shared" si="645"/>
        <v>0</v>
      </c>
      <c r="O971" s="217" t="s">
        <v>1763</v>
      </c>
    </row>
    <row r="972" spans="1:18" s="217" customFormat="1">
      <c r="E972" s="411"/>
      <c r="F972" s="411"/>
      <c r="G972" s="411"/>
      <c r="H972" s="411"/>
      <c r="I972" s="411"/>
      <c r="J972" s="411"/>
      <c r="K972" s="411"/>
      <c r="L972" s="411"/>
      <c r="M972" s="411"/>
      <c r="N972" s="411"/>
    </row>
    <row r="973" spans="1:18" s="217" customFormat="1">
      <c r="A973" s="217">
        <v>1</v>
      </c>
      <c r="B973" s="10" t="s">
        <v>1735</v>
      </c>
      <c r="C973" s="11" t="s">
        <v>899</v>
      </c>
      <c r="D973" s="217">
        <f>IF(A973=B958,"New Revenue Adjustments",IF(AND(C973=D958,A973&lt;B958),"Attrition Necessary",0))</f>
        <v>0</v>
      </c>
      <c r="E973" s="522">
        <f t="shared" ref="E973:N982" si="646">IF($B$958&gt;$A973,INDEX(calcY1Q2RevFlow,$A973,calcTeamNum)*(IF($D973="Attrition Necessary",1-calcQ2AttritionDifference,1)*(IF($D973="New Revenue Adjustments",1+calcQ3RevenueAdjustment,1))),INDEX(dataY1Q3Rev,$A973,)*(IF($D973="Attrition Necessary",1-calcQ2AttritionDifference,1))*(IF($D973="New Revenue Adjustments",1+calcQ3RevenueAdjustment,1)))</f>
        <v>919792.217204349</v>
      </c>
      <c r="F973" s="522">
        <f t="shared" si="646"/>
        <v>919792.217204349</v>
      </c>
      <c r="G973" s="522">
        <f t="shared" si="646"/>
        <v>919792.217204349</v>
      </c>
      <c r="H973" s="522">
        <f t="shared" si="646"/>
        <v>919792.217204349</v>
      </c>
      <c r="I973" s="522">
        <f t="shared" si="646"/>
        <v>919792.217204349</v>
      </c>
      <c r="J973" s="522">
        <f t="shared" si="646"/>
        <v>919792.217204349</v>
      </c>
      <c r="K973" s="522">
        <f t="shared" si="646"/>
        <v>919792.217204349</v>
      </c>
      <c r="L973" s="522">
        <f t="shared" si="646"/>
        <v>919792.217204349</v>
      </c>
      <c r="M973" s="522">
        <f t="shared" si="646"/>
        <v>919792.217204349</v>
      </c>
      <c r="N973" s="522">
        <f t="shared" si="646"/>
        <v>919792.217204349</v>
      </c>
      <c r="O973" s="410" t="s">
        <v>1815</v>
      </c>
    </row>
    <row r="974" spans="1:18" s="217" customFormat="1">
      <c r="A974" s="217">
        <v>2</v>
      </c>
      <c r="B974" s="10" t="s">
        <v>1735</v>
      </c>
      <c r="C974" s="11" t="s">
        <v>900</v>
      </c>
      <c r="D974" s="217">
        <f>IF(A974=B958,"New Revenue Adjustments",IF(AND(C974=D958,A974&lt;B958),"Attrition Necessary",0))</f>
        <v>0</v>
      </c>
      <c r="E974" s="522">
        <f t="shared" si="646"/>
        <v>1623162.7362429691</v>
      </c>
      <c r="F974" s="522">
        <f t="shared" si="646"/>
        <v>1623162.7362429691</v>
      </c>
      <c r="G974" s="522">
        <f t="shared" si="646"/>
        <v>1623162.7362429691</v>
      </c>
      <c r="H974" s="522">
        <f t="shared" si="646"/>
        <v>1623162.7362429691</v>
      </c>
      <c r="I974" s="522">
        <f t="shared" si="646"/>
        <v>1623162.7362429691</v>
      </c>
      <c r="J974" s="522">
        <f t="shared" si="646"/>
        <v>1623162.7362429691</v>
      </c>
      <c r="K974" s="522">
        <f t="shared" si="646"/>
        <v>1623162.7362429691</v>
      </c>
      <c r="L974" s="522">
        <f t="shared" si="646"/>
        <v>1623162.7362429691</v>
      </c>
      <c r="M974" s="522">
        <f t="shared" si="646"/>
        <v>1623162.7362429691</v>
      </c>
      <c r="N974" s="522">
        <f t="shared" si="646"/>
        <v>1623162.7362429691</v>
      </c>
      <c r="O974" s="410" t="s">
        <v>1816</v>
      </c>
    </row>
    <row r="975" spans="1:18" s="217" customFormat="1">
      <c r="A975" s="217">
        <v>3</v>
      </c>
      <c r="B975" s="10" t="s">
        <v>1735</v>
      </c>
      <c r="C975" s="11" t="s">
        <v>901</v>
      </c>
      <c r="D975" s="217" t="str">
        <f>IF(A975=B958,"New Revenue Adjustments",IF(AND(C975=D958,A975&lt;B958),"Attrition Necessary",0))</f>
        <v>Attrition Necessary</v>
      </c>
      <c r="E975" s="522">
        <f t="shared" si="646"/>
        <v>2164216.9816572918</v>
      </c>
      <c r="F975" s="522">
        <f t="shared" si="646"/>
        <v>2164216.9816572918</v>
      </c>
      <c r="G975" s="522">
        <f t="shared" si="646"/>
        <v>2164216.9816572918</v>
      </c>
      <c r="H975" s="522">
        <f t="shared" si="646"/>
        <v>2164216.9816572918</v>
      </c>
      <c r="I975" s="522">
        <f t="shared" si="646"/>
        <v>2164216.9816572918</v>
      </c>
      <c r="J975" s="522">
        <f t="shared" si="646"/>
        <v>2164216.9816572918</v>
      </c>
      <c r="K975" s="522">
        <f t="shared" si="646"/>
        <v>2164216.9816572918</v>
      </c>
      <c r="L975" s="522">
        <f t="shared" si="646"/>
        <v>2164216.9816572918</v>
      </c>
      <c r="M975" s="522">
        <f t="shared" si="646"/>
        <v>2164216.9816572918</v>
      </c>
      <c r="N975" s="522">
        <f t="shared" si="646"/>
        <v>2164216.9816572918</v>
      </c>
      <c r="O975" s="410" t="s">
        <v>1817</v>
      </c>
    </row>
    <row r="976" spans="1:18" s="217" customFormat="1">
      <c r="A976" s="217">
        <v>4</v>
      </c>
      <c r="B976" s="10" t="s">
        <v>1735</v>
      </c>
      <c r="C976" s="11" t="s">
        <v>902</v>
      </c>
      <c r="D976" s="217">
        <f>IF(A976=B958,"New Revenue Adjustments",IF(AND(C976=D958,A976&lt;B958),"Attrition Necessary",0))</f>
        <v>0</v>
      </c>
      <c r="E976" s="522">
        <f t="shared" si="646"/>
        <v>2699741.7148073944</v>
      </c>
      <c r="F976" s="522">
        <f t="shared" si="646"/>
        <v>2699741.7148073944</v>
      </c>
      <c r="G976" s="522">
        <f t="shared" si="646"/>
        <v>2699741.7148073944</v>
      </c>
      <c r="H976" s="522">
        <f t="shared" si="646"/>
        <v>2699741.7148073944</v>
      </c>
      <c r="I976" s="522">
        <f t="shared" si="646"/>
        <v>2699741.7148073944</v>
      </c>
      <c r="J976" s="522">
        <f t="shared" si="646"/>
        <v>2699741.7148073944</v>
      </c>
      <c r="K976" s="522">
        <f t="shared" si="646"/>
        <v>2699741.7148073944</v>
      </c>
      <c r="L976" s="522">
        <f t="shared" si="646"/>
        <v>2699741.7148073944</v>
      </c>
      <c r="M976" s="522">
        <f t="shared" si="646"/>
        <v>2699741.7148073944</v>
      </c>
      <c r="N976" s="522">
        <f t="shared" si="646"/>
        <v>2699741.7148073944</v>
      </c>
      <c r="O976" s="410" t="s">
        <v>1818</v>
      </c>
    </row>
    <row r="977" spans="1:15" s="217" customFormat="1">
      <c r="A977" s="217">
        <v>5</v>
      </c>
      <c r="B977" s="10" t="s">
        <v>1729</v>
      </c>
      <c r="C977" s="11" t="s">
        <v>899</v>
      </c>
      <c r="D977" s="217">
        <f>IF(A977=B958,"New Revenue Adjustments",IF(AND(C977=D958,A977&lt;B958),"Attrition Necessary",0))</f>
        <v>0</v>
      </c>
      <c r="E977" s="522">
        <f t="shared" si="646"/>
        <v>1082108.4908286459</v>
      </c>
      <c r="F977" s="522">
        <f t="shared" si="646"/>
        <v>1082108.4908286459</v>
      </c>
      <c r="G977" s="522">
        <f t="shared" si="646"/>
        <v>1082108.4908286459</v>
      </c>
      <c r="H977" s="522">
        <f t="shared" si="646"/>
        <v>1082108.4908286459</v>
      </c>
      <c r="I977" s="522">
        <f t="shared" si="646"/>
        <v>1082108.4908286459</v>
      </c>
      <c r="J977" s="522">
        <f t="shared" si="646"/>
        <v>1082108.4908286459</v>
      </c>
      <c r="K977" s="522">
        <f t="shared" si="646"/>
        <v>1082108.4908286459</v>
      </c>
      <c r="L977" s="522">
        <f t="shared" si="646"/>
        <v>1082108.4908286459</v>
      </c>
      <c r="M977" s="522">
        <f t="shared" si="646"/>
        <v>1082108.4908286459</v>
      </c>
      <c r="N977" s="522">
        <f t="shared" si="646"/>
        <v>1082108.4908286459</v>
      </c>
      <c r="O977" s="410" t="s">
        <v>1819</v>
      </c>
    </row>
    <row r="978" spans="1:15" s="217" customFormat="1">
      <c r="A978" s="217">
        <v>6</v>
      </c>
      <c r="B978" s="10" t="s">
        <v>1729</v>
      </c>
      <c r="C978" s="11" t="s">
        <v>900</v>
      </c>
      <c r="D978" s="217">
        <f>IF(A978=B958,"New Revenue Adjustments",IF(AND(C978=D958,A978&lt;B958),"Attrition Necessary",0))</f>
        <v>0</v>
      </c>
      <c r="E978" s="522">
        <f t="shared" si="646"/>
        <v>1558746.552050268</v>
      </c>
      <c r="F978" s="522">
        <f t="shared" si="646"/>
        <v>1558746.552050268</v>
      </c>
      <c r="G978" s="522">
        <f t="shared" si="646"/>
        <v>1558746.552050268</v>
      </c>
      <c r="H978" s="522">
        <f t="shared" si="646"/>
        <v>1558746.552050268</v>
      </c>
      <c r="I978" s="522">
        <f t="shared" si="646"/>
        <v>1558746.552050268</v>
      </c>
      <c r="J978" s="522">
        <f t="shared" si="646"/>
        <v>1558746.552050268</v>
      </c>
      <c r="K978" s="522">
        <f t="shared" si="646"/>
        <v>1558746.552050268</v>
      </c>
      <c r="L978" s="522">
        <f t="shared" si="646"/>
        <v>1558746.552050268</v>
      </c>
      <c r="M978" s="522">
        <f t="shared" si="646"/>
        <v>1558746.552050268</v>
      </c>
      <c r="N978" s="522">
        <f t="shared" si="646"/>
        <v>1558746.552050268</v>
      </c>
      <c r="O978" s="410" t="s">
        <v>1820</v>
      </c>
    </row>
    <row r="979" spans="1:15" s="217" customFormat="1">
      <c r="A979" s="217">
        <v>7</v>
      </c>
      <c r="B979" s="10" t="s">
        <v>1729</v>
      </c>
      <c r="C979" s="11" t="s">
        <v>901</v>
      </c>
      <c r="D979" s="217" t="str">
        <f>IF(A979=B958,"New Revenue Adjustments",IF(AND(C979=D958,A979&lt;B958),"Attrition Necessary",0))</f>
        <v>Attrition Necessary</v>
      </c>
      <c r="E979" s="522">
        <f t="shared" si="646"/>
        <v>2408971.9440776873</v>
      </c>
      <c r="F979" s="522">
        <f t="shared" si="646"/>
        <v>2408971.9440776873</v>
      </c>
      <c r="G979" s="522">
        <f t="shared" si="646"/>
        <v>2408971.9440776873</v>
      </c>
      <c r="H979" s="522">
        <f t="shared" si="646"/>
        <v>2408971.9440776873</v>
      </c>
      <c r="I979" s="522">
        <f t="shared" si="646"/>
        <v>2408971.9440776873</v>
      </c>
      <c r="J979" s="522">
        <f t="shared" si="646"/>
        <v>2408971.9440776873</v>
      </c>
      <c r="K979" s="522">
        <f t="shared" si="646"/>
        <v>2408971.9440776873</v>
      </c>
      <c r="L979" s="522">
        <f t="shared" si="646"/>
        <v>2408971.9440776873</v>
      </c>
      <c r="M979" s="522">
        <f t="shared" si="646"/>
        <v>2408971.9440776873</v>
      </c>
      <c r="N979" s="522">
        <f t="shared" si="646"/>
        <v>2408971.9440776873</v>
      </c>
      <c r="O979" s="410" t="s">
        <v>1821</v>
      </c>
    </row>
    <row r="980" spans="1:15" s="217" customFormat="1">
      <c r="A980" s="217">
        <v>8</v>
      </c>
      <c r="B980" s="10" t="s">
        <v>1729</v>
      </c>
      <c r="C980" s="11" t="s">
        <v>902</v>
      </c>
      <c r="D980" s="217">
        <f>IF(A980=B958,"New Revenue Adjustments",IF(AND(C980=D958,A980&lt;B958),"Attrition Necessary",0))</f>
        <v>0</v>
      </c>
      <c r="E980" s="522">
        <f t="shared" si="646"/>
        <v>3535364.7952112975</v>
      </c>
      <c r="F980" s="522">
        <f t="shared" si="646"/>
        <v>3535364.7952112975</v>
      </c>
      <c r="G980" s="522">
        <f t="shared" si="646"/>
        <v>3535364.7952112975</v>
      </c>
      <c r="H980" s="522">
        <f t="shared" si="646"/>
        <v>3535364.7952112975</v>
      </c>
      <c r="I980" s="522">
        <f t="shared" si="646"/>
        <v>3535364.7952112975</v>
      </c>
      <c r="J980" s="522">
        <f t="shared" si="646"/>
        <v>3535364.7952112975</v>
      </c>
      <c r="K980" s="522">
        <f t="shared" si="646"/>
        <v>3535364.7952112975</v>
      </c>
      <c r="L980" s="522">
        <f t="shared" si="646"/>
        <v>3535364.7952112975</v>
      </c>
      <c r="M980" s="522">
        <f t="shared" si="646"/>
        <v>3535364.7952112975</v>
      </c>
      <c r="N980" s="522">
        <f t="shared" si="646"/>
        <v>3535364.7952112975</v>
      </c>
      <c r="O980" s="410" t="s">
        <v>1822</v>
      </c>
    </row>
    <row r="981" spans="1:15" s="217" customFormat="1">
      <c r="A981" s="217">
        <v>9</v>
      </c>
      <c r="B981" s="10" t="s">
        <v>405</v>
      </c>
      <c r="C981" s="11" t="s">
        <v>899</v>
      </c>
      <c r="D981" s="217">
        <f>IF(A981=B958,"New Revenue Adjustments",IF(AND(C981=D958,A981&lt;B958),"Attrition Necessary",0))</f>
        <v>0</v>
      </c>
      <c r="E981" s="522">
        <f t="shared" si="646"/>
        <v>1594172.6100514105</v>
      </c>
      <c r="F981" s="522">
        <f t="shared" si="646"/>
        <v>1594172.6100514105</v>
      </c>
      <c r="G981" s="522">
        <f t="shared" si="646"/>
        <v>1594172.6100514105</v>
      </c>
      <c r="H981" s="522">
        <f t="shared" si="646"/>
        <v>1594172.6100514105</v>
      </c>
      <c r="I981" s="522">
        <f t="shared" si="646"/>
        <v>1594172.6100514105</v>
      </c>
      <c r="J981" s="522">
        <f t="shared" si="646"/>
        <v>1594172.6100514105</v>
      </c>
      <c r="K981" s="522">
        <f t="shared" si="646"/>
        <v>1594172.6100514105</v>
      </c>
      <c r="L981" s="522">
        <f t="shared" si="646"/>
        <v>1594172.6100514105</v>
      </c>
      <c r="M981" s="522">
        <f t="shared" si="646"/>
        <v>1594172.6100514105</v>
      </c>
      <c r="N981" s="522">
        <f t="shared" si="646"/>
        <v>1594172.6100514105</v>
      </c>
      <c r="O981" s="410" t="s">
        <v>1823</v>
      </c>
    </row>
    <row r="982" spans="1:15" s="217" customFormat="1">
      <c r="A982" s="217">
        <v>10</v>
      </c>
      <c r="B982" s="10" t="s">
        <v>405</v>
      </c>
      <c r="C982" s="11" t="s">
        <v>900</v>
      </c>
      <c r="D982" s="217">
        <f>IF(A982=B958,"New Revenue Adjustments",IF(AND(C982=D958,A982&lt;B958),"Attrition Necessary",0))</f>
        <v>0</v>
      </c>
      <c r="E982" s="522">
        <f t="shared" si="646"/>
        <v>2296360.3745385483</v>
      </c>
      <c r="F982" s="522">
        <f t="shared" si="646"/>
        <v>2296360.3745385483</v>
      </c>
      <c r="G982" s="522">
        <f t="shared" si="646"/>
        <v>2296360.3745385483</v>
      </c>
      <c r="H982" s="522">
        <f t="shared" si="646"/>
        <v>2296360.3745385483</v>
      </c>
      <c r="I982" s="522">
        <f t="shared" si="646"/>
        <v>2296360.3745385483</v>
      </c>
      <c r="J982" s="522">
        <f t="shared" si="646"/>
        <v>2296360.3745385483</v>
      </c>
      <c r="K982" s="522">
        <f t="shared" si="646"/>
        <v>2296360.3745385483</v>
      </c>
      <c r="L982" s="522">
        <f t="shared" si="646"/>
        <v>2296360.3745385483</v>
      </c>
      <c r="M982" s="522">
        <f t="shared" si="646"/>
        <v>2296360.3745385483</v>
      </c>
      <c r="N982" s="522">
        <f t="shared" si="646"/>
        <v>2296360.3745385483</v>
      </c>
      <c r="O982" s="410" t="s">
        <v>1824</v>
      </c>
    </row>
    <row r="983" spans="1:15" s="217" customFormat="1">
      <c r="A983" s="217">
        <v>11</v>
      </c>
      <c r="B983" s="10" t="s">
        <v>405</v>
      </c>
      <c r="C983" s="11" t="s">
        <v>901</v>
      </c>
      <c r="D983" s="217" t="str">
        <f>IF(A983=B958,"New Revenue Adjustments",IF(AND(C983=D958,A983&lt;B958),"Attrition Necessary",0))</f>
        <v>Attrition Necessary</v>
      </c>
      <c r="E983" s="522">
        <f t="shared" ref="E983:N992" si="647">IF($B$958&gt;$A983,INDEX(calcY1Q2RevFlow,$A983,calcTeamNum)*(IF($D983="Attrition Necessary",1-calcQ2AttritionDifference,1)*(IF($D983="New Revenue Adjustments",1+calcQ3RevenueAdjustment,1))),INDEX(dataY1Q3Rev,$A983,)*(IF($D983="Attrition Necessary",1-calcQ2AttritionDifference,1))*(IF($D983="New Revenue Adjustments",1+calcQ3RevenueAdjustment,1)))</f>
        <v>3548920.5788323022</v>
      </c>
      <c r="F983" s="522">
        <f t="shared" si="647"/>
        <v>3548920.5788323022</v>
      </c>
      <c r="G983" s="522">
        <f t="shared" si="647"/>
        <v>3548920.5788323022</v>
      </c>
      <c r="H983" s="522">
        <f t="shared" si="647"/>
        <v>3548920.5788323022</v>
      </c>
      <c r="I983" s="522">
        <f t="shared" si="647"/>
        <v>3548920.5788323022</v>
      </c>
      <c r="J983" s="522">
        <f t="shared" si="647"/>
        <v>3548920.5788323022</v>
      </c>
      <c r="K983" s="522">
        <f t="shared" si="647"/>
        <v>3548920.5788323022</v>
      </c>
      <c r="L983" s="522">
        <f t="shared" si="647"/>
        <v>3548920.5788323022</v>
      </c>
      <c r="M983" s="522">
        <f t="shared" si="647"/>
        <v>3548920.5788323022</v>
      </c>
      <c r="N983" s="522">
        <f t="shared" si="647"/>
        <v>3548920.5788323022</v>
      </c>
      <c r="O983" s="410" t="s">
        <v>1825</v>
      </c>
    </row>
    <row r="984" spans="1:15" s="217" customFormat="1">
      <c r="A984" s="217">
        <v>12</v>
      </c>
      <c r="B984" s="10" t="s">
        <v>405</v>
      </c>
      <c r="C984" s="11" t="s">
        <v>902</v>
      </c>
      <c r="D984" s="217">
        <f>IF(A984=B958,"New Revenue Adjustments",IF(AND(C984=D958,A984&lt;B958),"Attrition Necessary",0))</f>
        <v>0</v>
      </c>
      <c r="E984" s="522">
        <f t="shared" si="647"/>
        <v>5208333.333333333</v>
      </c>
      <c r="F984" s="522">
        <f t="shared" si="647"/>
        <v>5208333.333333333</v>
      </c>
      <c r="G984" s="522">
        <f t="shared" si="647"/>
        <v>5208333.333333333</v>
      </c>
      <c r="H984" s="522">
        <f t="shared" si="647"/>
        <v>5208333.333333333</v>
      </c>
      <c r="I984" s="522">
        <f t="shared" si="647"/>
        <v>5208333.333333333</v>
      </c>
      <c r="J984" s="522">
        <f t="shared" si="647"/>
        <v>5208333.333333333</v>
      </c>
      <c r="K984" s="522">
        <f t="shared" si="647"/>
        <v>5208333.333333333</v>
      </c>
      <c r="L984" s="522">
        <f t="shared" si="647"/>
        <v>5208333.333333333</v>
      </c>
      <c r="M984" s="522">
        <f t="shared" si="647"/>
        <v>5208333.333333333</v>
      </c>
      <c r="N984" s="522">
        <f t="shared" si="647"/>
        <v>5208333.333333333</v>
      </c>
      <c r="O984" s="410" t="s">
        <v>1826</v>
      </c>
    </row>
    <row r="985" spans="1:15" s="217" customFormat="1">
      <c r="A985" s="217">
        <v>13</v>
      </c>
      <c r="B985" s="10" t="s">
        <v>1278</v>
      </c>
      <c r="C985" s="11" t="s">
        <v>899</v>
      </c>
      <c r="D985" s="217">
        <f>IF(A985=B958,"New Revenue Adjustments",IF(AND(C985=D958,A985&lt;B958),"Attrition Necessary",0))</f>
        <v>0</v>
      </c>
      <c r="E985" s="522">
        <f t="shared" si="647"/>
        <v>2343750</v>
      </c>
      <c r="F985" s="522">
        <f t="shared" si="647"/>
        <v>2343750</v>
      </c>
      <c r="G985" s="522">
        <f t="shared" si="647"/>
        <v>2343750</v>
      </c>
      <c r="H985" s="522">
        <f t="shared" si="647"/>
        <v>2343750</v>
      </c>
      <c r="I985" s="522">
        <f t="shared" si="647"/>
        <v>2343750</v>
      </c>
      <c r="J985" s="522">
        <f t="shared" si="647"/>
        <v>2343750</v>
      </c>
      <c r="K985" s="522">
        <f t="shared" si="647"/>
        <v>2343750</v>
      </c>
      <c r="L985" s="522">
        <f t="shared" si="647"/>
        <v>2343750</v>
      </c>
      <c r="M985" s="522">
        <f t="shared" si="647"/>
        <v>2343750</v>
      </c>
      <c r="N985" s="522">
        <f t="shared" si="647"/>
        <v>2343750</v>
      </c>
      <c r="O985" s="410" t="s">
        <v>1827</v>
      </c>
    </row>
    <row r="986" spans="1:15" s="217" customFormat="1">
      <c r="A986" s="217">
        <v>14</v>
      </c>
      <c r="B986" s="10" t="s">
        <v>1278</v>
      </c>
      <c r="C986" s="11" t="s">
        <v>900</v>
      </c>
      <c r="D986" s="217">
        <f>IF(A986=B958,"New Revenue Adjustments",IF(AND(C986=D958,A986&lt;B958),"Attrition Necessary",0))</f>
        <v>0</v>
      </c>
      <c r="E986" s="522">
        <f t="shared" si="647"/>
        <v>2864583.333333333</v>
      </c>
      <c r="F986" s="522">
        <f t="shared" si="647"/>
        <v>2864583.333333333</v>
      </c>
      <c r="G986" s="522">
        <f t="shared" si="647"/>
        <v>2864583.333333333</v>
      </c>
      <c r="H986" s="522">
        <f t="shared" si="647"/>
        <v>2864583.333333333</v>
      </c>
      <c r="I986" s="522">
        <f t="shared" si="647"/>
        <v>2864583.333333333</v>
      </c>
      <c r="J986" s="522">
        <f t="shared" si="647"/>
        <v>2864583.333333333</v>
      </c>
      <c r="K986" s="522">
        <f t="shared" si="647"/>
        <v>2864583.333333333</v>
      </c>
      <c r="L986" s="522">
        <f t="shared" si="647"/>
        <v>2864583.333333333</v>
      </c>
      <c r="M986" s="522">
        <f t="shared" si="647"/>
        <v>2864583.333333333</v>
      </c>
      <c r="N986" s="522">
        <f t="shared" si="647"/>
        <v>2864583.333333333</v>
      </c>
      <c r="O986" s="410" t="s">
        <v>1828</v>
      </c>
    </row>
    <row r="987" spans="1:15" s="217" customFormat="1">
      <c r="A987" s="217">
        <v>15</v>
      </c>
      <c r="B987" s="10" t="s">
        <v>1278</v>
      </c>
      <c r="C987" s="11" t="s">
        <v>901</v>
      </c>
      <c r="D987" s="217" t="str">
        <f>IF(A987=B958,"New Revenue Adjustments",IF(AND(C987=D958,A987&lt;B958),"Attrition Necessary",0))</f>
        <v>New Revenue Adjustments</v>
      </c>
      <c r="E987" s="522">
        <f t="shared" si="647"/>
        <v>4427083.333333334</v>
      </c>
      <c r="F987" s="522">
        <f t="shared" si="647"/>
        <v>4427083.333333334</v>
      </c>
      <c r="G987" s="522">
        <f t="shared" si="647"/>
        <v>4427083.333333334</v>
      </c>
      <c r="H987" s="522">
        <f t="shared" si="647"/>
        <v>4427083.333333334</v>
      </c>
      <c r="I987" s="522">
        <f t="shared" si="647"/>
        <v>4427083.333333334</v>
      </c>
      <c r="J987" s="522">
        <f t="shared" si="647"/>
        <v>4427083.333333334</v>
      </c>
      <c r="K987" s="522">
        <f t="shared" si="647"/>
        <v>4427083.333333334</v>
      </c>
      <c r="L987" s="522">
        <f t="shared" si="647"/>
        <v>4427083.333333334</v>
      </c>
      <c r="M987" s="522">
        <f t="shared" si="647"/>
        <v>4427083.333333334</v>
      </c>
      <c r="N987" s="522">
        <f t="shared" si="647"/>
        <v>4427083.333333334</v>
      </c>
      <c r="O987" s="410" t="s">
        <v>1829</v>
      </c>
    </row>
    <row r="988" spans="1:15" s="217" customFormat="1">
      <c r="A988" s="217">
        <v>16</v>
      </c>
      <c r="B988" s="10" t="s">
        <v>1278</v>
      </c>
      <c r="C988" s="11" t="s">
        <v>902</v>
      </c>
      <c r="D988" s="217">
        <f>IF(A988=B958,"New Revenue Adjustments",IF(AND(C988=D958,A988&lt;B958),"Attrition Necessary",0))</f>
        <v>0</v>
      </c>
      <c r="E988" s="522">
        <f t="shared" si="647"/>
        <v>0</v>
      </c>
      <c r="F988" s="522">
        <f t="shared" si="647"/>
        <v>0</v>
      </c>
      <c r="G988" s="522">
        <f t="shared" si="647"/>
        <v>0</v>
      </c>
      <c r="H988" s="522">
        <f t="shared" si="647"/>
        <v>0</v>
      </c>
      <c r="I988" s="522">
        <f t="shared" si="647"/>
        <v>0</v>
      </c>
      <c r="J988" s="522">
        <f t="shared" si="647"/>
        <v>0</v>
      </c>
      <c r="K988" s="522">
        <f t="shared" si="647"/>
        <v>0</v>
      </c>
      <c r="L988" s="522">
        <f t="shared" si="647"/>
        <v>0</v>
      </c>
      <c r="M988" s="522">
        <f t="shared" si="647"/>
        <v>0</v>
      </c>
      <c r="N988" s="522">
        <f t="shared" si="647"/>
        <v>0</v>
      </c>
      <c r="O988" s="410" t="s">
        <v>1830</v>
      </c>
    </row>
    <row r="989" spans="1:15" s="217" customFormat="1">
      <c r="A989" s="217">
        <v>17</v>
      </c>
      <c r="B989" s="10" t="s">
        <v>1279</v>
      </c>
      <c r="C989" s="11" t="s">
        <v>899</v>
      </c>
      <c r="D989" s="217">
        <f>IF(A989=B958,"New Revenue Adjustments",IF(AND(C989=D958,A989&lt;B958),"Attrition Necessary",0))</f>
        <v>0</v>
      </c>
      <c r="E989" s="522">
        <f t="shared" si="647"/>
        <v>0</v>
      </c>
      <c r="F989" s="522">
        <f t="shared" si="647"/>
        <v>0</v>
      </c>
      <c r="G989" s="522">
        <f t="shared" si="647"/>
        <v>0</v>
      </c>
      <c r="H989" s="522">
        <f t="shared" si="647"/>
        <v>0</v>
      </c>
      <c r="I989" s="522">
        <f t="shared" si="647"/>
        <v>0</v>
      </c>
      <c r="J989" s="522">
        <f t="shared" si="647"/>
        <v>0</v>
      </c>
      <c r="K989" s="522">
        <f t="shared" si="647"/>
        <v>0</v>
      </c>
      <c r="L989" s="522">
        <f t="shared" si="647"/>
        <v>0</v>
      </c>
      <c r="M989" s="522">
        <f t="shared" si="647"/>
        <v>0</v>
      </c>
      <c r="N989" s="522">
        <f t="shared" si="647"/>
        <v>0</v>
      </c>
      <c r="O989" s="410" t="s">
        <v>1831</v>
      </c>
    </row>
    <row r="990" spans="1:15" s="217" customFormat="1">
      <c r="A990" s="217">
        <v>18</v>
      </c>
      <c r="B990" s="10" t="s">
        <v>1279</v>
      </c>
      <c r="C990" s="11" t="s">
        <v>900</v>
      </c>
      <c r="D990" s="217">
        <f>IF(A990=B958,"New Revenue Adjustments",IF(AND(C990=D958,A990&lt;B958),"Attrition Necessary",0))</f>
        <v>0</v>
      </c>
      <c r="E990" s="522">
        <f t="shared" si="647"/>
        <v>0</v>
      </c>
      <c r="F990" s="522">
        <f t="shared" si="647"/>
        <v>0</v>
      </c>
      <c r="G990" s="522">
        <f t="shared" si="647"/>
        <v>0</v>
      </c>
      <c r="H990" s="522">
        <f t="shared" si="647"/>
        <v>0</v>
      </c>
      <c r="I990" s="522">
        <f t="shared" si="647"/>
        <v>0</v>
      </c>
      <c r="J990" s="522">
        <f t="shared" si="647"/>
        <v>0</v>
      </c>
      <c r="K990" s="522">
        <f t="shared" si="647"/>
        <v>0</v>
      </c>
      <c r="L990" s="522">
        <f t="shared" si="647"/>
        <v>0</v>
      </c>
      <c r="M990" s="522">
        <f t="shared" si="647"/>
        <v>0</v>
      </c>
      <c r="N990" s="522">
        <f t="shared" si="647"/>
        <v>0</v>
      </c>
      <c r="O990" s="410" t="s">
        <v>1832</v>
      </c>
    </row>
    <row r="991" spans="1:15" s="217" customFormat="1">
      <c r="A991" s="217">
        <v>19</v>
      </c>
      <c r="B991" s="10" t="s">
        <v>1279</v>
      </c>
      <c r="C991" s="11" t="s">
        <v>901</v>
      </c>
      <c r="D991" s="217">
        <f>IF(A991=B958,"New Revenue Adjustments",IF(AND(C991=D958,A991&lt;B958),"Attrition Necessary",0))</f>
        <v>0</v>
      </c>
      <c r="E991" s="522">
        <f t="shared" si="647"/>
        <v>0</v>
      </c>
      <c r="F991" s="522">
        <f t="shared" si="647"/>
        <v>0</v>
      </c>
      <c r="G991" s="522">
        <f t="shared" si="647"/>
        <v>0</v>
      </c>
      <c r="H991" s="522">
        <f t="shared" si="647"/>
        <v>0</v>
      </c>
      <c r="I991" s="522">
        <f t="shared" si="647"/>
        <v>0</v>
      </c>
      <c r="J991" s="522">
        <f t="shared" si="647"/>
        <v>0</v>
      </c>
      <c r="K991" s="522">
        <f t="shared" si="647"/>
        <v>0</v>
      </c>
      <c r="L991" s="522">
        <f t="shared" si="647"/>
        <v>0</v>
      </c>
      <c r="M991" s="522">
        <f t="shared" si="647"/>
        <v>0</v>
      </c>
      <c r="N991" s="522">
        <f t="shared" si="647"/>
        <v>0</v>
      </c>
      <c r="O991" s="410" t="s">
        <v>1833</v>
      </c>
    </row>
    <row r="992" spans="1:15" s="217" customFormat="1">
      <c r="A992" s="217">
        <v>20</v>
      </c>
      <c r="B992" s="10" t="s">
        <v>1279</v>
      </c>
      <c r="C992" s="11" t="s">
        <v>902</v>
      </c>
      <c r="D992" s="217">
        <f>IF(A992=B958,"New Revenue Adjustments",IF(AND(C992=D958,A992&lt;B958),"Attrition Necessary",0))</f>
        <v>0</v>
      </c>
      <c r="E992" s="522">
        <f t="shared" si="647"/>
        <v>0</v>
      </c>
      <c r="F992" s="522">
        <f t="shared" si="647"/>
        <v>0</v>
      </c>
      <c r="G992" s="522">
        <f t="shared" si="647"/>
        <v>0</v>
      </c>
      <c r="H992" s="522">
        <f t="shared" si="647"/>
        <v>0</v>
      </c>
      <c r="I992" s="522">
        <f t="shared" si="647"/>
        <v>0</v>
      </c>
      <c r="J992" s="522">
        <f t="shared" si="647"/>
        <v>0</v>
      </c>
      <c r="K992" s="522">
        <f t="shared" si="647"/>
        <v>0</v>
      </c>
      <c r="L992" s="522">
        <f t="shared" si="647"/>
        <v>0</v>
      </c>
      <c r="M992" s="522">
        <f t="shared" si="647"/>
        <v>0</v>
      </c>
      <c r="N992" s="522">
        <f t="shared" si="647"/>
        <v>0</v>
      </c>
      <c r="O992" s="410" t="s">
        <v>1834</v>
      </c>
    </row>
    <row r="993" spans="1:15" s="217" customFormat="1">
      <c r="A993" s="217">
        <v>21</v>
      </c>
      <c r="B993" s="10" t="s">
        <v>2052</v>
      </c>
      <c r="C993" s="11" t="s">
        <v>899</v>
      </c>
      <c r="D993" s="217">
        <f>IF(A993=B958,"New Revenue Adjustments",IF(AND(C993=D958,A993&lt;B958),"Attrition Necessary",0))</f>
        <v>0</v>
      </c>
      <c r="E993" s="522">
        <f t="shared" ref="E993:N1004" si="648">IF($B$958&gt;$A993,INDEX(calcY1Q2RevFlow,$A993,calcTeamNum)*(IF($D993="Attrition Necessary",1-calcQ2AttritionDifference,1)*(IF($D993="New Revenue Adjustments",1+calcQ3RevenueAdjustment,1))),INDEX(dataY1Q3Rev,$A993,)*(IF($D993="Attrition Necessary",1-calcQ2AttritionDifference,1))*(IF($D993="New Revenue Adjustments",1+calcQ3RevenueAdjustment,1)))</f>
        <v>0</v>
      </c>
      <c r="F993" s="522">
        <f t="shared" si="648"/>
        <v>0</v>
      </c>
      <c r="G993" s="522">
        <f t="shared" si="648"/>
        <v>0</v>
      </c>
      <c r="H993" s="522">
        <f t="shared" si="648"/>
        <v>0</v>
      </c>
      <c r="I993" s="522">
        <f t="shared" si="648"/>
        <v>0</v>
      </c>
      <c r="J993" s="522">
        <f t="shared" si="648"/>
        <v>0</v>
      </c>
      <c r="K993" s="522">
        <f t="shared" si="648"/>
        <v>0</v>
      </c>
      <c r="L993" s="522">
        <f t="shared" si="648"/>
        <v>0</v>
      </c>
      <c r="M993" s="522">
        <f t="shared" si="648"/>
        <v>0</v>
      </c>
      <c r="N993" s="522">
        <f t="shared" si="648"/>
        <v>0</v>
      </c>
      <c r="O993" s="410" t="s">
        <v>2442</v>
      </c>
    </row>
    <row r="994" spans="1:15" s="217" customFormat="1">
      <c r="A994" s="217">
        <v>22</v>
      </c>
      <c r="B994" s="10" t="s">
        <v>2052</v>
      </c>
      <c r="C994" s="11" t="s">
        <v>900</v>
      </c>
      <c r="D994" s="217">
        <f>IF(A994=B958,"New Revenue Adjustments",IF(AND(C994=D958,A994&lt;B958),"Attrition Necessary",0))</f>
        <v>0</v>
      </c>
      <c r="E994" s="522">
        <f t="shared" si="648"/>
        <v>0</v>
      </c>
      <c r="F994" s="522">
        <f t="shared" si="648"/>
        <v>0</v>
      </c>
      <c r="G994" s="522">
        <f t="shared" si="648"/>
        <v>0</v>
      </c>
      <c r="H994" s="522">
        <f t="shared" si="648"/>
        <v>0</v>
      </c>
      <c r="I994" s="522">
        <f t="shared" si="648"/>
        <v>0</v>
      </c>
      <c r="J994" s="522">
        <f t="shared" si="648"/>
        <v>0</v>
      </c>
      <c r="K994" s="522">
        <f t="shared" si="648"/>
        <v>0</v>
      </c>
      <c r="L994" s="522">
        <f t="shared" si="648"/>
        <v>0</v>
      </c>
      <c r="M994" s="522">
        <f t="shared" si="648"/>
        <v>0</v>
      </c>
      <c r="N994" s="522">
        <f t="shared" si="648"/>
        <v>0</v>
      </c>
      <c r="O994" s="410" t="s">
        <v>2443</v>
      </c>
    </row>
    <row r="995" spans="1:15" s="217" customFormat="1">
      <c r="A995" s="217">
        <v>23</v>
      </c>
      <c r="B995" s="10" t="s">
        <v>2052</v>
      </c>
      <c r="C995" s="11" t="s">
        <v>901</v>
      </c>
      <c r="D995" s="217">
        <f>IF(A995=B958,"New Revenue Adjustments",IF(AND(C995=D958,A995&lt;B958),"Attrition Necessary",0))</f>
        <v>0</v>
      </c>
      <c r="E995" s="522">
        <f t="shared" si="648"/>
        <v>0</v>
      </c>
      <c r="F995" s="522">
        <f t="shared" si="648"/>
        <v>0</v>
      </c>
      <c r="G995" s="522">
        <f t="shared" si="648"/>
        <v>0</v>
      </c>
      <c r="H995" s="522">
        <f t="shared" si="648"/>
        <v>0</v>
      </c>
      <c r="I995" s="522">
        <f t="shared" si="648"/>
        <v>0</v>
      </c>
      <c r="J995" s="522">
        <f t="shared" si="648"/>
        <v>0</v>
      </c>
      <c r="K995" s="522">
        <f t="shared" si="648"/>
        <v>0</v>
      </c>
      <c r="L995" s="522">
        <f t="shared" si="648"/>
        <v>0</v>
      </c>
      <c r="M995" s="522">
        <f t="shared" si="648"/>
        <v>0</v>
      </c>
      <c r="N995" s="522">
        <f t="shared" si="648"/>
        <v>0</v>
      </c>
      <c r="O995" s="410" t="s">
        <v>2444</v>
      </c>
    </row>
    <row r="996" spans="1:15" s="217" customFormat="1">
      <c r="A996" s="217">
        <v>24</v>
      </c>
      <c r="B996" s="10" t="s">
        <v>2052</v>
      </c>
      <c r="C996" s="11" t="s">
        <v>902</v>
      </c>
      <c r="D996" s="217">
        <f>IF(A996=B958,"New Revenue Adjustments",IF(AND(C996=D958,A996&lt;B958),"Attrition Necessary",0))</f>
        <v>0</v>
      </c>
      <c r="E996" s="522">
        <f t="shared" si="648"/>
        <v>0</v>
      </c>
      <c r="F996" s="522">
        <f t="shared" si="648"/>
        <v>0</v>
      </c>
      <c r="G996" s="522">
        <f t="shared" si="648"/>
        <v>0</v>
      </c>
      <c r="H996" s="522">
        <f t="shared" si="648"/>
        <v>0</v>
      </c>
      <c r="I996" s="522">
        <f t="shared" si="648"/>
        <v>0</v>
      </c>
      <c r="J996" s="522">
        <f t="shared" si="648"/>
        <v>0</v>
      </c>
      <c r="K996" s="522">
        <f t="shared" si="648"/>
        <v>0</v>
      </c>
      <c r="L996" s="522">
        <f t="shared" si="648"/>
        <v>0</v>
      </c>
      <c r="M996" s="522">
        <f t="shared" si="648"/>
        <v>0</v>
      </c>
      <c r="N996" s="522">
        <f t="shared" si="648"/>
        <v>0</v>
      </c>
      <c r="O996" s="410" t="s">
        <v>2445</v>
      </c>
    </row>
    <row r="997" spans="1:15" s="217" customFormat="1">
      <c r="A997" s="217">
        <v>25</v>
      </c>
      <c r="B997" s="10" t="s">
        <v>2408</v>
      </c>
      <c r="C997" s="11" t="s">
        <v>899</v>
      </c>
      <c r="D997" s="217">
        <f>IF(A997=B958,"New Revenue Adjustments",IF(AND(C997=D958,A997&lt;B958),"Attrition Necessary",0))</f>
        <v>0</v>
      </c>
      <c r="E997" s="522">
        <f t="shared" si="648"/>
        <v>0</v>
      </c>
      <c r="F997" s="522">
        <f t="shared" si="648"/>
        <v>0</v>
      </c>
      <c r="G997" s="522">
        <f t="shared" si="648"/>
        <v>0</v>
      </c>
      <c r="H997" s="522">
        <f t="shared" si="648"/>
        <v>0</v>
      </c>
      <c r="I997" s="522">
        <f t="shared" si="648"/>
        <v>0</v>
      </c>
      <c r="J997" s="522">
        <f t="shared" si="648"/>
        <v>0</v>
      </c>
      <c r="K997" s="522">
        <f t="shared" si="648"/>
        <v>0</v>
      </c>
      <c r="L997" s="522">
        <f t="shared" si="648"/>
        <v>0</v>
      </c>
      <c r="M997" s="522">
        <f t="shared" si="648"/>
        <v>0</v>
      </c>
      <c r="N997" s="522">
        <f t="shared" si="648"/>
        <v>0</v>
      </c>
      <c r="O997" s="410" t="s">
        <v>2446</v>
      </c>
    </row>
    <row r="998" spans="1:15" s="217" customFormat="1">
      <c r="A998" s="217">
        <v>26</v>
      </c>
      <c r="B998" s="10" t="s">
        <v>2408</v>
      </c>
      <c r="C998" s="11" t="s">
        <v>900</v>
      </c>
      <c r="D998" s="217">
        <f>IF(A998=B958,"New Revenue Adjustments",IF(AND(C998=D958,A998&lt;B958),"Attrition Necessary",0))</f>
        <v>0</v>
      </c>
      <c r="E998" s="522">
        <f t="shared" si="648"/>
        <v>0</v>
      </c>
      <c r="F998" s="522">
        <f t="shared" si="648"/>
        <v>0</v>
      </c>
      <c r="G998" s="522">
        <f t="shared" si="648"/>
        <v>0</v>
      </c>
      <c r="H998" s="522">
        <f t="shared" si="648"/>
        <v>0</v>
      </c>
      <c r="I998" s="522">
        <f t="shared" si="648"/>
        <v>0</v>
      </c>
      <c r="J998" s="522">
        <f t="shared" si="648"/>
        <v>0</v>
      </c>
      <c r="K998" s="522">
        <f t="shared" si="648"/>
        <v>0</v>
      </c>
      <c r="L998" s="522">
        <f t="shared" si="648"/>
        <v>0</v>
      </c>
      <c r="M998" s="522">
        <f t="shared" si="648"/>
        <v>0</v>
      </c>
      <c r="N998" s="522">
        <f t="shared" si="648"/>
        <v>0</v>
      </c>
      <c r="O998" s="410" t="s">
        <v>2447</v>
      </c>
    </row>
    <row r="999" spans="1:15" s="217" customFormat="1">
      <c r="A999" s="217">
        <v>27</v>
      </c>
      <c r="B999" s="10" t="s">
        <v>2408</v>
      </c>
      <c r="C999" s="11" t="s">
        <v>901</v>
      </c>
      <c r="D999" s="217">
        <f>IF(A999=B958,"New Revenue Adjustments",IF(AND(C999=D958,A999&lt;B958),"Attrition Necessary",0))</f>
        <v>0</v>
      </c>
      <c r="E999" s="522">
        <f t="shared" si="648"/>
        <v>0</v>
      </c>
      <c r="F999" s="522">
        <f t="shared" si="648"/>
        <v>0</v>
      </c>
      <c r="G999" s="522">
        <f t="shared" si="648"/>
        <v>0</v>
      </c>
      <c r="H999" s="522">
        <f t="shared" si="648"/>
        <v>0</v>
      </c>
      <c r="I999" s="522">
        <f t="shared" si="648"/>
        <v>0</v>
      </c>
      <c r="J999" s="522">
        <f t="shared" si="648"/>
        <v>0</v>
      </c>
      <c r="K999" s="522">
        <f t="shared" si="648"/>
        <v>0</v>
      </c>
      <c r="L999" s="522">
        <f t="shared" si="648"/>
        <v>0</v>
      </c>
      <c r="M999" s="522">
        <f t="shared" si="648"/>
        <v>0</v>
      </c>
      <c r="N999" s="522">
        <f t="shared" si="648"/>
        <v>0</v>
      </c>
      <c r="O999" s="410" t="s">
        <v>2448</v>
      </c>
    </row>
    <row r="1000" spans="1:15" s="217" customFormat="1">
      <c r="A1000" s="217">
        <v>28</v>
      </c>
      <c r="B1000" s="10" t="s">
        <v>2408</v>
      </c>
      <c r="C1000" s="11" t="s">
        <v>902</v>
      </c>
      <c r="D1000" s="217">
        <f>IF(A1000=B958,"New Revenue Adjustments",IF(AND(C1000=D958,A1000&lt;B958),"Attrition Necessary",0))</f>
        <v>0</v>
      </c>
      <c r="E1000" s="522">
        <f t="shared" si="648"/>
        <v>0</v>
      </c>
      <c r="F1000" s="522">
        <f t="shared" si="648"/>
        <v>0</v>
      </c>
      <c r="G1000" s="522">
        <f t="shared" si="648"/>
        <v>0</v>
      </c>
      <c r="H1000" s="522">
        <f t="shared" si="648"/>
        <v>0</v>
      </c>
      <c r="I1000" s="522">
        <f t="shared" si="648"/>
        <v>0</v>
      </c>
      <c r="J1000" s="522">
        <f t="shared" si="648"/>
        <v>0</v>
      </c>
      <c r="K1000" s="522">
        <f t="shared" si="648"/>
        <v>0</v>
      </c>
      <c r="L1000" s="522">
        <f t="shared" si="648"/>
        <v>0</v>
      </c>
      <c r="M1000" s="522">
        <f t="shared" si="648"/>
        <v>0</v>
      </c>
      <c r="N1000" s="522">
        <f t="shared" si="648"/>
        <v>0</v>
      </c>
      <c r="O1000" s="410" t="s">
        <v>2449</v>
      </c>
    </row>
    <row r="1001" spans="1:15" s="217" customFormat="1">
      <c r="A1001" s="217">
        <v>29</v>
      </c>
      <c r="B1001" s="10" t="s">
        <v>2413</v>
      </c>
      <c r="C1001" s="11" t="s">
        <v>899</v>
      </c>
      <c r="D1001" s="217">
        <f>IF(A1001=B958,"New Revenue Adjustments",IF(AND(C1001=D958,A1001&lt;B958),"Attrition Necessary",0))</f>
        <v>0</v>
      </c>
      <c r="E1001" s="522">
        <f t="shared" si="648"/>
        <v>0</v>
      </c>
      <c r="F1001" s="522">
        <f t="shared" si="648"/>
        <v>0</v>
      </c>
      <c r="G1001" s="522">
        <f t="shared" si="648"/>
        <v>0</v>
      </c>
      <c r="H1001" s="522">
        <f t="shared" si="648"/>
        <v>0</v>
      </c>
      <c r="I1001" s="522">
        <f t="shared" si="648"/>
        <v>0</v>
      </c>
      <c r="J1001" s="522">
        <f t="shared" si="648"/>
        <v>0</v>
      </c>
      <c r="K1001" s="522">
        <f t="shared" si="648"/>
        <v>0</v>
      </c>
      <c r="L1001" s="522">
        <f t="shared" si="648"/>
        <v>0</v>
      </c>
      <c r="M1001" s="522">
        <f t="shared" si="648"/>
        <v>0</v>
      </c>
      <c r="N1001" s="522">
        <f t="shared" si="648"/>
        <v>0</v>
      </c>
      <c r="O1001" s="410" t="s">
        <v>2450</v>
      </c>
    </row>
    <row r="1002" spans="1:15" s="217" customFormat="1">
      <c r="A1002" s="217">
        <v>30</v>
      </c>
      <c r="B1002" s="10" t="s">
        <v>2413</v>
      </c>
      <c r="C1002" s="11" t="s">
        <v>900</v>
      </c>
      <c r="D1002" s="217">
        <f>IF(A1002=B958,"New Revenue Adjustments",IF(AND(C1002=D958,A1002&lt;B958),"Attrition Necessary",0))</f>
        <v>0</v>
      </c>
      <c r="E1002" s="522">
        <f t="shared" si="648"/>
        <v>0</v>
      </c>
      <c r="F1002" s="522">
        <f t="shared" si="648"/>
        <v>0</v>
      </c>
      <c r="G1002" s="522">
        <f t="shared" si="648"/>
        <v>0</v>
      </c>
      <c r="H1002" s="522">
        <f t="shared" si="648"/>
        <v>0</v>
      </c>
      <c r="I1002" s="522">
        <f t="shared" si="648"/>
        <v>0</v>
      </c>
      <c r="J1002" s="522">
        <f t="shared" si="648"/>
        <v>0</v>
      </c>
      <c r="K1002" s="522">
        <f t="shared" si="648"/>
        <v>0</v>
      </c>
      <c r="L1002" s="522">
        <f t="shared" si="648"/>
        <v>0</v>
      </c>
      <c r="M1002" s="522">
        <f t="shared" si="648"/>
        <v>0</v>
      </c>
      <c r="N1002" s="522">
        <f t="shared" si="648"/>
        <v>0</v>
      </c>
      <c r="O1002" s="410" t="s">
        <v>2451</v>
      </c>
    </row>
    <row r="1003" spans="1:15" s="217" customFormat="1">
      <c r="A1003" s="217">
        <v>31</v>
      </c>
      <c r="B1003" s="10" t="s">
        <v>2413</v>
      </c>
      <c r="C1003" s="11" t="s">
        <v>901</v>
      </c>
      <c r="D1003" s="217">
        <f>IF(A1003=B958,"New Revenue Adjustments",IF(AND(C1003=D958,A1003&lt;B958),"Attrition Necessary",0))</f>
        <v>0</v>
      </c>
      <c r="E1003" s="522">
        <f t="shared" si="648"/>
        <v>0</v>
      </c>
      <c r="F1003" s="522">
        <f t="shared" si="648"/>
        <v>0</v>
      </c>
      <c r="G1003" s="522">
        <f t="shared" si="648"/>
        <v>0</v>
      </c>
      <c r="H1003" s="522">
        <f t="shared" si="648"/>
        <v>0</v>
      </c>
      <c r="I1003" s="522">
        <f t="shared" si="648"/>
        <v>0</v>
      </c>
      <c r="J1003" s="522">
        <f t="shared" si="648"/>
        <v>0</v>
      </c>
      <c r="K1003" s="522">
        <f t="shared" si="648"/>
        <v>0</v>
      </c>
      <c r="L1003" s="522">
        <f t="shared" si="648"/>
        <v>0</v>
      </c>
      <c r="M1003" s="522">
        <f t="shared" si="648"/>
        <v>0</v>
      </c>
      <c r="N1003" s="522">
        <f t="shared" si="648"/>
        <v>0</v>
      </c>
      <c r="O1003" s="410" t="s">
        <v>2452</v>
      </c>
    </row>
    <row r="1004" spans="1:15" s="217" customFormat="1">
      <c r="A1004" s="217">
        <v>32</v>
      </c>
      <c r="B1004" s="10" t="s">
        <v>2413</v>
      </c>
      <c r="C1004" s="11" t="s">
        <v>902</v>
      </c>
      <c r="D1004" s="217">
        <f>IF(A1004=B958,"New Revenue Adjustments",IF(AND(C1004=D958,A1004&lt;B958),"Attrition Necessary",0))</f>
        <v>0</v>
      </c>
      <c r="E1004" s="522">
        <f t="shared" si="648"/>
        <v>0</v>
      </c>
      <c r="F1004" s="522">
        <f t="shared" si="648"/>
        <v>0</v>
      </c>
      <c r="G1004" s="522">
        <f t="shared" si="648"/>
        <v>0</v>
      </c>
      <c r="H1004" s="522">
        <f t="shared" si="648"/>
        <v>0</v>
      </c>
      <c r="I1004" s="522">
        <f t="shared" si="648"/>
        <v>0</v>
      </c>
      <c r="J1004" s="522">
        <f t="shared" si="648"/>
        <v>0</v>
      </c>
      <c r="K1004" s="522">
        <f t="shared" si="648"/>
        <v>0</v>
      </c>
      <c r="L1004" s="522">
        <f t="shared" si="648"/>
        <v>0</v>
      </c>
      <c r="M1004" s="522">
        <f t="shared" si="648"/>
        <v>0</v>
      </c>
      <c r="N1004" s="522">
        <f t="shared" si="648"/>
        <v>0</v>
      </c>
      <c r="O1004" s="410" t="s">
        <v>2453</v>
      </c>
    </row>
    <row r="1005" spans="1:15" s="217" customFormat="1">
      <c r="D1005" s="217" t="s">
        <v>908</v>
      </c>
      <c r="E1005" s="427">
        <f>SUM(E973:E1004)</f>
        <v>38275308.995502166</v>
      </c>
      <c r="F1005" s="427">
        <f t="shared" ref="F1005" si="649">SUM(F973:F1004)</f>
        <v>38275308.995502166</v>
      </c>
      <c r="G1005" s="427">
        <f t="shared" ref="G1005" si="650">SUM(G973:G1004)</f>
        <v>38275308.995502166</v>
      </c>
      <c r="H1005" s="427">
        <f t="shared" ref="H1005" si="651">SUM(H973:H1004)</f>
        <v>38275308.995502166</v>
      </c>
      <c r="I1005" s="427">
        <f t="shared" ref="I1005:N1005" si="652">SUM(I973:I1004)</f>
        <v>38275308.995502166</v>
      </c>
      <c r="J1005" s="427">
        <f t="shared" si="652"/>
        <v>38275308.995502166</v>
      </c>
      <c r="K1005" s="427">
        <f t="shared" si="652"/>
        <v>38275308.995502166</v>
      </c>
      <c r="L1005" s="427">
        <f t="shared" si="652"/>
        <v>38275308.995502166</v>
      </c>
      <c r="M1005" s="427">
        <f t="shared" si="652"/>
        <v>38275308.995502166</v>
      </c>
      <c r="N1005" s="427">
        <f t="shared" si="652"/>
        <v>38275308.995502166</v>
      </c>
      <c r="O1005" s="217" t="s">
        <v>913</v>
      </c>
    </row>
    <row r="1006" spans="1:15" s="217" customFormat="1">
      <c r="E1006" s="409"/>
      <c r="F1006" s="409"/>
      <c r="G1006" s="409"/>
      <c r="H1006" s="409"/>
      <c r="I1006" s="409"/>
      <c r="J1006" s="409"/>
      <c r="K1006" s="409"/>
      <c r="L1006" s="409"/>
      <c r="M1006" s="409"/>
      <c r="N1006" s="409"/>
    </row>
    <row r="1007" spans="1:15">
      <c r="A1007" s="217"/>
      <c r="B1007" s="69">
        <v>16</v>
      </c>
      <c r="C1007" s="217" t="s">
        <v>1278</v>
      </c>
      <c r="D1007" s="217" t="s">
        <v>902</v>
      </c>
    </row>
    <row r="1008" spans="1:15" s="217" customFormat="1">
      <c r="C1008" s="217" t="s">
        <v>1736</v>
      </c>
      <c r="E1008" s="409"/>
      <c r="F1008" s="409"/>
      <c r="G1008" s="409"/>
      <c r="H1008" s="409"/>
      <c r="I1008" s="409"/>
      <c r="J1008" s="409"/>
      <c r="K1008" s="409"/>
      <c r="L1008" s="409"/>
      <c r="M1008" s="409"/>
      <c r="N1008" s="409"/>
    </row>
    <row r="1009" spans="1:18" s="410" customFormat="1">
      <c r="D1009" s="410" t="s">
        <v>1754</v>
      </c>
      <c r="E1009" s="547">
        <f t="shared" ref="E1009:N1009" si="653">FORECAST(calcNPS,datatblNPSAttrition,datatblNPSScore)</f>
        <v>0.14946428571428572</v>
      </c>
      <c r="F1009" s="547">
        <f t="shared" si="653"/>
        <v>0.14946428571428572</v>
      </c>
      <c r="G1009" s="547">
        <f t="shared" si="653"/>
        <v>0.14946428571428572</v>
      </c>
      <c r="H1009" s="547">
        <f t="shared" si="653"/>
        <v>0.14946428571428572</v>
      </c>
      <c r="I1009" s="547">
        <f t="shared" si="653"/>
        <v>0.14946428571428572</v>
      </c>
      <c r="J1009" s="547">
        <f t="shared" si="653"/>
        <v>0.14946428571428572</v>
      </c>
      <c r="K1009" s="547">
        <f t="shared" si="653"/>
        <v>0.14946428571428572</v>
      </c>
      <c r="L1009" s="547">
        <f t="shared" si="653"/>
        <v>0.14946428571428572</v>
      </c>
      <c r="M1009" s="547">
        <f t="shared" si="653"/>
        <v>0.14946428571428572</v>
      </c>
      <c r="N1009" s="547">
        <f t="shared" si="653"/>
        <v>0.14946428571428572</v>
      </c>
    </row>
    <row r="1010" spans="1:18" s="410" customFormat="1">
      <c r="D1010" s="410" t="s">
        <v>1753</v>
      </c>
      <c r="E1010" s="547">
        <f>Data!$D$277</f>
        <v>0.1515124491492886</v>
      </c>
      <c r="F1010" s="547">
        <f>Data!$D$277</f>
        <v>0.1515124491492886</v>
      </c>
      <c r="G1010" s="547">
        <f>Data!$D$277</f>
        <v>0.1515124491492886</v>
      </c>
      <c r="H1010" s="547">
        <f>Data!$D$277</f>
        <v>0.1515124491492886</v>
      </c>
      <c r="I1010" s="547">
        <f>Data!$D$277</f>
        <v>0.1515124491492886</v>
      </c>
      <c r="J1010" s="547">
        <f>Data!$D$277</f>
        <v>0.1515124491492886</v>
      </c>
      <c r="K1010" s="547">
        <f>Data!$D$277</f>
        <v>0.1515124491492886</v>
      </c>
      <c r="L1010" s="547">
        <f>Data!$D$277</f>
        <v>0.1515124491492886</v>
      </c>
      <c r="M1010" s="547">
        <f>Data!$D$277</f>
        <v>0.1515124491492886</v>
      </c>
      <c r="N1010" s="547">
        <f>Data!$D$277</f>
        <v>0.1515124491492886</v>
      </c>
    </row>
    <row r="1011" spans="1:18" s="217" customFormat="1">
      <c r="D1011" s="217" t="s">
        <v>1755</v>
      </c>
      <c r="E1011" s="411">
        <f>E1009-E1010</f>
        <v>-2.0481634350028866E-3</v>
      </c>
      <c r="F1011" s="411">
        <f t="shared" ref="F1011" si="654">F1009-F1010</f>
        <v>-2.0481634350028866E-3</v>
      </c>
      <c r="G1011" s="411">
        <f t="shared" ref="G1011" si="655">G1009-G1010</f>
        <v>-2.0481634350028866E-3</v>
      </c>
      <c r="H1011" s="411">
        <f t="shared" ref="H1011" si="656">H1009-H1010</f>
        <v>-2.0481634350028866E-3</v>
      </c>
      <c r="I1011" s="411">
        <f t="shared" ref="I1011:N1011" si="657">I1009-I1010</f>
        <v>-2.0481634350028866E-3</v>
      </c>
      <c r="J1011" s="411">
        <f t="shared" si="657"/>
        <v>-2.0481634350028866E-3</v>
      </c>
      <c r="K1011" s="411">
        <f t="shared" si="657"/>
        <v>-2.0481634350028866E-3</v>
      </c>
      <c r="L1011" s="411">
        <f t="shared" si="657"/>
        <v>-2.0481634350028866E-3</v>
      </c>
      <c r="M1011" s="411">
        <f t="shared" si="657"/>
        <v>-2.0481634350028866E-3</v>
      </c>
      <c r="N1011" s="411">
        <f t="shared" si="657"/>
        <v>-2.0481634350028866E-3</v>
      </c>
      <c r="O1011" s="217" t="s">
        <v>1764</v>
      </c>
    </row>
    <row r="1012" spans="1:18" s="217" customFormat="1">
      <c r="C1012" s="217" t="s">
        <v>1757</v>
      </c>
      <c r="E1012" s="411"/>
      <c r="F1012" s="411"/>
      <c r="G1012" s="411"/>
      <c r="H1012" s="411"/>
      <c r="I1012" s="411"/>
      <c r="J1012" s="411"/>
      <c r="K1012" s="411"/>
      <c r="L1012" s="411"/>
      <c r="M1012" s="411"/>
      <c r="N1012" s="411"/>
    </row>
    <row r="1013" spans="1:18">
      <c r="D1013" s="69" t="s">
        <v>1151</v>
      </c>
      <c r="E1013" s="425">
        <f>IF(calcOrg62Timeline&lt;=$Q1013,INDEX(datatblOrg62Timeline,MATCH(decGTMOrg62Timeline,Data!$C$106:$C$111,0),2),0)*paramOrg62Impacts</f>
        <v>0</v>
      </c>
      <c r="F1013" s="425">
        <f>IF(calcOrg62Timeline&lt;=$Q1013,INDEX(datatblOrg62Timeline,MATCH(decGTMOrg62Timeline,Data!$C$106:$C$111,0),2),0)*paramOrg62Impacts</f>
        <v>0</v>
      </c>
      <c r="G1013" s="425">
        <f>IF(calcOrg62Timeline&lt;=$Q1013,INDEX(datatblOrg62Timeline,MATCH(decGTMOrg62Timeline,Data!$C$106:$C$111,0),2),0)*paramOrg62Impacts</f>
        <v>0</v>
      </c>
      <c r="H1013" s="425">
        <f>IF(calcOrg62Timeline&lt;=$Q1013,INDEX(datatblOrg62Timeline,MATCH(decGTMOrg62Timeline,Data!$C$106:$C$111,0),2),0)*paramOrg62Impacts</f>
        <v>0</v>
      </c>
      <c r="I1013" s="425">
        <f>IF(calcOrg62Timeline&lt;=$Q1013,INDEX(datatblOrg62Timeline,MATCH(decGTMOrg62Timeline,Data!$C$106:$C$111,0),2),0)*paramOrg62Impacts</f>
        <v>0</v>
      </c>
      <c r="J1013" s="425">
        <f>IF(calcOrg62Timeline&lt;=$Q1013,INDEX(datatblOrg62Timeline,MATCH(decGTMOrg62Timeline,Data!$C$106:$C$111,0),2),0)*paramOrg62Impacts</f>
        <v>0</v>
      </c>
      <c r="K1013" s="425">
        <f>IF(calcOrg62Timeline&lt;=$Q1013,INDEX(datatblOrg62Timeline,MATCH(decGTMOrg62Timeline,Data!$C$106:$C$111,0),2),0)*paramOrg62Impacts</f>
        <v>0</v>
      </c>
      <c r="L1013" s="425">
        <f>IF(calcOrg62Timeline&lt;=$Q1013,INDEX(datatblOrg62Timeline,MATCH(decGTMOrg62Timeline,Data!$C$106:$C$111,0),2),0)*paramOrg62Impacts</f>
        <v>0</v>
      </c>
      <c r="M1013" s="425">
        <f>IF(calcOrg62Timeline&lt;=$Q1013,INDEX(datatblOrg62Timeline,MATCH(decGTMOrg62Timeline,Data!$C$106:$C$111,0),2),0)*paramOrg62Impacts</f>
        <v>0</v>
      </c>
      <c r="N1013" s="425">
        <f>IF(calcOrg62Timeline&lt;=$Q1013,INDEX(datatblOrg62Timeline,MATCH(decGTMOrg62Timeline,Data!$C$106:$C$111,0),2),0)*paramOrg62Impacts</f>
        <v>0</v>
      </c>
      <c r="Q1013" s="69">
        <v>12</v>
      </c>
    </row>
    <row r="1014" spans="1:18">
      <c r="D1014" s="69" t="s">
        <v>507</v>
      </c>
      <c r="E1014" s="425">
        <f>IF(calcProductTimeline&lt;=$Q1014,INDEX(datatblStackFocusImpact,MATCH(decProductStackFocus,Data!$C$96:$C$101,0),2),0)+paramACVGrowthStack</f>
        <v>0</v>
      </c>
      <c r="F1014" s="425">
        <f>IF(calcProductTimeline&lt;=$Q1014,INDEX(datatblStackFocusImpact,MATCH(decProductStackFocus,Data!$C$96:$C$101,0),2),0)+paramACVGrowthStack</f>
        <v>0</v>
      </c>
      <c r="G1014" s="425">
        <f>IF(calcProductTimeline&lt;=$Q1014,INDEX(datatblStackFocusImpact,MATCH(decProductStackFocus,Data!$C$96:$C$101,0),2),0)+paramACVGrowthStack</f>
        <v>0</v>
      </c>
      <c r="H1014" s="425">
        <f>IF(calcProductTimeline&lt;=$Q1014,INDEX(datatblStackFocusImpact,MATCH(decProductStackFocus,Data!$C$96:$C$101,0),2),0)+paramACVGrowthStack</f>
        <v>0</v>
      </c>
      <c r="I1014" s="425">
        <f>IF(calcProductTimeline&lt;=$Q1014,INDEX(datatblStackFocusImpact,MATCH(decProductStackFocus,Data!$C$96:$C$101,0),2),0)+paramACVGrowthStack</f>
        <v>0</v>
      </c>
      <c r="J1014" s="425">
        <f>IF(calcProductTimeline&lt;=$Q1014,INDEX(datatblStackFocusImpact,MATCH(decProductStackFocus,Data!$C$96:$C$101,0),2),0)+paramACVGrowthStack</f>
        <v>0</v>
      </c>
      <c r="K1014" s="425">
        <f>IF(calcProductTimeline&lt;=$Q1014,INDEX(datatblStackFocusImpact,MATCH(decProductStackFocus,Data!$C$96:$C$101,0),2),0)+paramACVGrowthStack</f>
        <v>0</v>
      </c>
      <c r="L1014" s="425">
        <f>IF(calcProductTimeline&lt;=$Q1014,INDEX(datatblStackFocusImpact,MATCH(decProductStackFocus,Data!$C$96:$C$101,0),2),0)+paramACVGrowthStack</f>
        <v>0</v>
      </c>
      <c r="M1014" s="425">
        <f>IF(calcProductTimeline&lt;=$Q1014,INDEX(datatblStackFocusImpact,MATCH(decProductStackFocus,Data!$C$96:$C$101,0),2),0)+paramACVGrowthStack</f>
        <v>0</v>
      </c>
      <c r="N1014" s="425">
        <f>IF(calcProductTimeline&lt;=$Q1014,INDEX(datatblStackFocusImpact,MATCH(decProductStackFocus,Data!$C$96:$C$101,0),2),0)+paramACVGrowthStack</f>
        <v>0</v>
      </c>
      <c r="Q1014" s="69">
        <f>Q1013</f>
        <v>12</v>
      </c>
    </row>
    <row r="1015" spans="1:18">
      <c r="D1015" s="69" t="s">
        <v>2237</v>
      </c>
      <c r="E1015" s="425">
        <f>IF(calcExternalSalesTimeline&lt;=$Q1015,INDEX(datatblExternalSalesImpact,MATCH(decGTMExternalSales,Data!$C$85:$C$90,0),2),0)</f>
        <v>0</v>
      </c>
      <c r="F1015" s="425">
        <f>IF(calcExternalSalesTimeline&lt;=$Q1015,INDEX(datatblExternalSalesImpact,MATCH(decGTMExternalSales,Data!$C$85:$C$90,0),2),0)</f>
        <v>0</v>
      </c>
      <c r="G1015" s="425">
        <f>IF(calcExternalSalesTimeline&lt;=$Q1015,INDEX(datatblExternalSalesImpact,MATCH(decGTMExternalSales,Data!$C$85:$C$90,0),2),0)</f>
        <v>0</v>
      </c>
      <c r="H1015" s="425">
        <f>IF(calcExternalSalesTimeline&lt;=$Q1015,INDEX(datatblExternalSalesImpact,MATCH(decGTMExternalSales,Data!$C$85:$C$90,0),2),0)</f>
        <v>0</v>
      </c>
      <c r="I1015" s="425">
        <f>IF(calcExternalSalesTimeline&lt;=$Q1015,INDEX(datatblExternalSalesImpact,MATCH(decGTMExternalSales,Data!$C$85:$C$90,0),2),0)</f>
        <v>0</v>
      </c>
      <c r="J1015" s="425">
        <f>IF(calcExternalSalesTimeline&lt;=$Q1015,INDEX(datatblExternalSalesImpact,MATCH(decGTMExternalSales,Data!$C$85:$C$90,0),2),0)</f>
        <v>0</v>
      </c>
      <c r="K1015" s="425">
        <f>IF(calcExternalSalesTimeline&lt;=$Q1015,INDEX(datatblExternalSalesImpact,MATCH(decGTMExternalSales,Data!$C$85:$C$90,0),2),0)</f>
        <v>0</v>
      </c>
      <c r="L1015" s="425">
        <f>IF(calcExternalSalesTimeline&lt;=$Q1015,INDEX(datatblExternalSalesImpact,MATCH(decGTMExternalSales,Data!$C$85:$C$90,0),2),0)</f>
        <v>0</v>
      </c>
      <c r="M1015" s="425">
        <f>IF(calcExternalSalesTimeline&lt;=$Q1015,INDEX(datatblExternalSalesImpact,MATCH(decGTMExternalSales,Data!$C$85:$C$90,0),2),0)</f>
        <v>0</v>
      </c>
      <c r="N1015" s="425">
        <f>IF(calcExternalSalesTimeline&lt;=$Q1015,INDEX(datatblExternalSalesImpact,MATCH(decGTMExternalSales,Data!$C$85:$C$90,0),2),0)</f>
        <v>0</v>
      </c>
      <c r="O1015" s="482">
        <v>0.05</v>
      </c>
      <c r="P1015" s="482">
        <v>-0.05</v>
      </c>
      <c r="Q1015" s="69">
        <f>Q1014</f>
        <v>12</v>
      </c>
    </row>
    <row r="1016" spans="1:18">
      <c r="D1016" s="69" t="s">
        <v>2284</v>
      </c>
      <c r="E1016" s="425">
        <f>IF(calcCSGTimeline&lt;=$Q1016,INDEX(datatblCSGPostSales,MATCH(decGTMCSGPostSales,Data!$C$204:$C$209,0),3),0)</f>
        <v>0</v>
      </c>
      <c r="F1016" s="425">
        <f>IF(calcCSGTimeline&lt;=$Q1016,INDEX(datatblCSGPostSales,MATCH(decGTMCSGPostSales,Data!$C$204:$C$209,0),3),0)</f>
        <v>0</v>
      </c>
      <c r="G1016" s="425">
        <f>IF(calcCSGTimeline&lt;=$Q1016,INDEX(datatblCSGPostSales,MATCH(decGTMCSGPostSales,Data!$C$204:$C$209,0),3),0)</f>
        <v>0</v>
      </c>
      <c r="H1016" s="425">
        <f>IF(calcCSGTimeline&lt;=$Q1016,INDEX(datatblCSGPostSales,MATCH(decGTMCSGPostSales,Data!$C$204:$C$209,0),3),0)</f>
        <v>0</v>
      </c>
      <c r="I1016" s="425">
        <f>IF(calcCSGTimeline&lt;=$Q1016,INDEX(datatblCSGPostSales,MATCH(decGTMCSGPostSales,Data!$C$204:$C$209,0),3),0)</f>
        <v>0</v>
      </c>
      <c r="J1016" s="425">
        <f>IF(calcCSGTimeline&lt;=$Q1016,INDEX(datatblCSGPostSales,MATCH(decGTMCSGPostSales,Data!$C$204:$C$209,0),3),0)</f>
        <v>0</v>
      </c>
      <c r="K1016" s="425">
        <f>IF(calcCSGTimeline&lt;=$Q1016,INDEX(datatblCSGPostSales,MATCH(decGTMCSGPostSales,Data!$C$204:$C$209,0),3),0)</f>
        <v>0</v>
      </c>
      <c r="L1016" s="425">
        <f>IF(calcCSGTimeline&lt;=$Q1016,INDEX(datatblCSGPostSales,MATCH(decGTMCSGPostSales,Data!$C$204:$C$209,0),3),0)</f>
        <v>0</v>
      </c>
      <c r="M1016" s="425">
        <f>IF(calcCSGTimeline&lt;=$Q1016,INDEX(datatblCSGPostSales,MATCH(decGTMCSGPostSales,Data!$C$204:$C$209,0),3),0)</f>
        <v>0</v>
      </c>
      <c r="N1016" s="425">
        <f>IF(calcCSGTimeline&lt;=$Q1016,INDEX(datatblCSGPostSales,MATCH(decGTMCSGPostSales,Data!$C$204:$C$209,0),3),0)</f>
        <v>0</v>
      </c>
      <c r="O1016" s="482"/>
      <c r="P1016" s="482"/>
      <c r="Q1016" s="69">
        <f>Q1015</f>
        <v>12</v>
      </c>
    </row>
    <row r="1017" spans="1:18">
      <c r="D1017" s="69" t="s">
        <v>3079</v>
      </c>
      <c r="E1017" s="425">
        <f>IF(calcBrandIntegrationTimeline&lt;=$Q1017,INDEX(datatblBrandIntegration,MATCH(decGTMBrandIntegration,Data!$C$220:$C$226,0),3),0)</f>
        <v>0</v>
      </c>
      <c r="F1017" s="425">
        <f>IF(calcBrandIntegrationTimeline&lt;=$Q1017,INDEX(datatblBrandIntegration,MATCH(decGTMBrandIntegration,Data!$C$220:$C$226,0),3),0)</f>
        <v>0</v>
      </c>
      <c r="G1017" s="425">
        <f>IF(calcBrandIntegrationTimeline&lt;=$Q1017,INDEX(datatblBrandIntegration,MATCH(decGTMBrandIntegration,Data!$C$220:$C$226,0),3),0)</f>
        <v>0</v>
      </c>
      <c r="H1017" s="425">
        <f>IF(calcBrandIntegrationTimeline&lt;=$Q1017,INDEX(datatblBrandIntegration,MATCH(decGTMBrandIntegration,Data!$C$220:$C$226,0),3),0)</f>
        <v>0</v>
      </c>
      <c r="I1017" s="425">
        <f>IF(calcBrandIntegrationTimeline&lt;=$Q1017,INDEX(datatblBrandIntegration,MATCH(decGTMBrandIntegration,Data!$C$220:$C$226,0),3),0)</f>
        <v>0</v>
      </c>
      <c r="J1017" s="425">
        <f>IF(calcBrandIntegrationTimeline&lt;=$Q1017,INDEX(datatblBrandIntegration,MATCH(decGTMBrandIntegration,Data!$C$220:$C$226,0),3),0)</f>
        <v>0</v>
      </c>
      <c r="K1017" s="425">
        <f>IF(calcBrandIntegrationTimeline&lt;=$Q1017,INDEX(datatblBrandIntegration,MATCH(decGTMBrandIntegration,Data!$C$220:$C$226,0),3),0)</f>
        <v>0</v>
      </c>
      <c r="L1017" s="425">
        <f>IF(calcBrandIntegrationTimeline&lt;=$Q1017,INDEX(datatblBrandIntegration,MATCH(decGTMBrandIntegration,Data!$C$220:$C$226,0),3),0)</f>
        <v>0</v>
      </c>
      <c r="M1017" s="425">
        <f>IF(calcBrandIntegrationTimeline&lt;=$Q1017,INDEX(datatblBrandIntegration,MATCH(decGTMBrandIntegration,Data!$C$220:$C$226,0),3),0)</f>
        <v>0</v>
      </c>
      <c r="N1017" s="425">
        <f>IF(calcBrandIntegrationTimeline&lt;=$Q1017,INDEX(datatblBrandIntegration,MATCH(decGTMBrandIntegration,Data!$C$220:$C$226,0),3),0)</f>
        <v>0</v>
      </c>
      <c r="O1017" s="482"/>
      <c r="P1017" s="482"/>
      <c r="Q1017" s="69">
        <f>Q1016</f>
        <v>12</v>
      </c>
    </row>
    <row r="1018" spans="1:18">
      <c r="D1018" s="69" t="s">
        <v>2277</v>
      </c>
      <c r="E1018" s="425">
        <f>IF(decGTMOrg62Timeline="choose",0,IF(E1013=0,INDEX(datatblLeadPass,MATCH(decGTMLeadPass,Data!$C$212:$C$217,0),3),0))</f>
        <v>0</v>
      </c>
      <c r="F1018" s="425">
        <f>IF(decGTMOrg62Timeline="choose",0,IF(F1013=0,INDEX(datatblLeadPass,MATCH(decGTMLeadPass,Data!$C$212:$C$217,0),3),0))</f>
        <v>0</v>
      </c>
      <c r="G1018" s="425">
        <f>IF(decGTMOrg62Timeline="choose",0,IF(G1013=0,INDEX(datatblLeadPass,MATCH(decGTMLeadPass,Data!$C$212:$C$217,0),3),0))</f>
        <v>0</v>
      </c>
      <c r="H1018" s="425">
        <f>IF(decGTMOrg62Timeline="choose",0,IF(H1013=0,INDEX(datatblLeadPass,MATCH(decGTMLeadPass,Data!$C$212:$C$217,0),3),0))</f>
        <v>0</v>
      </c>
      <c r="I1018" s="425">
        <f>IF(decGTMOrg62Timeline="choose",0,IF(I1013=0,INDEX(datatblLeadPass,MATCH(decGTMLeadPass,Data!$C$212:$C$217,0),3),0))</f>
        <v>0</v>
      </c>
      <c r="J1018" s="425">
        <f>IF(decGTMOrg62Timeline="choose",0,IF(J1013=0,INDEX(datatblLeadPass,MATCH(decGTMLeadPass,Data!$C$212:$C$217,0),3),0))</f>
        <v>0</v>
      </c>
      <c r="K1018" s="425">
        <f>IF(decGTMOrg62Timeline="choose",0,IF(K1013=0,INDEX(datatblLeadPass,MATCH(decGTMLeadPass,Data!$C$212:$C$217,0),3),0))</f>
        <v>0</v>
      </c>
      <c r="L1018" s="425">
        <f>IF(decGTMOrg62Timeline="choose",0,IF(L1013=0,INDEX(datatblLeadPass,MATCH(decGTMLeadPass,Data!$C$212:$C$217,0),3),0))</f>
        <v>0</v>
      </c>
      <c r="M1018" s="425">
        <f>IF(decGTMOrg62Timeline="choose",0,IF(M1013=0,INDEX(datatblLeadPass,MATCH(decGTMLeadPass,Data!$C$212:$C$217,0),3),0))</f>
        <v>0</v>
      </c>
      <c r="N1018" s="425">
        <f>IF(decGTMOrg62Timeline="choose",0,IF(N1013=0,INDEX(datatblLeadPass,MATCH(decGTMLeadPass,Data!$C$212:$C$217,0),3),0))</f>
        <v>0</v>
      </c>
      <c r="O1018" s="482"/>
      <c r="P1018" s="482"/>
    </row>
    <row r="1019" spans="1:18">
      <c r="D1019" s="69" t="s">
        <v>1032</v>
      </c>
      <c r="E1019" s="425">
        <f t="shared" ref="E1019:N1019" si="658">IF(decSecurityProductRestrictions="Yes",$Q1019,IF(decSecurityProductRestrictions="No",$R1019,$S1019))</f>
        <v>0</v>
      </c>
      <c r="F1019" s="425">
        <f t="shared" si="658"/>
        <v>0</v>
      </c>
      <c r="G1019" s="425">
        <f t="shared" si="658"/>
        <v>0</v>
      </c>
      <c r="H1019" s="425">
        <f t="shared" si="658"/>
        <v>0</v>
      </c>
      <c r="I1019" s="425">
        <f t="shared" si="658"/>
        <v>0</v>
      </c>
      <c r="J1019" s="425">
        <f t="shared" si="658"/>
        <v>0</v>
      </c>
      <c r="K1019" s="425">
        <f t="shared" si="658"/>
        <v>0</v>
      </c>
      <c r="L1019" s="425">
        <f t="shared" si="658"/>
        <v>0</v>
      </c>
      <c r="M1019" s="425">
        <f t="shared" si="658"/>
        <v>0</v>
      </c>
      <c r="N1019" s="425">
        <f t="shared" si="658"/>
        <v>0</v>
      </c>
      <c r="Q1019" s="482">
        <f>xxProductRestrictionACVHit</f>
        <v>-0.02</v>
      </c>
      <c r="R1019" s="482">
        <f>xxProductRestrictionACVIncrease</f>
        <v>0.02</v>
      </c>
    </row>
    <row r="1020" spans="1:18" s="217" customFormat="1">
      <c r="D1020" s="217" t="s">
        <v>1758</v>
      </c>
      <c r="E1020" s="411">
        <f t="shared" ref="E1020:N1020" si="659">SUM(E1013:E1019)+paramACVGrowthBaseline</f>
        <v>0</v>
      </c>
      <c r="F1020" s="411">
        <f t="shared" si="659"/>
        <v>0</v>
      </c>
      <c r="G1020" s="411">
        <f t="shared" si="659"/>
        <v>0</v>
      </c>
      <c r="H1020" s="411">
        <f t="shared" si="659"/>
        <v>0</v>
      </c>
      <c r="I1020" s="411">
        <f t="shared" si="659"/>
        <v>0</v>
      </c>
      <c r="J1020" s="411">
        <f t="shared" si="659"/>
        <v>0</v>
      </c>
      <c r="K1020" s="411">
        <f t="shared" si="659"/>
        <v>0</v>
      </c>
      <c r="L1020" s="411">
        <f t="shared" si="659"/>
        <v>0</v>
      </c>
      <c r="M1020" s="411">
        <f t="shared" si="659"/>
        <v>0</v>
      </c>
      <c r="N1020" s="411">
        <f t="shared" si="659"/>
        <v>0</v>
      </c>
      <c r="O1020" s="217" t="s">
        <v>1765</v>
      </c>
    </row>
    <row r="1021" spans="1:18" s="217" customFormat="1">
      <c r="E1021" s="411"/>
      <c r="F1021" s="411"/>
      <c r="G1021" s="411"/>
      <c r="H1021" s="411"/>
      <c r="I1021" s="411"/>
      <c r="J1021" s="411"/>
      <c r="K1021" s="411"/>
      <c r="L1021" s="411"/>
      <c r="M1021" s="411"/>
      <c r="N1021" s="411"/>
    </row>
    <row r="1022" spans="1:18" s="217" customFormat="1">
      <c r="A1022" s="217">
        <v>1</v>
      </c>
      <c r="B1022" s="10" t="s">
        <v>1735</v>
      </c>
      <c r="C1022" s="11" t="s">
        <v>899</v>
      </c>
      <c r="D1022" s="217">
        <f>IF(A1022=B1007,"New Revenue Adjustments",IF(AND(C1022=D1007,A1022&lt;B1007),"Attrition Necessary",0))</f>
        <v>0</v>
      </c>
      <c r="E1022" s="522">
        <f t="shared" ref="E1022:N1031" si="660">IF($B$1007&gt;$A1022,INDEX(calcY1Q3RevFlow,$A1022,calcTeamNum)*(IF($D1022="Attrition Necessary",1-calcQ2AttritionDifference,1)*(IF($D1022="New Revenue Adjustments",1+calcQ4RevenueAdjustment,1))),INDEX(dataY1Q4Rev,$A1022,)*(IF($D1022="Attrition Necessary",1-calcQ2AttritionDifference,1))*(IF($D1022="New Revenue Adjustments",1+calcQ4RevenueAdjustment,1)))</f>
        <v>919792.217204349</v>
      </c>
      <c r="F1022" s="522">
        <f t="shared" si="660"/>
        <v>919792.217204349</v>
      </c>
      <c r="G1022" s="522">
        <f t="shared" si="660"/>
        <v>919792.217204349</v>
      </c>
      <c r="H1022" s="522">
        <f t="shared" si="660"/>
        <v>919792.217204349</v>
      </c>
      <c r="I1022" s="522">
        <f t="shared" si="660"/>
        <v>919792.217204349</v>
      </c>
      <c r="J1022" s="522">
        <f t="shared" si="660"/>
        <v>919792.217204349</v>
      </c>
      <c r="K1022" s="522">
        <f t="shared" si="660"/>
        <v>919792.217204349</v>
      </c>
      <c r="L1022" s="522">
        <f t="shared" si="660"/>
        <v>919792.217204349</v>
      </c>
      <c r="M1022" s="522">
        <f t="shared" si="660"/>
        <v>919792.217204349</v>
      </c>
      <c r="N1022" s="522">
        <f t="shared" si="660"/>
        <v>919792.217204349</v>
      </c>
      <c r="O1022" s="410" t="s">
        <v>1835</v>
      </c>
    </row>
    <row r="1023" spans="1:18" s="217" customFormat="1">
      <c r="A1023" s="217">
        <v>2</v>
      </c>
      <c r="B1023" s="10" t="s">
        <v>1735</v>
      </c>
      <c r="C1023" s="11" t="s">
        <v>900</v>
      </c>
      <c r="D1023" s="217">
        <f>IF(A1023=B1007,"New Revenue Adjustments",IF(AND(C1023=D1007,A1023&lt;B1007),"Attrition Necessary",0))</f>
        <v>0</v>
      </c>
      <c r="E1023" s="522">
        <f t="shared" si="660"/>
        <v>1623162.7362429691</v>
      </c>
      <c r="F1023" s="522">
        <f t="shared" si="660"/>
        <v>1623162.7362429691</v>
      </c>
      <c r="G1023" s="522">
        <f t="shared" si="660"/>
        <v>1623162.7362429691</v>
      </c>
      <c r="H1023" s="522">
        <f t="shared" si="660"/>
        <v>1623162.7362429691</v>
      </c>
      <c r="I1023" s="522">
        <f t="shared" si="660"/>
        <v>1623162.7362429691</v>
      </c>
      <c r="J1023" s="522">
        <f t="shared" si="660"/>
        <v>1623162.7362429691</v>
      </c>
      <c r="K1023" s="522">
        <f t="shared" si="660"/>
        <v>1623162.7362429691</v>
      </c>
      <c r="L1023" s="522">
        <f t="shared" si="660"/>
        <v>1623162.7362429691</v>
      </c>
      <c r="M1023" s="522">
        <f t="shared" si="660"/>
        <v>1623162.7362429691</v>
      </c>
      <c r="N1023" s="522">
        <f t="shared" si="660"/>
        <v>1623162.7362429691</v>
      </c>
      <c r="O1023" s="410" t="s">
        <v>1836</v>
      </c>
    </row>
    <row r="1024" spans="1:18" s="217" customFormat="1">
      <c r="A1024" s="217">
        <v>3</v>
      </c>
      <c r="B1024" s="10" t="s">
        <v>1735</v>
      </c>
      <c r="C1024" s="11" t="s">
        <v>901</v>
      </c>
      <c r="D1024" s="217">
        <f>IF(A1024=B1007,"New Revenue Adjustments",IF(AND(C1024=D1007,A1024&lt;B1007),"Attrition Necessary",0))</f>
        <v>0</v>
      </c>
      <c r="E1024" s="522">
        <f t="shared" si="660"/>
        <v>2164216.9816572918</v>
      </c>
      <c r="F1024" s="522">
        <f t="shared" si="660"/>
        <v>2164216.9816572918</v>
      </c>
      <c r="G1024" s="522">
        <f t="shared" si="660"/>
        <v>2164216.9816572918</v>
      </c>
      <c r="H1024" s="522">
        <f t="shared" si="660"/>
        <v>2164216.9816572918</v>
      </c>
      <c r="I1024" s="522">
        <f t="shared" si="660"/>
        <v>2164216.9816572918</v>
      </c>
      <c r="J1024" s="522">
        <f t="shared" si="660"/>
        <v>2164216.9816572918</v>
      </c>
      <c r="K1024" s="522">
        <f t="shared" si="660"/>
        <v>2164216.9816572918</v>
      </c>
      <c r="L1024" s="522">
        <f t="shared" si="660"/>
        <v>2164216.9816572918</v>
      </c>
      <c r="M1024" s="522">
        <f t="shared" si="660"/>
        <v>2164216.9816572918</v>
      </c>
      <c r="N1024" s="522">
        <f t="shared" si="660"/>
        <v>2164216.9816572918</v>
      </c>
      <c r="O1024" s="410" t="s">
        <v>1837</v>
      </c>
    </row>
    <row r="1025" spans="1:15" s="217" customFormat="1">
      <c r="A1025" s="217">
        <v>4</v>
      </c>
      <c r="B1025" s="10" t="s">
        <v>1735</v>
      </c>
      <c r="C1025" s="11" t="s">
        <v>902</v>
      </c>
      <c r="D1025" s="217" t="str">
        <f>IF(A1025=B1007,"New Revenue Adjustments",IF(AND(C1025=D1007,A1025&lt;B1007),"Attrition Necessary",0))</f>
        <v>Attrition Necessary</v>
      </c>
      <c r="E1025" s="522">
        <f t="shared" si="660"/>
        <v>2705271.2270716149</v>
      </c>
      <c r="F1025" s="522">
        <f t="shared" si="660"/>
        <v>2705271.2270716149</v>
      </c>
      <c r="G1025" s="522">
        <f t="shared" si="660"/>
        <v>2705271.2270716149</v>
      </c>
      <c r="H1025" s="522">
        <f t="shared" si="660"/>
        <v>2705271.2270716149</v>
      </c>
      <c r="I1025" s="522">
        <f t="shared" si="660"/>
        <v>2705271.2270716149</v>
      </c>
      <c r="J1025" s="522">
        <f t="shared" si="660"/>
        <v>2705271.2270716149</v>
      </c>
      <c r="K1025" s="522">
        <f t="shared" si="660"/>
        <v>2705271.2270716149</v>
      </c>
      <c r="L1025" s="522">
        <f t="shared" si="660"/>
        <v>2705271.2270716149</v>
      </c>
      <c r="M1025" s="522">
        <f t="shared" si="660"/>
        <v>2705271.2270716149</v>
      </c>
      <c r="N1025" s="522">
        <f t="shared" si="660"/>
        <v>2705271.2270716149</v>
      </c>
      <c r="O1025" s="410" t="s">
        <v>1838</v>
      </c>
    </row>
    <row r="1026" spans="1:15" s="217" customFormat="1">
      <c r="A1026" s="217">
        <v>5</v>
      </c>
      <c r="B1026" s="10" t="s">
        <v>1729</v>
      </c>
      <c r="C1026" s="11" t="s">
        <v>899</v>
      </c>
      <c r="D1026" s="217">
        <f>IF(A1026=B1007,"New Revenue Adjustments",IF(AND(C1026=D1007,A1026&lt;B1007),"Attrition Necessary",0))</f>
        <v>0</v>
      </c>
      <c r="E1026" s="522">
        <f t="shared" si="660"/>
        <v>1082108.4908286459</v>
      </c>
      <c r="F1026" s="522">
        <f t="shared" si="660"/>
        <v>1082108.4908286459</v>
      </c>
      <c r="G1026" s="522">
        <f t="shared" si="660"/>
        <v>1082108.4908286459</v>
      </c>
      <c r="H1026" s="522">
        <f t="shared" si="660"/>
        <v>1082108.4908286459</v>
      </c>
      <c r="I1026" s="522">
        <f t="shared" si="660"/>
        <v>1082108.4908286459</v>
      </c>
      <c r="J1026" s="522">
        <f t="shared" si="660"/>
        <v>1082108.4908286459</v>
      </c>
      <c r="K1026" s="522">
        <f t="shared" si="660"/>
        <v>1082108.4908286459</v>
      </c>
      <c r="L1026" s="522">
        <f t="shared" si="660"/>
        <v>1082108.4908286459</v>
      </c>
      <c r="M1026" s="522">
        <f t="shared" si="660"/>
        <v>1082108.4908286459</v>
      </c>
      <c r="N1026" s="522">
        <f t="shared" si="660"/>
        <v>1082108.4908286459</v>
      </c>
      <c r="O1026" s="410" t="s">
        <v>1839</v>
      </c>
    </row>
    <row r="1027" spans="1:15" s="217" customFormat="1">
      <c r="A1027" s="217">
        <v>6</v>
      </c>
      <c r="B1027" s="10" t="s">
        <v>1729</v>
      </c>
      <c r="C1027" s="11" t="s">
        <v>900</v>
      </c>
      <c r="D1027" s="217">
        <f>IF(A1027=B1007,"New Revenue Adjustments",IF(AND(C1027=D1007,A1027&lt;B1007),"Attrition Necessary",0))</f>
        <v>0</v>
      </c>
      <c r="E1027" s="522">
        <f t="shared" si="660"/>
        <v>1558746.552050268</v>
      </c>
      <c r="F1027" s="522">
        <f t="shared" si="660"/>
        <v>1558746.552050268</v>
      </c>
      <c r="G1027" s="522">
        <f t="shared" si="660"/>
        <v>1558746.552050268</v>
      </c>
      <c r="H1027" s="522">
        <f t="shared" si="660"/>
        <v>1558746.552050268</v>
      </c>
      <c r="I1027" s="522">
        <f t="shared" si="660"/>
        <v>1558746.552050268</v>
      </c>
      <c r="J1027" s="522">
        <f t="shared" si="660"/>
        <v>1558746.552050268</v>
      </c>
      <c r="K1027" s="522">
        <f t="shared" si="660"/>
        <v>1558746.552050268</v>
      </c>
      <c r="L1027" s="522">
        <f t="shared" si="660"/>
        <v>1558746.552050268</v>
      </c>
      <c r="M1027" s="522">
        <f t="shared" si="660"/>
        <v>1558746.552050268</v>
      </c>
      <c r="N1027" s="522">
        <f t="shared" si="660"/>
        <v>1558746.552050268</v>
      </c>
      <c r="O1027" s="410" t="s">
        <v>1840</v>
      </c>
    </row>
    <row r="1028" spans="1:15" s="217" customFormat="1">
      <c r="A1028" s="217">
        <v>7</v>
      </c>
      <c r="B1028" s="10" t="s">
        <v>1729</v>
      </c>
      <c r="C1028" s="11" t="s">
        <v>901</v>
      </c>
      <c r="D1028" s="217">
        <f>IF(A1028=B1007,"New Revenue Adjustments",IF(AND(C1028=D1007,A1028&lt;B1007),"Attrition Necessary",0))</f>
        <v>0</v>
      </c>
      <c r="E1028" s="522">
        <f t="shared" si="660"/>
        <v>2408971.9440776873</v>
      </c>
      <c r="F1028" s="522">
        <f t="shared" si="660"/>
        <v>2408971.9440776873</v>
      </c>
      <c r="G1028" s="522">
        <f t="shared" si="660"/>
        <v>2408971.9440776873</v>
      </c>
      <c r="H1028" s="522">
        <f t="shared" si="660"/>
        <v>2408971.9440776873</v>
      </c>
      <c r="I1028" s="522">
        <f t="shared" si="660"/>
        <v>2408971.9440776873</v>
      </c>
      <c r="J1028" s="522">
        <f t="shared" si="660"/>
        <v>2408971.9440776873</v>
      </c>
      <c r="K1028" s="522">
        <f t="shared" si="660"/>
        <v>2408971.9440776873</v>
      </c>
      <c r="L1028" s="522">
        <f t="shared" si="660"/>
        <v>2408971.9440776873</v>
      </c>
      <c r="M1028" s="522">
        <f t="shared" si="660"/>
        <v>2408971.9440776873</v>
      </c>
      <c r="N1028" s="522">
        <f t="shared" si="660"/>
        <v>2408971.9440776873</v>
      </c>
      <c r="O1028" s="410" t="s">
        <v>1841</v>
      </c>
    </row>
    <row r="1029" spans="1:15" s="217" customFormat="1">
      <c r="A1029" s="217">
        <v>8</v>
      </c>
      <c r="B1029" s="10" t="s">
        <v>1729</v>
      </c>
      <c r="C1029" s="11" t="s">
        <v>902</v>
      </c>
      <c r="D1029" s="217" t="str">
        <f>IF(A1029=B1007,"New Revenue Adjustments",IF(AND(C1029=D1007,A1029&lt;B1007),"Attrition Necessary",0))</f>
        <v>Attrition Necessary</v>
      </c>
      <c r="E1029" s="522">
        <f t="shared" si="660"/>
        <v>3542605.8001142456</v>
      </c>
      <c r="F1029" s="522">
        <f t="shared" si="660"/>
        <v>3542605.8001142456</v>
      </c>
      <c r="G1029" s="522">
        <f t="shared" si="660"/>
        <v>3542605.8001142456</v>
      </c>
      <c r="H1029" s="522">
        <f t="shared" si="660"/>
        <v>3542605.8001142456</v>
      </c>
      <c r="I1029" s="522">
        <f t="shared" si="660"/>
        <v>3542605.8001142456</v>
      </c>
      <c r="J1029" s="522">
        <f t="shared" si="660"/>
        <v>3542605.8001142456</v>
      </c>
      <c r="K1029" s="522">
        <f t="shared" si="660"/>
        <v>3542605.8001142456</v>
      </c>
      <c r="L1029" s="522">
        <f t="shared" si="660"/>
        <v>3542605.8001142456</v>
      </c>
      <c r="M1029" s="522">
        <f t="shared" si="660"/>
        <v>3542605.8001142456</v>
      </c>
      <c r="N1029" s="522">
        <f t="shared" si="660"/>
        <v>3542605.8001142456</v>
      </c>
      <c r="O1029" s="410" t="s">
        <v>1842</v>
      </c>
    </row>
    <row r="1030" spans="1:15" s="217" customFormat="1">
      <c r="A1030" s="217">
        <v>9</v>
      </c>
      <c r="B1030" s="10" t="s">
        <v>405</v>
      </c>
      <c r="C1030" s="11" t="s">
        <v>899</v>
      </c>
      <c r="D1030" s="217">
        <f>IF(A1030=B1007,"New Revenue Adjustments",IF(AND(C1030=D1007,A1030&lt;B1007),"Attrition Necessary",0))</f>
        <v>0</v>
      </c>
      <c r="E1030" s="522">
        <f t="shared" si="660"/>
        <v>1594172.6100514105</v>
      </c>
      <c r="F1030" s="522">
        <f t="shared" si="660"/>
        <v>1594172.6100514105</v>
      </c>
      <c r="G1030" s="522">
        <f t="shared" si="660"/>
        <v>1594172.6100514105</v>
      </c>
      <c r="H1030" s="522">
        <f t="shared" si="660"/>
        <v>1594172.6100514105</v>
      </c>
      <c r="I1030" s="522">
        <f t="shared" si="660"/>
        <v>1594172.6100514105</v>
      </c>
      <c r="J1030" s="522">
        <f t="shared" si="660"/>
        <v>1594172.6100514105</v>
      </c>
      <c r="K1030" s="522">
        <f t="shared" si="660"/>
        <v>1594172.6100514105</v>
      </c>
      <c r="L1030" s="522">
        <f t="shared" si="660"/>
        <v>1594172.6100514105</v>
      </c>
      <c r="M1030" s="522">
        <f t="shared" si="660"/>
        <v>1594172.6100514105</v>
      </c>
      <c r="N1030" s="522">
        <f t="shared" si="660"/>
        <v>1594172.6100514105</v>
      </c>
      <c r="O1030" s="410" t="s">
        <v>1843</v>
      </c>
    </row>
    <row r="1031" spans="1:15" s="217" customFormat="1">
      <c r="A1031" s="217">
        <v>10</v>
      </c>
      <c r="B1031" s="10" t="s">
        <v>405</v>
      </c>
      <c r="C1031" s="11" t="s">
        <v>900</v>
      </c>
      <c r="D1031" s="217">
        <f>IF(A1031=B1007,"New Revenue Adjustments",IF(AND(C1031=D1007,A1031&lt;B1007),"Attrition Necessary",0))</f>
        <v>0</v>
      </c>
      <c r="E1031" s="522">
        <f t="shared" si="660"/>
        <v>2296360.3745385483</v>
      </c>
      <c r="F1031" s="522">
        <f t="shared" si="660"/>
        <v>2296360.3745385483</v>
      </c>
      <c r="G1031" s="522">
        <f t="shared" si="660"/>
        <v>2296360.3745385483</v>
      </c>
      <c r="H1031" s="522">
        <f t="shared" si="660"/>
        <v>2296360.3745385483</v>
      </c>
      <c r="I1031" s="522">
        <f t="shared" si="660"/>
        <v>2296360.3745385483</v>
      </c>
      <c r="J1031" s="522">
        <f t="shared" si="660"/>
        <v>2296360.3745385483</v>
      </c>
      <c r="K1031" s="522">
        <f t="shared" si="660"/>
        <v>2296360.3745385483</v>
      </c>
      <c r="L1031" s="522">
        <f t="shared" si="660"/>
        <v>2296360.3745385483</v>
      </c>
      <c r="M1031" s="522">
        <f t="shared" si="660"/>
        <v>2296360.3745385483</v>
      </c>
      <c r="N1031" s="522">
        <f t="shared" si="660"/>
        <v>2296360.3745385483</v>
      </c>
      <c r="O1031" s="410" t="s">
        <v>1844</v>
      </c>
    </row>
    <row r="1032" spans="1:15" s="217" customFormat="1">
      <c r="A1032" s="217">
        <v>11</v>
      </c>
      <c r="B1032" s="10" t="s">
        <v>405</v>
      </c>
      <c r="C1032" s="11" t="s">
        <v>901</v>
      </c>
      <c r="D1032" s="217">
        <f>IF(A1032=B1007,"New Revenue Adjustments",IF(AND(C1032=D1007,A1032&lt;B1007),"Attrition Necessary",0))</f>
        <v>0</v>
      </c>
      <c r="E1032" s="522">
        <f t="shared" ref="E1032:N1041" si="661">IF($B$1007&gt;$A1032,INDEX(calcY1Q3RevFlow,$A1032,calcTeamNum)*(IF($D1032="Attrition Necessary",1-calcQ2AttritionDifference,1)*(IF($D1032="New Revenue Adjustments",1+calcQ4RevenueAdjustment,1))),INDEX(dataY1Q4Rev,$A1032,)*(IF($D1032="Attrition Necessary",1-calcQ2AttritionDifference,1))*(IF($D1032="New Revenue Adjustments",1+calcQ4RevenueAdjustment,1)))</f>
        <v>3548920.5788323022</v>
      </c>
      <c r="F1032" s="522">
        <f t="shared" si="661"/>
        <v>3548920.5788323022</v>
      </c>
      <c r="G1032" s="522">
        <f t="shared" si="661"/>
        <v>3548920.5788323022</v>
      </c>
      <c r="H1032" s="522">
        <f t="shared" si="661"/>
        <v>3548920.5788323022</v>
      </c>
      <c r="I1032" s="522">
        <f t="shared" si="661"/>
        <v>3548920.5788323022</v>
      </c>
      <c r="J1032" s="522">
        <f t="shared" si="661"/>
        <v>3548920.5788323022</v>
      </c>
      <c r="K1032" s="522">
        <f t="shared" si="661"/>
        <v>3548920.5788323022</v>
      </c>
      <c r="L1032" s="522">
        <f t="shared" si="661"/>
        <v>3548920.5788323022</v>
      </c>
      <c r="M1032" s="522">
        <f t="shared" si="661"/>
        <v>3548920.5788323022</v>
      </c>
      <c r="N1032" s="522">
        <f t="shared" si="661"/>
        <v>3548920.5788323022</v>
      </c>
      <c r="O1032" s="410" t="s">
        <v>1845</v>
      </c>
    </row>
    <row r="1033" spans="1:15" s="217" customFormat="1">
      <c r="A1033" s="217">
        <v>12</v>
      </c>
      <c r="B1033" s="10" t="s">
        <v>405</v>
      </c>
      <c r="C1033" s="11" t="s">
        <v>902</v>
      </c>
      <c r="D1033" s="217" t="str">
        <f>IF(A1033=B1007,"New Revenue Adjustments",IF(AND(C1033=D1007,A1033&lt;B1007),"Attrition Necessary",0))</f>
        <v>Attrition Necessary</v>
      </c>
      <c r="E1033" s="522">
        <f t="shared" si="661"/>
        <v>5219000.8512239736</v>
      </c>
      <c r="F1033" s="522">
        <f t="shared" si="661"/>
        <v>5219000.8512239736</v>
      </c>
      <c r="G1033" s="522">
        <f t="shared" si="661"/>
        <v>5219000.8512239736</v>
      </c>
      <c r="H1033" s="522">
        <f t="shared" si="661"/>
        <v>5219000.8512239736</v>
      </c>
      <c r="I1033" s="522">
        <f t="shared" si="661"/>
        <v>5219000.8512239736</v>
      </c>
      <c r="J1033" s="522">
        <f t="shared" si="661"/>
        <v>5219000.8512239736</v>
      </c>
      <c r="K1033" s="522">
        <f t="shared" si="661"/>
        <v>5219000.8512239736</v>
      </c>
      <c r="L1033" s="522">
        <f t="shared" si="661"/>
        <v>5219000.8512239736</v>
      </c>
      <c r="M1033" s="522">
        <f t="shared" si="661"/>
        <v>5219000.8512239736</v>
      </c>
      <c r="N1033" s="522">
        <f t="shared" si="661"/>
        <v>5219000.8512239736</v>
      </c>
      <c r="O1033" s="410" t="s">
        <v>1846</v>
      </c>
    </row>
    <row r="1034" spans="1:15" s="217" customFormat="1">
      <c r="A1034" s="217">
        <v>13</v>
      </c>
      <c r="B1034" s="10" t="s">
        <v>1278</v>
      </c>
      <c r="C1034" s="11" t="s">
        <v>899</v>
      </c>
      <c r="D1034" s="217">
        <f>IF(A1034=B1007,"New Revenue Adjustments",IF(AND(C1034=D1007,A1034&lt;B1007),"Attrition Necessary",0))</f>
        <v>0</v>
      </c>
      <c r="E1034" s="522">
        <f t="shared" si="661"/>
        <v>2343750</v>
      </c>
      <c r="F1034" s="522">
        <f t="shared" si="661"/>
        <v>2343750</v>
      </c>
      <c r="G1034" s="522">
        <f t="shared" si="661"/>
        <v>2343750</v>
      </c>
      <c r="H1034" s="522">
        <f t="shared" si="661"/>
        <v>2343750</v>
      </c>
      <c r="I1034" s="522">
        <f t="shared" si="661"/>
        <v>2343750</v>
      </c>
      <c r="J1034" s="522">
        <f t="shared" si="661"/>
        <v>2343750</v>
      </c>
      <c r="K1034" s="522">
        <f t="shared" si="661"/>
        <v>2343750</v>
      </c>
      <c r="L1034" s="522">
        <f t="shared" si="661"/>
        <v>2343750</v>
      </c>
      <c r="M1034" s="522">
        <f t="shared" si="661"/>
        <v>2343750</v>
      </c>
      <c r="N1034" s="522">
        <f t="shared" si="661"/>
        <v>2343750</v>
      </c>
      <c r="O1034" s="410" t="s">
        <v>1847</v>
      </c>
    </row>
    <row r="1035" spans="1:15" s="217" customFormat="1">
      <c r="A1035" s="217">
        <v>14</v>
      </c>
      <c r="B1035" s="10" t="s">
        <v>1278</v>
      </c>
      <c r="C1035" s="11" t="s">
        <v>900</v>
      </c>
      <c r="D1035" s="217">
        <f>IF(A1035=B1007,"New Revenue Adjustments",IF(AND(C1035=D1007,A1035&lt;B1007),"Attrition Necessary",0))</f>
        <v>0</v>
      </c>
      <c r="E1035" s="522">
        <f t="shared" si="661"/>
        <v>2864583.333333333</v>
      </c>
      <c r="F1035" s="522">
        <f t="shared" si="661"/>
        <v>2864583.333333333</v>
      </c>
      <c r="G1035" s="522">
        <f t="shared" si="661"/>
        <v>2864583.333333333</v>
      </c>
      <c r="H1035" s="522">
        <f t="shared" si="661"/>
        <v>2864583.333333333</v>
      </c>
      <c r="I1035" s="522">
        <f t="shared" si="661"/>
        <v>2864583.333333333</v>
      </c>
      <c r="J1035" s="522">
        <f t="shared" si="661"/>
        <v>2864583.333333333</v>
      </c>
      <c r="K1035" s="522">
        <f t="shared" si="661"/>
        <v>2864583.333333333</v>
      </c>
      <c r="L1035" s="522">
        <f t="shared" si="661"/>
        <v>2864583.333333333</v>
      </c>
      <c r="M1035" s="522">
        <f t="shared" si="661"/>
        <v>2864583.333333333</v>
      </c>
      <c r="N1035" s="522">
        <f t="shared" si="661"/>
        <v>2864583.333333333</v>
      </c>
      <c r="O1035" s="410" t="s">
        <v>1848</v>
      </c>
    </row>
    <row r="1036" spans="1:15" s="217" customFormat="1">
      <c r="A1036" s="217">
        <v>15</v>
      </c>
      <c r="B1036" s="10" t="s">
        <v>1278</v>
      </c>
      <c r="C1036" s="11" t="s">
        <v>901</v>
      </c>
      <c r="D1036" s="217">
        <f>IF(A1036=B1007,"New Revenue Adjustments",IF(AND(C1036=D1007,A1036&lt;B1007),"Attrition Necessary",0))</f>
        <v>0</v>
      </c>
      <c r="E1036" s="522">
        <f t="shared" si="661"/>
        <v>4427083.333333334</v>
      </c>
      <c r="F1036" s="522">
        <f t="shared" si="661"/>
        <v>4427083.333333334</v>
      </c>
      <c r="G1036" s="522">
        <f t="shared" si="661"/>
        <v>4427083.333333334</v>
      </c>
      <c r="H1036" s="522">
        <f t="shared" si="661"/>
        <v>4427083.333333334</v>
      </c>
      <c r="I1036" s="522">
        <f t="shared" si="661"/>
        <v>4427083.333333334</v>
      </c>
      <c r="J1036" s="522">
        <f t="shared" si="661"/>
        <v>4427083.333333334</v>
      </c>
      <c r="K1036" s="522">
        <f t="shared" si="661"/>
        <v>4427083.333333334</v>
      </c>
      <c r="L1036" s="522">
        <f t="shared" si="661"/>
        <v>4427083.333333334</v>
      </c>
      <c r="M1036" s="522">
        <f t="shared" si="661"/>
        <v>4427083.333333334</v>
      </c>
      <c r="N1036" s="522">
        <f t="shared" si="661"/>
        <v>4427083.333333334</v>
      </c>
      <c r="O1036" s="410" t="s">
        <v>1849</v>
      </c>
    </row>
    <row r="1037" spans="1:15" s="217" customFormat="1">
      <c r="A1037" s="217">
        <v>16</v>
      </c>
      <c r="B1037" s="10" t="s">
        <v>1278</v>
      </c>
      <c r="C1037" s="11" t="s">
        <v>902</v>
      </c>
      <c r="D1037" s="217" t="str">
        <f>IF(A1037=B1007,"New Revenue Adjustments",IF(AND(C1037=D1007,A1037&lt;B1007),"Attrition Necessary",0))</f>
        <v>New Revenue Adjustments</v>
      </c>
      <c r="E1037" s="522">
        <f t="shared" si="661"/>
        <v>6510416.666666666</v>
      </c>
      <c r="F1037" s="522">
        <f t="shared" si="661"/>
        <v>6510416.666666666</v>
      </c>
      <c r="G1037" s="522">
        <f t="shared" si="661"/>
        <v>6510416.666666666</v>
      </c>
      <c r="H1037" s="522">
        <f t="shared" si="661"/>
        <v>6510416.666666666</v>
      </c>
      <c r="I1037" s="522">
        <f t="shared" si="661"/>
        <v>6510416.666666666</v>
      </c>
      <c r="J1037" s="522">
        <f t="shared" si="661"/>
        <v>6510416.666666666</v>
      </c>
      <c r="K1037" s="522">
        <f t="shared" si="661"/>
        <v>6510416.666666666</v>
      </c>
      <c r="L1037" s="522">
        <f t="shared" si="661"/>
        <v>6510416.666666666</v>
      </c>
      <c r="M1037" s="522">
        <f t="shared" si="661"/>
        <v>6510416.666666666</v>
      </c>
      <c r="N1037" s="522">
        <f t="shared" si="661"/>
        <v>6510416.666666666</v>
      </c>
      <c r="O1037" s="410" t="s">
        <v>1850</v>
      </c>
    </row>
    <row r="1038" spans="1:15" s="217" customFormat="1">
      <c r="A1038" s="217">
        <v>17</v>
      </c>
      <c r="B1038" s="10" t="s">
        <v>1279</v>
      </c>
      <c r="C1038" s="11" t="s">
        <v>899</v>
      </c>
      <c r="D1038" s="217">
        <f>IF(A1038=B1007,"New Revenue Adjustments",IF(AND(C1038=D1007,A1038&lt;B1007),"Attrition Necessary",0))</f>
        <v>0</v>
      </c>
      <c r="E1038" s="522">
        <f t="shared" si="661"/>
        <v>0</v>
      </c>
      <c r="F1038" s="522">
        <f t="shared" si="661"/>
        <v>0</v>
      </c>
      <c r="G1038" s="522">
        <f t="shared" si="661"/>
        <v>0</v>
      </c>
      <c r="H1038" s="522">
        <f t="shared" si="661"/>
        <v>0</v>
      </c>
      <c r="I1038" s="522">
        <f t="shared" si="661"/>
        <v>0</v>
      </c>
      <c r="J1038" s="522">
        <f t="shared" si="661"/>
        <v>0</v>
      </c>
      <c r="K1038" s="522">
        <f t="shared" si="661"/>
        <v>0</v>
      </c>
      <c r="L1038" s="522">
        <f t="shared" si="661"/>
        <v>0</v>
      </c>
      <c r="M1038" s="522">
        <f t="shared" si="661"/>
        <v>0</v>
      </c>
      <c r="N1038" s="522">
        <f t="shared" si="661"/>
        <v>0</v>
      </c>
      <c r="O1038" s="410" t="s">
        <v>1851</v>
      </c>
    </row>
    <row r="1039" spans="1:15" s="217" customFormat="1">
      <c r="A1039" s="217">
        <v>18</v>
      </c>
      <c r="B1039" s="10" t="s">
        <v>1279</v>
      </c>
      <c r="C1039" s="11" t="s">
        <v>900</v>
      </c>
      <c r="D1039" s="217">
        <f>IF(A1039=B1007,"New Revenue Adjustments",IF(AND(C1039=D1007,A1039&lt;B1007),"Attrition Necessary",0))</f>
        <v>0</v>
      </c>
      <c r="E1039" s="522">
        <f t="shared" si="661"/>
        <v>0</v>
      </c>
      <c r="F1039" s="522">
        <f t="shared" si="661"/>
        <v>0</v>
      </c>
      <c r="G1039" s="522">
        <f t="shared" si="661"/>
        <v>0</v>
      </c>
      <c r="H1039" s="522">
        <f t="shared" si="661"/>
        <v>0</v>
      </c>
      <c r="I1039" s="522">
        <f t="shared" si="661"/>
        <v>0</v>
      </c>
      <c r="J1039" s="522">
        <f t="shared" si="661"/>
        <v>0</v>
      </c>
      <c r="K1039" s="522">
        <f t="shared" si="661"/>
        <v>0</v>
      </c>
      <c r="L1039" s="522">
        <f t="shared" si="661"/>
        <v>0</v>
      </c>
      <c r="M1039" s="522">
        <f t="shared" si="661"/>
        <v>0</v>
      </c>
      <c r="N1039" s="522">
        <f t="shared" si="661"/>
        <v>0</v>
      </c>
      <c r="O1039" s="410" t="s">
        <v>1852</v>
      </c>
    </row>
    <row r="1040" spans="1:15" s="217" customFormat="1">
      <c r="A1040" s="217">
        <v>19</v>
      </c>
      <c r="B1040" s="10" t="s">
        <v>1279</v>
      </c>
      <c r="C1040" s="11" t="s">
        <v>901</v>
      </c>
      <c r="D1040" s="217">
        <f>IF(A1040=B1007,"New Revenue Adjustments",IF(AND(C1040=D1007,A1040&lt;B1007),"Attrition Necessary",0))</f>
        <v>0</v>
      </c>
      <c r="E1040" s="522">
        <f t="shared" si="661"/>
        <v>0</v>
      </c>
      <c r="F1040" s="522">
        <f t="shared" si="661"/>
        <v>0</v>
      </c>
      <c r="G1040" s="522">
        <f t="shared" si="661"/>
        <v>0</v>
      </c>
      <c r="H1040" s="522">
        <f t="shared" si="661"/>
        <v>0</v>
      </c>
      <c r="I1040" s="522">
        <f t="shared" si="661"/>
        <v>0</v>
      </c>
      <c r="J1040" s="522">
        <f t="shared" si="661"/>
        <v>0</v>
      </c>
      <c r="K1040" s="522">
        <f t="shared" si="661"/>
        <v>0</v>
      </c>
      <c r="L1040" s="522">
        <f t="shared" si="661"/>
        <v>0</v>
      </c>
      <c r="M1040" s="522">
        <f t="shared" si="661"/>
        <v>0</v>
      </c>
      <c r="N1040" s="522">
        <f t="shared" si="661"/>
        <v>0</v>
      </c>
      <c r="O1040" s="410" t="s">
        <v>1853</v>
      </c>
    </row>
    <row r="1041" spans="1:15" s="217" customFormat="1">
      <c r="A1041" s="217">
        <v>20</v>
      </c>
      <c r="B1041" s="10" t="s">
        <v>1279</v>
      </c>
      <c r="C1041" s="11" t="s">
        <v>902</v>
      </c>
      <c r="D1041" s="217">
        <f>IF(A1041=B1007,"New Revenue Adjustments",IF(AND(C1041=D1007,A1041&lt;B1007),"Attrition Necessary",0))</f>
        <v>0</v>
      </c>
      <c r="E1041" s="522">
        <f t="shared" si="661"/>
        <v>0</v>
      </c>
      <c r="F1041" s="522">
        <f t="shared" si="661"/>
        <v>0</v>
      </c>
      <c r="G1041" s="522">
        <f t="shared" si="661"/>
        <v>0</v>
      </c>
      <c r="H1041" s="522">
        <f t="shared" si="661"/>
        <v>0</v>
      </c>
      <c r="I1041" s="522">
        <f t="shared" si="661"/>
        <v>0</v>
      </c>
      <c r="J1041" s="522">
        <f t="shared" si="661"/>
        <v>0</v>
      </c>
      <c r="K1041" s="522">
        <f t="shared" si="661"/>
        <v>0</v>
      </c>
      <c r="L1041" s="522">
        <f t="shared" si="661"/>
        <v>0</v>
      </c>
      <c r="M1041" s="522">
        <f t="shared" si="661"/>
        <v>0</v>
      </c>
      <c r="N1041" s="522">
        <f t="shared" si="661"/>
        <v>0</v>
      </c>
      <c r="O1041" s="410" t="s">
        <v>1854</v>
      </c>
    </row>
    <row r="1042" spans="1:15" s="217" customFormat="1">
      <c r="A1042" s="217">
        <v>21</v>
      </c>
      <c r="B1042" s="10" t="s">
        <v>2052</v>
      </c>
      <c r="C1042" s="11" t="s">
        <v>899</v>
      </c>
      <c r="D1042" s="217">
        <f>IF(A1042=B1007,"New Revenue Adjustments",IF(AND(C1042=D1007,A1042&lt;B1007),"Attrition Necessary",0))</f>
        <v>0</v>
      </c>
      <c r="E1042" s="522">
        <f t="shared" ref="E1042:N1053" si="662">IF($B$1007&gt;$A1042,INDEX(calcY1Q3RevFlow,$A1042,calcTeamNum)*(IF($D1042="Attrition Necessary",1-calcQ2AttritionDifference,1)*(IF($D1042="New Revenue Adjustments",1+calcQ4RevenueAdjustment,1))),INDEX(dataY1Q4Rev,$A1042,)*(IF($D1042="Attrition Necessary",1-calcQ2AttritionDifference,1))*(IF($D1042="New Revenue Adjustments",1+calcQ4RevenueAdjustment,1)))</f>
        <v>0</v>
      </c>
      <c r="F1042" s="522">
        <f t="shared" si="662"/>
        <v>0</v>
      </c>
      <c r="G1042" s="522">
        <f t="shared" si="662"/>
        <v>0</v>
      </c>
      <c r="H1042" s="522">
        <f t="shared" si="662"/>
        <v>0</v>
      </c>
      <c r="I1042" s="522">
        <f t="shared" si="662"/>
        <v>0</v>
      </c>
      <c r="J1042" s="522">
        <f t="shared" si="662"/>
        <v>0</v>
      </c>
      <c r="K1042" s="522">
        <f t="shared" si="662"/>
        <v>0</v>
      </c>
      <c r="L1042" s="522">
        <f t="shared" si="662"/>
        <v>0</v>
      </c>
      <c r="M1042" s="522">
        <f t="shared" si="662"/>
        <v>0</v>
      </c>
      <c r="N1042" s="522">
        <f t="shared" si="662"/>
        <v>0</v>
      </c>
      <c r="O1042" s="410" t="s">
        <v>2454</v>
      </c>
    </row>
    <row r="1043" spans="1:15" s="217" customFormat="1">
      <c r="A1043" s="217">
        <v>22</v>
      </c>
      <c r="B1043" s="10" t="s">
        <v>2052</v>
      </c>
      <c r="C1043" s="11" t="s">
        <v>900</v>
      </c>
      <c r="D1043" s="217">
        <f>IF(A1043=B1007,"New Revenue Adjustments",IF(AND(C1043=D1007,A1043&lt;B1007),"Attrition Necessary",0))</f>
        <v>0</v>
      </c>
      <c r="E1043" s="522">
        <f t="shared" si="662"/>
        <v>0</v>
      </c>
      <c r="F1043" s="522">
        <f t="shared" si="662"/>
        <v>0</v>
      </c>
      <c r="G1043" s="522">
        <f t="shared" si="662"/>
        <v>0</v>
      </c>
      <c r="H1043" s="522">
        <f t="shared" si="662"/>
        <v>0</v>
      </c>
      <c r="I1043" s="522">
        <f t="shared" si="662"/>
        <v>0</v>
      </c>
      <c r="J1043" s="522">
        <f t="shared" si="662"/>
        <v>0</v>
      </c>
      <c r="K1043" s="522">
        <f t="shared" si="662"/>
        <v>0</v>
      </c>
      <c r="L1043" s="522">
        <f t="shared" si="662"/>
        <v>0</v>
      </c>
      <c r="M1043" s="522">
        <f t="shared" si="662"/>
        <v>0</v>
      </c>
      <c r="N1043" s="522">
        <f t="shared" si="662"/>
        <v>0</v>
      </c>
      <c r="O1043" s="410" t="s">
        <v>2455</v>
      </c>
    </row>
    <row r="1044" spans="1:15" s="217" customFormat="1">
      <c r="A1044" s="217">
        <v>23</v>
      </c>
      <c r="B1044" s="10" t="s">
        <v>2052</v>
      </c>
      <c r="C1044" s="11" t="s">
        <v>901</v>
      </c>
      <c r="D1044" s="217">
        <f>IF(A1044=B1007,"New Revenue Adjustments",IF(AND(C1044=D1007,A1044&lt;B1007),"Attrition Necessary",0))</f>
        <v>0</v>
      </c>
      <c r="E1044" s="522">
        <f t="shared" si="662"/>
        <v>0</v>
      </c>
      <c r="F1044" s="522">
        <f t="shared" si="662"/>
        <v>0</v>
      </c>
      <c r="G1044" s="522">
        <f t="shared" si="662"/>
        <v>0</v>
      </c>
      <c r="H1044" s="522">
        <f t="shared" si="662"/>
        <v>0</v>
      </c>
      <c r="I1044" s="522">
        <f t="shared" si="662"/>
        <v>0</v>
      </c>
      <c r="J1044" s="522">
        <f t="shared" si="662"/>
        <v>0</v>
      </c>
      <c r="K1044" s="522">
        <f t="shared" si="662"/>
        <v>0</v>
      </c>
      <c r="L1044" s="522">
        <f t="shared" si="662"/>
        <v>0</v>
      </c>
      <c r="M1044" s="522">
        <f t="shared" si="662"/>
        <v>0</v>
      </c>
      <c r="N1044" s="522">
        <f t="shared" si="662"/>
        <v>0</v>
      </c>
      <c r="O1044" s="410" t="s">
        <v>2456</v>
      </c>
    </row>
    <row r="1045" spans="1:15" s="217" customFormat="1">
      <c r="A1045" s="217">
        <v>24</v>
      </c>
      <c r="B1045" s="10" t="s">
        <v>2052</v>
      </c>
      <c r="C1045" s="11" t="s">
        <v>902</v>
      </c>
      <c r="D1045" s="217">
        <f>IF(A1045=B1007,"New Revenue Adjustments",IF(AND(C1045=D1007,A1045&lt;B1007),"Attrition Necessary",0))</f>
        <v>0</v>
      </c>
      <c r="E1045" s="522">
        <f t="shared" si="662"/>
        <v>0</v>
      </c>
      <c r="F1045" s="522">
        <f t="shared" si="662"/>
        <v>0</v>
      </c>
      <c r="G1045" s="522">
        <f t="shared" si="662"/>
        <v>0</v>
      </c>
      <c r="H1045" s="522">
        <f t="shared" si="662"/>
        <v>0</v>
      </c>
      <c r="I1045" s="522">
        <f t="shared" si="662"/>
        <v>0</v>
      </c>
      <c r="J1045" s="522">
        <f t="shared" si="662"/>
        <v>0</v>
      </c>
      <c r="K1045" s="522">
        <f t="shared" si="662"/>
        <v>0</v>
      </c>
      <c r="L1045" s="522">
        <f t="shared" si="662"/>
        <v>0</v>
      </c>
      <c r="M1045" s="522">
        <f t="shared" si="662"/>
        <v>0</v>
      </c>
      <c r="N1045" s="522">
        <f t="shared" si="662"/>
        <v>0</v>
      </c>
      <c r="O1045" s="410" t="s">
        <v>2457</v>
      </c>
    </row>
    <row r="1046" spans="1:15" s="217" customFormat="1">
      <c r="A1046" s="217">
        <v>25</v>
      </c>
      <c r="B1046" s="10" t="s">
        <v>2408</v>
      </c>
      <c r="C1046" s="11" t="s">
        <v>899</v>
      </c>
      <c r="D1046" s="217">
        <f>IF(A1046=B1007,"New Revenue Adjustments",IF(AND(C1046=D1007,A1046&lt;B1007),"Attrition Necessary",0))</f>
        <v>0</v>
      </c>
      <c r="E1046" s="522">
        <f t="shared" si="662"/>
        <v>0</v>
      </c>
      <c r="F1046" s="522">
        <f t="shared" si="662"/>
        <v>0</v>
      </c>
      <c r="G1046" s="522">
        <f t="shared" si="662"/>
        <v>0</v>
      </c>
      <c r="H1046" s="522">
        <f t="shared" si="662"/>
        <v>0</v>
      </c>
      <c r="I1046" s="522">
        <f t="shared" si="662"/>
        <v>0</v>
      </c>
      <c r="J1046" s="522">
        <f t="shared" si="662"/>
        <v>0</v>
      </c>
      <c r="K1046" s="522">
        <f t="shared" si="662"/>
        <v>0</v>
      </c>
      <c r="L1046" s="522">
        <f t="shared" si="662"/>
        <v>0</v>
      </c>
      <c r="M1046" s="522">
        <f t="shared" si="662"/>
        <v>0</v>
      </c>
      <c r="N1046" s="522">
        <f t="shared" si="662"/>
        <v>0</v>
      </c>
      <c r="O1046" s="410" t="s">
        <v>2458</v>
      </c>
    </row>
    <row r="1047" spans="1:15" s="217" customFormat="1">
      <c r="A1047" s="217">
        <v>26</v>
      </c>
      <c r="B1047" s="10" t="s">
        <v>2408</v>
      </c>
      <c r="C1047" s="11" t="s">
        <v>900</v>
      </c>
      <c r="D1047" s="217">
        <f>IF(A1047=B1007,"New Revenue Adjustments",IF(AND(C1047=D1007,A1047&lt;B1007),"Attrition Necessary",0))</f>
        <v>0</v>
      </c>
      <c r="E1047" s="522">
        <f t="shared" si="662"/>
        <v>0</v>
      </c>
      <c r="F1047" s="522">
        <f t="shared" si="662"/>
        <v>0</v>
      </c>
      <c r="G1047" s="522">
        <f t="shared" si="662"/>
        <v>0</v>
      </c>
      <c r="H1047" s="522">
        <f t="shared" si="662"/>
        <v>0</v>
      </c>
      <c r="I1047" s="522">
        <f t="shared" si="662"/>
        <v>0</v>
      </c>
      <c r="J1047" s="522">
        <f t="shared" si="662"/>
        <v>0</v>
      </c>
      <c r="K1047" s="522">
        <f t="shared" si="662"/>
        <v>0</v>
      </c>
      <c r="L1047" s="522">
        <f t="shared" si="662"/>
        <v>0</v>
      </c>
      <c r="M1047" s="522">
        <f t="shared" si="662"/>
        <v>0</v>
      </c>
      <c r="N1047" s="522">
        <f t="shared" si="662"/>
        <v>0</v>
      </c>
      <c r="O1047" s="410" t="s">
        <v>2459</v>
      </c>
    </row>
    <row r="1048" spans="1:15" s="217" customFormat="1">
      <c r="A1048" s="217">
        <v>27</v>
      </c>
      <c r="B1048" s="10" t="s">
        <v>2408</v>
      </c>
      <c r="C1048" s="11" t="s">
        <v>901</v>
      </c>
      <c r="D1048" s="217">
        <f>IF(A1048=B1007,"New Revenue Adjustments",IF(AND(C1048=D1007,A1048&lt;B1007),"Attrition Necessary",0))</f>
        <v>0</v>
      </c>
      <c r="E1048" s="522">
        <f t="shared" si="662"/>
        <v>0</v>
      </c>
      <c r="F1048" s="522">
        <f t="shared" si="662"/>
        <v>0</v>
      </c>
      <c r="G1048" s="522">
        <f t="shared" si="662"/>
        <v>0</v>
      </c>
      <c r="H1048" s="522">
        <f t="shared" si="662"/>
        <v>0</v>
      </c>
      <c r="I1048" s="522">
        <f t="shared" si="662"/>
        <v>0</v>
      </c>
      <c r="J1048" s="522">
        <f t="shared" si="662"/>
        <v>0</v>
      </c>
      <c r="K1048" s="522">
        <f t="shared" si="662"/>
        <v>0</v>
      </c>
      <c r="L1048" s="522">
        <f t="shared" si="662"/>
        <v>0</v>
      </c>
      <c r="M1048" s="522">
        <f t="shared" si="662"/>
        <v>0</v>
      </c>
      <c r="N1048" s="522">
        <f t="shared" si="662"/>
        <v>0</v>
      </c>
      <c r="O1048" s="410" t="s">
        <v>2460</v>
      </c>
    </row>
    <row r="1049" spans="1:15" s="217" customFormat="1">
      <c r="A1049" s="217">
        <v>28</v>
      </c>
      <c r="B1049" s="10" t="s">
        <v>2408</v>
      </c>
      <c r="C1049" s="11" t="s">
        <v>902</v>
      </c>
      <c r="D1049" s="217">
        <f>IF(A1049=B1007,"New Revenue Adjustments",IF(AND(C1049=D1007,A1049&lt;B1007),"Attrition Necessary",0))</f>
        <v>0</v>
      </c>
      <c r="E1049" s="522">
        <f t="shared" si="662"/>
        <v>0</v>
      </c>
      <c r="F1049" s="522">
        <f t="shared" si="662"/>
        <v>0</v>
      </c>
      <c r="G1049" s="522">
        <f t="shared" si="662"/>
        <v>0</v>
      </c>
      <c r="H1049" s="522">
        <f t="shared" si="662"/>
        <v>0</v>
      </c>
      <c r="I1049" s="522">
        <f t="shared" si="662"/>
        <v>0</v>
      </c>
      <c r="J1049" s="522">
        <f t="shared" si="662"/>
        <v>0</v>
      </c>
      <c r="K1049" s="522">
        <f t="shared" si="662"/>
        <v>0</v>
      </c>
      <c r="L1049" s="522">
        <f t="shared" si="662"/>
        <v>0</v>
      </c>
      <c r="M1049" s="522">
        <f t="shared" si="662"/>
        <v>0</v>
      </c>
      <c r="N1049" s="522">
        <f t="shared" si="662"/>
        <v>0</v>
      </c>
      <c r="O1049" s="410" t="s">
        <v>2461</v>
      </c>
    </row>
    <row r="1050" spans="1:15" s="217" customFormat="1">
      <c r="A1050" s="217">
        <v>29</v>
      </c>
      <c r="B1050" s="10" t="s">
        <v>2413</v>
      </c>
      <c r="C1050" s="11" t="s">
        <v>899</v>
      </c>
      <c r="D1050" s="217">
        <f>IF(A1050=B1007,"New Revenue Adjustments",IF(AND(C1050=D1007,A1050&lt;B1007),"Attrition Necessary",0))</f>
        <v>0</v>
      </c>
      <c r="E1050" s="522">
        <f t="shared" si="662"/>
        <v>0</v>
      </c>
      <c r="F1050" s="522">
        <f t="shared" si="662"/>
        <v>0</v>
      </c>
      <c r="G1050" s="522">
        <f t="shared" si="662"/>
        <v>0</v>
      </c>
      <c r="H1050" s="522">
        <f t="shared" si="662"/>
        <v>0</v>
      </c>
      <c r="I1050" s="522">
        <f t="shared" si="662"/>
        <v>0</v>
      </c>
      <c r="J1050" s="522">
        <f t="shared" si="662"/>
        <v>0</v>
      </c>
      <c r="K1050" s="522">
        <f t="shared" si="662"/>
        <v>0</v>
      </c>
      <c r="L1050" s="522">
        <f t="shared" si="662"/>
        <v>0</v>
      </c>
      <c r="M1050" s="522">
        <f t="shared" si="662"/>
        <v>0</v>
      </c>
      <c r="N1050" s="522">
        <f t="shared" si="662"/>
        <v>0</v>
      </c>
      <c r="O1050" s="410" t="s">
        <v>2462</v>
      </c>
    </row>
    <row r="1051" spans="1:15" s="217" customFormat="1">
      <c r="A1051" s="217">
        <v>30</v>
      </c>
      <c r="B1051" s="10" t="s">
        <v>2413</v>
      </c>
      <c r="C1051" s="11" t="s">
        <v>900</v>
      </c>
      <c r="D1051" s="217">
        <f>IF(A1051=B1007,"New Revenue Adjustments",IF(AND(C1051=D1007,A1051&lt;B1007),"Attrition Necessary",0))</f>
        <v>0</v>
      </c>
      <c r="E1051" s="522">
        <f t="shared" si="662"/>
        <v>0</v>
      </c>
      <c r="F1051" s="522">
        <f t="shared" si="662"/>
        <v>0</v>
      </c>
      <c r="G1051" s="522">
        <f t="shared" si="662"/>
        <v>0</v>
      </c>
      <c r="H1051" s="522">
        <f t="shared" si="662"/>
        <v>0</v>
      </c>
      <c r="I1051" s="522">
        <f t="shared" si="662"/>
        <v>0</v>
      </c>
      <c r="J1051" s="522">
        <f t="shared" si="662"/>
        <v>0</v>
      </c>
      <c r="K1051" s="522">
        <f t="shared" si="662"/>
        <v>0</v>
      </c>
      <c r="L1051" s="522">
        <f t="shared" si="662"/>
        <v>0</v>
      </c>
      <c r="M1051" s="522">
        <f t="shared" si="662"/>
        <v>0</v>
      </c>
      <c r="N1051" s="522">
        <f t="shared" si="662"/>
        <v>0</v>
      </c>
      <c r="O1051" s="410" t="s">
        <v>2463</v>
      </c>
    </row>
    <row r="1052" spans="1:15" s="217" customFormat="1">
      <c r="A1052" s="217">
        <v>31</v>
      </c>
      <c r="B1052" s="10" t="s">
        <v>2413</v>
      </c>
      <c r="C1052" s="11" t="s">
        <v>901</v>
      </c>
      <c r="D1052" s="217">
        <f>IF(A1052=B1007,"New Revenue Adjustments",IF(AND(C1052=D1007,A1052&lt;B1007),"Attrition Necessary",0))</f>
        <v>0</v>
      </c>
      <c r="E1052" s="522">
        <f t="shared" si="662"/>
        <v>0</v>
      </c>
      <c r="F1052" s="522">
        <f t="shared" si="662"/>
        <v>0</v>
      </c>
      <c r="G1052" s="522">
        <f t="shared" si="662"/>
        <v>0</v>
      </c>
      <c r="H1052" s="522">
        <f t="shared" si="662"/>
        <v>0</v>
      </c>
      <c r="I1052" s="522">
        <f t="shared" si="662"/>
        <v>0</v>
      </c>
      <c r="J1052" s="522">
        <f t="shared" si="662"/>
        <v>0</v>
      </c>
      <c r="K1052" s="522">
        <f t="shared" si="662"/>
        <v>0</v>
      </c>
      <c r="L1052" s="522">
        <f t="shared" si="662"/>
        <v>0</v>
      </c>
      <c r="M1052" s="522">
        <f t="shared" si="662"/>
        <v>0</v>
      </c>
      <c r="N1052" s="522">
        <f t="shared" si="662"/>
        <v>0</v>
      </c>
      <c r="O1052" s="410" t="s">
        <v>2464</v>
      </c>
    </row>
    <row r="1053" spans="1:15" s="217" customFormat="1">
      <c r="A1053" s="217">
        <v>32</v>
      </c>
      <c r="B1053" s="10" t="s">
        <v>2413</v>
      </c>
      <c r="C1053" s="11" t="s">
        <v>902</v>
      </c>
      <c r="D1053" s="217">
        <f>IF(A1053=B1007,"New Revenue Adjustments",IF(AND(C1053=D1007,A1053&lt;B1007),"Attrition Necessary",0))</f>
        <v>0</v>
      </c>
      <c r="E1053" s="522">
        <f t="shared" si="662"/>
        <v>0</v>
      </c>
      <c r="F1053" s="522">
        <f t="shared" si="662"/>
        <v>0</v>
      </c>
      <c r="G1053" s="522">
        <f t="shared" si="662"/>
        <v>0</v>
      </c>
      <c r="H1053" s="522">
        <f t="shared" si="662"/>
        <v>0</v>
      </c>
      <c r="I1053" s="522">
        <f t="shared" si="662"/>
        <v>0</v>
      </c>
      <c r="J1053" s="522">
        <f t="shared" si="662"/>
        <v>0</v>
      </c>
      <c r="K1053" s="522">
        <f t="shared" si="662"/>
        <v>0</v>
      </c>
      <c r="L1053" s="522">
        <f t="shared" si="662"/>
        <v>0</v>
      </c>
      <c r="M1053" s="522">
        <f t="shared" si="662"/>
        <v>0</v>
      </c>
      <c r="N1053" s="522">
        <f t="shared" si="662"/>
        <v>0</v>
      </c>
      <c r="O1053" s="410" t="s">
        <v>2465</v>
      </c>
    </row>
    <row r="1054" spans="1:15" s="217" customFormat="1">
      <c r="D1054" s="217" t="s">
        <v>910</v>
      </c>
      <c r="E1054" s="427">
        <f>SUM(E1022:E1053)</f>
        <v>44809163.697226644</v>
      </c>
      <c r="F1054" s="427">
        <f t="shared" ref="F1054" si="663">SUM(F1022:F1053)</f>
        <v>44809163.697226644</v>
      </c>
      <c r="G1054" s="427">
        <f t="shared" ref="G1054" si="664">SUM(G1022:G1053)</f>
        <v>44809163.697226644</v>
      </c>
      <c r="H1054" s="427">
        <f t="shared" ref="H1054" si="665">SUM(H1022:H1053)</f>
        <v>44809163.697226644</v>
      </c>
      <c r="I1054" s="427">
        <f t="shared" ref="I1054:N1054" si="666">SUM(I1022:I1053)</f>
        <v>44809163.697226644</v>
      </c>
      <c r="J1054" s="427">
        <f t="shared" si="666"/>
        <v>44809163.697226644</v>
      </c>
      <c r="K1054" s="427">
        <f t="shared" si="666"/>
        <v>44809163.697226644</v>
      </c>
      <c r="L1054" s="427">
        <f t="shared" si="666"/>
        <v>44809163.697226644</v>
      </c>
      <c r="M1054" s="427">
        <f t="shared" si="666"/>
        <v>44809163.697226644</v>
      </c>
      <c r="N1054" s="427">
        <f t="shared" si="666"/>
        <v>44809163.697226644</v>
      </c>
      <c r="O1054" s="217" t="s">
        <v>914</v>
      </c>
    </row>
    <row r="1055" spans="1:15">
      <c r="E1055" s="357"/>
      <c r="F1055" s="357"/>
      <c r="G1055" s="357"/>
      <c r="H1055" s="357"/>
      <c r="I1055" s="357"/>
      <c r="J1055" s="357"/>
      <c r="K1055" s="357"/>
      <c r="L1055" s="357"/>
      <c r="M1055" s="357"/>
      <c r="N1055" s="357"/>
    </row>
    <row r="1057" spans="1:18" s="473" customFormat="1">
      <c r="A1057" s="473" t="s">
        <v>1766</v>
      </c>
    </row>
    <row r="1058" spans="1:18">
      <c r="E1058" s="357"/>
      <c r="F1058" s="357"/>
      <c r="G1058" s="357"/>
      <c r="H1058" s="357"/>
      <c r="I1058" s="357"/>
      <c r="J1058" s="357"/>
      <c r="K1058" s="357"/>
      <c r="L1058" s="357"/>
      <c r="M1058" s="357"/>
      <c r="N1058" s="357"/>
    </row>
    <row r="1059" spans="1:18">
      <c r="A1059" s="217"/>
      <c r="B1059" s="69">
        <v>17</v>
      </c>
      <c r="C1059" s="217" t="s">
        <v>1279</v>
      </c>
      <c r="D1059" s="217" t="s">
        <v>899</v>
      </c>
    </row>
    <row r="1060" spans="1:18" s="217" customFormat="1">
      <c r="C1060" s="217" t="s">
        <v>1736</v>
      </c>
      <c r="E1060" s="409"/>
      <c r="F1060" s="409"/>
      <c r="G1060" s="409"/>
      <c r="H1060" s="409"/>
      <c r="I1060" s="409"/>
      <c r="J1060" s="409"/>
      <c r="K1060" s="409"/>
      <c r="L1060" s="409"/>
      <c r="M1060" s="409"/>
      <c r="N1060" s="409"/>
    </row>
    <row r="1061" spans="1:18" s="410" customFormat="1">
      <c r="D1061" s="410" t="s">
        <v>1754</v>
      </c>
      <c r="E1061" s="547">
        <f t="shared" ref="E1061:N1061" si="667">FORECAST(calcNPS,datatblNPSAttrition,datatblNPSScore)</f>
        <v>0.14946428571428572</v>
      </c>
      <c r="F1061" s="547">
        <f t="shared" si="667"/>
        <v>0.14946428571428572</v>
      </c>
      <c r="G1061" s="547">
        <f t="shared" si="667"/>
        <v>0.14946428571428572</v>
      </c>
      <c r="H1061" s="547">
        <f t="shared" si="667"/>
        <v>0.14946428571428572</v>
      </c>
      <c r="I1061" s="547">
        <f t="shared" si="667"/>
        <v>0.14946428571428572</v>
      </c>
      <c r="J1061" s="547">
        <f t="shared" si="667"/>
        <v>0.14946428571428572</v>
      </c>
      <c r="K1061" s="547">
        <f t="shared" si="667"/>
        <v>0.14946428571428572</v>
      </c>
      <c r="L1061" s="547">
        <f t="shared" si="667"/>
        <v>0.14946428571428572</v>
      </c>
      <c r="M1061" s="547">
        <f t="shared" si="667"/>
        <v>0.14946428571428572</v>
      </c>
      <c r="N1061" s="547">
        <f t="shared" si="667"/>
        <v>0.14946428571428572</v>
      </c>
    </row>
    <row r="1062" spans="1:18" s="410" customFormat="1">
      <c r="D1062" s="410" t="s">
        <v>1753</v>
      </c>
      <c r="E1062" s="547">
        <f>Data!$D$277</f>
        <v>0.1515124491492886</v>
      </c>
      <c r="F1062" s="547">
        <f>Data!$D$277</f>
        <v>0.1515124491492886</v>
      </c>
      <c r="G1062" s="547">
        <f>Data!$D$277</f>
        <v>0.1515124491492886</v>
      </c>
      <c r="H1062" s="547">
        <f>Data!$D$277</f>
        <v>0.1515124491492886</v>
      </c>
      <c r="I1062" s="547">
        <f>Data!$D$277</f>
        <v>0.1515124491492886</v>
      </c>
      <c r="J1062" s="547">
        <f>Data!$D$277</f>
        <v>0.1515124491492886</v>
      </c>
      <c r="K1062" s="547">
        <f>Data!$D$277</f>
        <v>0.1515124491492886</v>
      </c>
      <c r="L1062" s="547">
        <f>Data!$D$277</f>
        <v>0.1515124491492886</v>
      </c>
      <c r="M1062" s="547">
        <f>Data!$D$277</f>
        <v>0.1515124491492886</v>
      </c>
      <c r="N1062" s="547">
        <f>Data!$D$277</f>
        <v>0.1515124491492886</v>
      </c>
    </row>
    <row r="1063" spans="1:18" s="217" customFormat="1">
      <c r="D1063" s="217" t="s">
        <v>1755</v>
      </c>
      <c r="E1063" s="411">
        <f>E1061-E1062</f>
        <v>-2.0481634350028866E-3</v>
      </c>
      <c r="F1063" s="411">
        <f t="shared" ref="F1063" si="668">F1061-F1062</f>
        <v>-2.0481634350028866E-3</v>
      </c>
      <c r="G1063" s="411">
        <f t="shared" ref="G1063" si="669">G1061-G1062</f>
        <v>-2.0481634350028866E-3</v>
      </c>
      <c r="H1063" s="411">
        <f t="shared" ref="H1063" si="670">H1061-H1062</f>
        <v>-2.0481634350028866E-3</v>
      </c>
      <c r="I1063" s="411">
        <f t="shared" ref="I1063:N1063" si="671">I1061-I1062</f>
        <v>-2.0481634350028866E-3</v>
      </c>
      <c r="J1063" s="411">
        <f t="shared" si="671"/>
        <v>-2.0481634350028866E-3</v>
      </c>
      <c r="K1063" s="411">
        <f t="shared" si="671"/>
        <v>-2.0481634350028866E-3</v>
      </c>
      <c r="L1063" s="411">
        <f t="shared" si="671"/>
        <v>-2.0481634350028866E-3</v>
      </c>
      <c r="M1063" s="411">
        <f t="shared" si="671"/>
        <v>-2.0481634350028866E-3</v>
      </c>
      <c r="N1063" s="411">
        <f t="shared" si="671"/>
        <v>-2.0481634350028866E-3</v>
      </c>
      <c r="O1063" s="217" t="s">
        <v>1767</v>
      </c>
    </row>
    <row r="1064" spans="1:18" s="217" customFormat="1">
      <c r="C1064" s="217" t="s">
        <v>1757</v>
      </c>
      <c r="E1064" s="411"/>
      <c r="F1064" s="411"/>
      <c r="G1064" s="411"/>
      <c r="H1064" s="411"/>
      <c r="I1064" s="411"/>
      <c r="J1064" s="411"/>
      <c r="K1064" s="411"/>
      <c r="L1064" s="411"/>
      <c r="M1064" s="411"/>
      <c r="N1064" s="411"/>
    </row>
    <row r="1065" spans="1:18">
      <c r="D1065" s="69" t="s">
        <v>1151</v>
      </c>
      <c r="E1065" s="425">
        <f>IF(calcOrg62Timeline&lt;=$Q1065,INDEX(datatblOrg62Timeline,MATCH(decGTMOrg62Timeline,Data!$C$106:$C$111,0),2),0)*paramOrg62Impacts</f>
        <v>0</v>
      </c>
      <c r="F1065" s="425">
        <f>IF(calcOrg62Timeline&lt;=$Q1065,INDEX(datatblOrg62Timeline,MATCH(decGTMOrg62Timeline,Data!$C$106:$C$111,0),2),0)*paramOrg62Impacts</f>
        <v>0</v>
      </c>
      <c r="G1065" s="425">
        <f>IF(calcOrg62Timeline&lt;=$Q1065,INDEX(datatblOrg62Timeline,MATCH(decGTMOrg62Timeline,Data!$C$106:$C$111,0),2),0)*paramOrg62Impacts</f>
        <v>0</v>
      </c>
      <c r="H1065" s="425">
        <f>IF(calcOrg62Timeline&lt;=$Q1065,INDEX(datatblOrg62Timeline,MATCH(decGTMOrg62Timeline,Data!$C$106:$C$111,0),2),0)*paramOrg62Impacts</f>
        <v>0</v>
      </c>
      <c r="I1065" s="425">
        <f>IF(calcOrg62Timeline&lt;=$Q1065,INDEX(datatblOrg62Timeline,MATCH(decGTMOrg62Timeline,Data!$C$106:$C$111,0),2),0)*paramOrg62Impacts</f>
        <v>0</v>
      </c>
      <c r="J1065" s="425">
        <f>IF(calcOrg62Timeline&lt;=$Q1065,INDEX(datatblOrg62Timeline,MATCH(decGTMOrg62Timeline,Data!$C$106:$C$111,0),2),0)*paramOrg62Impacts</f>
        <v>0</v>
      </c>
      <c r="K1065" s="425">
        <f>IF(calcOrg62Timeline&lt;=$Q1065,INDEX(datatblOrg62Timeline,MATCH(decGTMOrg62Timeline,Data!$C$106:$C$111,0),2),0)*paramOrg62Impacts</f>
        <v>0</v>
      </c>
      <c r="L1065" s="425">
        <f>IF(calcOrg62Timeline&lt;=$Q1065,INDEX(datatblOrg62Timeline,MATCH(decGTMOrg62Timeline,Data!$C$106:$C$111,0),2),0)*paramOrg62Impacts</f>
        <v>0</v>
      </c>
      <c r="M1065" s="425">
        <f>IF(calcOrg62Timeline&lt;=$Q1065,INDEX(datatblOrg62Timeline,MATCH(decGTMOrg62Timeline,Data!$C$106:$C$111,0),2),0)*paramOrg62Impacts</f>
        <v>0</v>
      </c>
      <c r="N1065" s="425">
        <f>IF(calcOrg62Timeline&lt;=$Q1065,INDEX(datatblOrg62Timeline,MATCH(decGTMOrg62Timeline,Data!$C$106:$C$111,0),2),0)*paramOrg62Impacts</f>
        <v>0</v>
      </c>
      <c r="Q1065" s="69">
        <v>15</v>
      </c>
    </row>
    <row r="1066" spans="1:18">
      <c r="D1066" s="69" t="s">
        <v>507</v>
      </c>
      <c r="E1066" s="425">
        <f>IF(calcProductTimeline&lt;=$Q1066,INDEX(datatblStackFocusImpact,MATCH(decProductStackFocus,Data!$C$96:$C$101,0),2),0)+paramACVGrowthStack</f>
        <v>0</v>
      </c>
      <c r="F1066" s="425">
        <f>IF(calcProductTimeline&lt;=$Q1066,INDEX(datatblStackFocusImpact,MATCH(decProductStackFocus,Data!$C$96:$C$101,0),2),0)+paramACVGrowthStack</f>
        <v>0</v>
      </c>
      <c r="G1066" s="425">
        <f>IF(calcProductTimeline&lt;=$Q1066,INDEX(datatblStackFocusImpact,MATCH(decProductStackFocus,Data!$C$96:$C$101,0),2),0)+paramACVGrowthStack</f>
        <v>0</v>
      </c>
      <c r="H1066" s="425">
        <f>IF(calcProductTimeline&lt;=$Q1066,INDEX(datatblStackFocusImpact,MATCH(decProductStackFocus,Data!$C$96:$C$101,0),2),0)+paramACVGrowthStack</f>
        <v>0</v>
      </c>
      <c r="I1066" s="425">
        <f>IF(calcProductTimeline&lt;=$Q1066,INDEX(datatblStackFocusImpact,MATCH(decProductStackFocus,Data!$C$96:$C$101,0),2),0)+paramACVGrowthStack</f>
        <v>0</v>
      </c>
      <c r="J1066" s="425">
        <f>IF(calcProductTimeline&lt;=$Q1066,INDEX(datatblStackFocusImpact,MATCH(decProductStackFocus,Data!$C$96:$C$101,0),2),0)+paramACVGrowthStack</f>
        <v>0</v>
      </c>
      <c r="K1066" s="425">
        <f>IF(calcProductTimeline&lt;=$Q1066,INDEX(datatblStackFocusImpact,MATCH(decProductStackFocus,Data!$C$96:$C$101,0),2),0)+paramACVGrowthStack</f>
        <v>0</v>
      </c>
      <c r="L1066" s="425">
        <f>IF(calcProductTimeline&lt;=$Q1066,INDEX(datatblStackFocusImpact,MATCH(decProductStackFocus,Data!$C$96:$C$101,0),2),0)+paramACVGrowthStack</f>
        <v>0</v>
      </c>
      <c r="M1066" s="425">
        <f>IF(calcProductTimeline&lt;=$Q1066,INDEX(datatblStackFocusImpact,MATCH(decProductStackFocus,Data!$C$96:$C$101,0),2),0)+paramACVGrowthStack</f>
        <v>0</v>
      </c>
      <c r="N1066" s="425">
        <f>IF(calcProductTimeline&lt;=$Q1066,INDEX(datatblStackFocusImpact,MATCH(decProductStackFocus,Data!$C$96:$C$101,0),2),0)+paramACVGrowthStack</f>
        <v>0</v>
      </c>
      <c r="Q1066" s="69">
        <f>Q1065</f>
        <v>15</v>
      </c>
    </row>
    <row r="1067" spans="1:18">
      <c r="D1067" s="69" t="s">
        <v>2237</v>
      </c>
      <c r="E1067" s="425">
        <f>IF(calcExternalSalesTimeline&lt;=$Q1067,INDEX(datatblExternalSalesImpact,MATCH(decGTMExternalSales,Data!$C$85:$C$90,0),2),0)</f>
        <v>0</v>
      </c>
      <c r="F1067" s="425">
        <f>IF(calcExternalSalesTimeline&lt;=$Q1067,INDEX(datatblExternalSalesImpact,MATCH(decGTMExternalSales,Data!$C$85:$C$90,0),2),0)</f>
        <v>0</v>
      </c>
      <c r="G1067" s="425">
        <f>IF(calcExternalSalesTimeline&lt;=$Q1067,INDEX(datatblExternalSalesImpact,MATCH(decGTMExternalSales,Data!$C$85:$C$90,0),2),0)</f>
        <v>0</v>
      </c>
      <c r="H1067" s="425">
        <f>IF(calcExternalSalesTimeline&lt;=$Q1067,INDEX(datatblExternalSalesImpact,MATCH(decGTMExternalSales,Data!$C$85:$C$90,0),2),0)</f>
        <v>0</v>
      </c>
      <c r="I1067" s="425">
        <f>IF(calcExternalSalesTimeline&lt;=$Q1067,INDEX(datatblExternalSalesImpact,MATCH(decGTMExternalSales,Data!$C$85:$C$90,0),2),0)</f>
        <v>0</v>
      </c>
      <c r="J1067" s="425">
        <f>IF(calcExternalSalesTimeline&lt;=$Q1067,INDEX(datatblExternalSalesImpact,MATCH(decGTMExternalSales,Data!$C$85:$C$90,0),2),0)</f>
        <v>0</v>
      </c>
      <c r="K1067" s="425">
        <f>IF(calcExternalSalesTimeline&lt;=$Q1067,INDEX(datatblExternalSalesImpact,MATCH(decGTMExternalSales,Data!$C$85:$C$90,0),2),0)</f>
        <v>0</v>
      </c>
      <c r="L1067" s="425">
        <f>IF(calcExternalSalesTimeline&lt;=$Q1067,INDEX(datatblExternalSalesImpact,MATCH(decGTMExternalSales,Data!$C$85:$C$90,0),2),0)</f>
        <v>0</v>
      </c>
      <c r="M1067" s="425">
        <f>IF(calcExternalSalesTimeline&lt;=$Q1067,INDEX(datatblExternalSalesImpact,MATCH(decGTMExternalSales,Data!$C$85:$C$90,0),2),0)</f>
        <v>0</v>
      </c>
      <c r="N1067" s="425">
        <f>IF(calcExternalSalesTimeline&lt;=$Q1067,INDEX(datatblExternalSalesImpact,MATCH(decGTMExternalSales,Data!$C$85:$C$90,0),2),0)</f>
        <v>0</v>
      </c>
      <c r="O1067" s="482">
        <v>0.05</v>
      </c>
      <c r="P1067" s="482">
        <v>-0.05</v>
      </c>
      <c r="Q1067" s="69">
        <f>Q1066</f>
        <v>15</v>
      </c>
    </row>
    <row r="1068" spans="1:18">
      <c r="D1068" s="69" t="s">
        <v>2284</v>
      </c>
      <c r="E1068" s="425">
        <f>IF(calcCSGTimeline&lt;=$Q1068,INDEX(datatblCSGPostSales,MATCH(decGTMCSGPostSales,Data!$C$204:$C$209,0),3),0)</f>
        <v>0</v>
      </c>
      <c r="F1068" s="425">
        <f>IF(calcCSGTimeline&lt;=$Q1068,INDEX(datatblCSGPostSales,MATCH(decGTMCSGPostSales,Data!$C$204:$C$209,0),3),0)</f>
        <v>0</v>
      </c>
      <c r="G1068" s="425">
        <f>IF(calcCSGTimeline&lt;=$Q1068,INDEX(datatblCSGPostSales,MATCH(decGTMCSGPostSales,Data!$C$204:$C$209,0),3),0)</f>
        <v>0</v>
      </c>
      <c r="H1068" s="425">
        <f>IF(calcCSGTimeline&lt;=$Q1068,INDEX(datatblCSGPostSales,MATCH(decGTMCSGPostSales,Data!$C$204:$C$209,0),3),0)</f>
        <v>0</v>
      </c>
      <c r="I1068" s="425">
        <f>IF(calcCSGTimeline&lt;=$Q1068,INDEX(datatblCSGPostSales,MATCH(decGTMCSGPostSales,Data!$C$204:$C$209,0),3),0)</f>
        <v>0</v>
      </c>
      <c r="J1068" s="425">
        <f>IF(calcCSGTimeline&lt;=$Q1068,INDEX(datatblCSGPostSales,MATCH(decGTMCSGPostSales,Data!$C$204:$C$209,0),3),0)</f>
        <v>0</v>
      </c>
      <c r="K1068" s="425">
        <f>IF(calcCSGTimeline&lt;=$Q1068,INDEX(datatblCSGPostSales,MATCH(decGTMCSGPostSales,Data!$C$204:$C$209,0),3),0)</f>
        <v>0</v>
      </c>
      <c r="L1068" s="425">
        <f>IF(calcCSGTimeline&lt;=$Q1068,INDEX(datatblCSGPostSales,MATCH(decGTMCSGPostSales,Data!$C$204:$C$209,0),3),0)</f>
        <v>0</v>
      </c>
      <c r="M1068" s="425">
        <f>IF(calcCSGTimeline&lt;=$Q1068,INDEX(datatblCSGPostSales,MATCH(decGTMCSGPostSales,Data!$C$204:$C$209,0),3),0)</f>
        <v>0</v>
      </c>
      <c r="N1068" s="425">
        <f>IF(calcCSGTimeline&lt;=$Q1068,INDEX(datatblCSGPostSales,MATCH(decGTMCSGPostSales,Data!$C$204:$C$209,0),3),0)</f>
        <v>0</v>
      </c>
      <c r="O1068" s="482"/>
      <c r="P1068" s="482"/>
      <c r="Q1068" s="69">
        <f>Q1067</f>
        <v>15</v>
      </c>
    </row>
    <row r="1069" spans="1:18">
      <c r="D1069" s="69" t="s">
        <v>3079</v>
      </c>
      <c r="E1069" s="425">
        <f>IF(calcBrandIntegrationTimeline&lt;=$Q1069,INDEX(datatblBrandIntegration,MATCH(decGTMBrandIntegration,Data!$C$220:$C$226,0),3),0)</f>
        <v>0</v>
      </c>
      <c r="F1069" s="425">
        <f>IF(calcBrandIntegrationTimeline&lt;=$Q1069,INDEX(datatblBrandIntegration,MATCH(decGTMBrandIntegration,Data!$C$220:$C$226,0),3),0)</f>
        <v>0</v>
      </c>
      <c r="G1069" s="425">
        <f>IF(calcBrandIntegrationTimeline&lt;=$Q1069,INDEX(datatblBrandIntegration,MATCH(decGTMBrandIntegration,Data!$C$220:$C$226,0),3),0)</f>
        <v>0</v>
      </c>
      <c r="H1069" s="425">
        <f>IF(calcBrandIntegrationTimeline&lt;=$Q1069,INDEX(datatblBrandIntegration,MATCH(decGTMBrandIntegration,Data!$C$220:$C$226,0),3),0)</f>
        <v>0</v>
      </c>
      <c r="I1069" s="425">
        <f>IF(calcBrandIntegrationTimeline&lt;=$Q1069,INDEX(datatblBrandIntegration,MATCH(decGTMBrandIntegration,Data!$C$220:$C$226,0),3),0)</f>
        <v>0</v>
      </c>
      <c r="J1069" s="425">
        <f>IF(calcBrandIntegrationTimeline&lt;=$Q1069,INDEX(datatblBrandIntegration,MATCH(decGTMBrandIntegration,Data!$C$220:$C$226,0),3),0)</f>
        <v>0</v>
      </c>
      <c r="K1069" s="425">
        <f>IF(calcBrandIntegrationTimeline&lt;=$Q1069,INDEX(datatblBrandIntegration,MATCH(decGTMBrandIntegration,Data!$C$220:$C$226,0),3),0)</f>
        <v>0</v>
      </c>
      <c r="L1069" s="425">
        <f>IF(calcBrandIntegrationTimeline&lt;=$Q1069,INDEX(datatblBrandIntegration,MATCH(decGTMBrandIntegration,Data!$C$220:$C$226,0),3),0)</f>
        <v>0</v>
      </c>
      <c r="M1069" s="425">
        <f>IF(calcBrandIntegrationTimeline&lt;=$Q1069,INDEX(datatblBrandIntegration,MATCH(decGTMBrandIntegration,Data!$C$220:$C$226,0),3),0)</f>
        <v>0</v>
      </c>
      <c r="N1069" s="425">
        <f>IF(calcBrandIntegrationTimeline&lt;=$Q1069,INDEX(datatblBrandIntegration,MATCH(decGTMBrandIntegration,Data!$C$220:$C$226,0),3),0)</f>
        <v>0</v>
      </c>
      <c r="O1069" s="482"/>
      <c r="P1069" s="482"/>
      <c r="Q1069" s="69">
        <f>Q1068</f>
        <v>15</v>
      </c>
    </row>
    <row r="1070" spans="1:18">
      <c r="D1070" s="69" t="s">
        <v>2277</v>
      </c>
      <c r="E1070" s="425">
        <f>IF(decGTMOrg62Timeline="choose",0,IF(E1065=0,INDEX(datatblLeadPass,MATCH(decGTMLeadPass,Data!$C$212:$C$217,0),3),0))</f>
        <v>0</v>
      </c>
      <c r="F1070" s="425">
        <f>IF(decGTMOrg62Timeline="choose",0,IF(F1065=0,INDEX(datatblLeadPass,MATCH(decGTMLeadPass,Data!$C$212:$C$217,0),3),0))</f>
        <v>0</v>
      </c>
      <c r="G1070" s="425">
        <f>IF(decGTMOrg62Timeline="choose",0,IF(G1065=0,INDEX(datatblLeadPass,MATCH(decGTMLeadPass,Data!$C$212:$C$217,0),3),0))</f>
        <v>0</v>
      </c>
      <c r="H1070" s="425">
        <f>IF(decGTMOrg62Timeline="choose",0,IF(H1065=0,INDEX(datatblLeadPass,MATCH(decGTMLeadPass,Data!$C$212:$C$217,0),3),0))</f>
        <v>0</v>
      </c>
      <c r="I1070" s="425">
        <f>IF(decGTMOrg62Timeline="choose",0,IF(I1065=0,INDEX(datatblLeadPass,MATCH(decGTMLeadPass,Data!$C$212:$C$217,0),3),0))</f>
        <v>0</v>
      </c>
      <c r="J1070" s="425">
        <f>IF(decGTMOrg62Timeline="choose",0,IF(J1065=0,INDEX(datatblLeadPass,MATCH(decGTMLeadPass,Data!$C$212:$C$217,0),3),0))</f>
        <v>0</v>
      </c>
      <c r="K1070" s="425">
        <f>IF(decGTMOrg62Timeline="choose",0,IF(K1065=0,INDEX(datatblLeadPass,MATCH(decGTMLeadPass,Data!$C$212:$C$217,0),3),0))</f>
        <v>0</v>
      </c>
      <c r="L1070" s="425">
        <f>IF(decGTMOrg62Timeline="choose",0,IF(L1065=0,INDEX(datatblLeadPass,MATCH(decGTMLeadPass,Data!$C$212:$C$217,0),3),0))</f>
        <v>0</v>
      </c>
      <c r="M1070" s="425">
        <f>IF(decGTMOrg62Timeline="choose",0,IF(M1065=0,INDEX(datatblLeadPass,MATCH(decGTMLeadPass,Data!$C$212:$C$217,0),3),0))</f>
        <v>0</v>
      </c>
      <c r="N1070" s="425">
        <f>IF(decGTMOrg62Timeline="choose",0,IF(N1065=0,INDEX(datatblLeadPass,MATCH(decGTMLeadPass,Data!$C$212:$C$217,0),3),0))</f>
        <v>0</v>
      </c>
      <c r="O1070" s="482"/>
      <c r="P1070" s="482"/>
    </row>
    <row r="1071" spans="1:18">
      <c r="D1071" s="69" t="s">
        <v>1032</v>
      </c>
      <c r="E1071" s="425">
        <f t="shared" ref="E1071:N1071" si="672">IF(decSecurityProductRestrictions="Yes",$Q1071,IF(decSecurityProductRestrictions="No",$R1071,$S1071))</f>
        <v>0</v>
      </c>
      <c r="F1071" s="425">
        <f t="shared" si="672"/>
        <v>0</v>
      </c>
      <c r="G1071" s="425">
        <f t="shared" si="672"/>
        <v>0</v>
      </c>
      <c r="H1071" s="425">
        <f t="shared" si="672"/>
        <v>0</v>
      </c>
      <c r="I1071" s="425">
        <f t="shared" si="672"/>
        <v>0</v>
      </c>
      <c r="J1071" s="425">
        <f t="shared" si="672"/>
        <v>0</v>
      </c>
      <c r="K1071" s="425">
        <f t="shared" si="672"/>
        <v>0</v>
      </c>
      <c r="L1071" s="425">
        <f t="shared" si="672"/>
        <v>0</v>
      </c>
      <c r="M1071" s="425">
        <f t="shared" si="672"/>
        <v>0</v>
      </c>
      <c r="N1071" s="425">
        <f t="shared" si="672"/>
        <v>0</v>
      </c>
      <c r="Q1071" s="482">
        <f>xxProductRestrictionACVHit</f>
        <v>-0.02</v>
      </c>
      <c r="R1071" s="482">
        <f>xxProductRestrictionACVIncrease</f>
        <v>0.02</v>
      </c>
    </row>
    <row r="1072" spans="1:18" s="217" customFormat="1">
      <c r="D1072" s="217" t="s">
        <v>1758</v>
      </c>
      <c r="E1072" s="411">
        <f t="shared" ref="E1072:N1072" si="673">SUM(E1065:E1071)+paramACVGrowthBaseline</f>
        <v>0</v>
      </c>
      <c r="F1072" s="411">
        <f t="shared" si="673"/>
        <v>0</v>
      </c>
      <c r="G1072" s="411">
        <f t="shared" si="673"/>
        <v>0</v>
      </c>
      <c r="H1072" s="411">
        <f t="shared" si="673"/>
        <v>0</v>
      </c>
      <c r="I1072" s="411">
        <f t="shared" si="673"/>
        <v>0</v>
      </c>
      <c r="J1072" s="411">
        <f t="shared" si="673"/>
        <v>0</v>
      </c>
      <c r="K1072" s="411">
        <f t="shared" si="673"/>
        <v>0</v>
      </c>
      <c r="L1072" s="411">
        <f t="shared" si="673"/>
        <v>0</v>
      </c>
      <c r="M1072" s="411">
        <f t="shared" si="673"/>
        <v>0</v>
      </c>
      <c r="N1072" s="411">
        <f t="shared" si="673"/>
        <v>0</v>
      </c>
      <c r="O1072" s="217" t="s">
        <v>1768</v>
      </c>
    </row>
    <row r="1073" spans="1:15" s="217" customFormat="1">
      <c r="E1073" s="411"/>
      <c r="F1073" s="411"/>
      <c r="G1073" s="411"/>
      <c r="H1073" s="411"/>
      <c r="I1073" s="411"/>
      <c r="J1073" s="411"/>
      <c r="K1073" s="411"/>
      <c r="L1073" s="411"/>
      <c r="M1073" s="411"/>
      <c r="N1073" s="411"/>
    </row>
    <row r="1074" spans="1:15" s="217" customFormat="1">
      <c r="A1074" s="217">
        <v>1</v>
      </c>
      <c r="B1074" s="10" t="s">
        <v>1735</v>
      </c>
      <c r="C1074" s="11" t="s">
        <v>899</v>
      </c>
      <c r="D1074" s="217" t="str">
        <f>IF(A1074=B1059,"New Revenue Adjustments",IF(AND(C1074=D1059,A1074&lt;B1059),"Attrition Necessary",0))</f>
        <v>Attrition Necessary</v>
      </c>
      <c r="E1074" s="522">
        <f t="shared" ref="E1074:N1083" si="674">IF($B$1059&gt;$A1074,INDEX(calcY1Q4RevFlow,$A1074,calcTeamNum)*(IF($D1074="Attrition Necessary",1-calcQ2AttritionDifference,1)*(IF($D1074="New Revenue Adjustments",1+calcY2Q1RevenueAdjustment,1))),INDEX(dataY2Q1Rev,$A1074,)*(IF($D1074="Attrition Necessary",1-calcQ2AttritionDifference,1))*(IF($D1074="New Revenue Adjustments",1+calcY2Q1RevenueAdjustment,1)))</f>
        <v>921676.10199142725</v>
      </c>
      <c r="F1074" s="522">
        <f t="shared" si="674"/>
        <v>921676.10199142725</v>
      </c>
      <c r="G1074" s="522">
        <f t="shared" si="674"/>
        <v>921676.10199142725</v>
      </c>
      <c r="H1074" s="522">
        <f t="shared" si="674"/>
        <v>921676.10199142725</v>
      </c>
      <c r="I1074" s="522">
        <f t="shared" si="674"/>
        <v>921676.10199142725</v>
      </c>
      <c r="J1074" s="522">
        <f t="shared" si="674"/>
        <v>921676.10199142725</v>
      </c>
      <c r="K1074" s="522">
        <f t="shared" si="674"/>
        <v>921676.10199142725</v>
      </c>
      <c r="L1074" s="522">
        <f t="shared" si="674"/>
        <v>921676.10199142725</v>
      </c>
      <c r="M1074" s="522">
        <f t="shared" si="674"/>
        <v>921676.10199142725</v>
      </c>
      <c r="N1074" s="522">
        <f t="shared" si="674"/>
        <v>921676.10199142725</v>
      </c>
      <c r="O1074" s="410" t="s">
        <v>1855</v>
      </c>
    </row>
    <row r="1075" spans="1:15" s="217" customFormat="1">
      <c r="A1075" s="217">
        <v>2</v>
      </c>
      <c r="B1075" s="10" t="s">
        <v>1735</v>
      </c>
      <c r="C1075" s="11" t="s">
        <v>900</v>
      </c>
      <c r="D1075" s="217">
        <f>IF(A1075=B1059,"New Revenue Adjustments",IF(AND(C1075=D1059,A1075&lt;B1059),"Attrition Necessary",0))</f>
        <v>0</v>
      </c>
      <c r="E1075" s="522">
        <f t="shared" si="674"/>
        <v>1623162.7362429691</v>
      </c>
      <c r="F1075" s="522">
        <f t="shared" si="674"/>
        <v>1623162.7362429691</v>
      </c>
      <c r="G1075" s="522">
        <f t="shared" si="674"/>
        <v>1623162.7362429691</v>
      </c>
      <c r="H1075" s="522">
        <f t="shared" si="674"/>
        <v>1623162.7362429691</v>
      </c>
      <c r="I1075" s="522">
        <f t="shared" si="674"/>
        <v>1623162.7362429691</v>
      </c>
      <c r="J1075" s="522">
        <f t="shared" si="674"/>
        <v>1623162.7362429691</v>
      </c>
      <c r="K1075" s="522">
        <f t="shared" si="674"/>
        <v>1623162.7362429691</v>
      </c>
      <c r="L1075" s="522">
        <f t="shared" si="674"/>
        <v>1623162.7362429691</v>
      </c>
      <c r="M1075" s="522">
        <f t="shared" si="674"/>
        <v>1623162.7362429691</v>
      </c>
      <c r="N1075" s="522">
        <f t="shared" si="674"/>
        <v>1623162.7362429691</v>
      </c>
      <c r="O1075" s="410" t="s">
        <v>1856</v>
      </c>
    </row>
    <row r="1076" spans="1:15" s="217" customFormat="1">
      <c r="A1076" s="217">
        <v>3</v>
      </c>
      <c r="B1076" s="10" t="s">
        <v>1735</v>
      </c>
      <c r="C1076" s="11" t="s">
        <v>901</v>
      </c>
      <c r="D1076" s="217">
        <f>IF(A1076=B1059,"New Revenue Adjustments",IF(AND(C1076=D1059,A1076&lt;B1059),"Attrition Necessary",0))</f>
        <v>0</v>
      </c>
      <c r="E1076" s="522">
        <f t="shared" si="674"/>
        <v>2164216.9816572918</v>
      </c>
      <c r="F1076" s="522">
        <f t="shared" si="674"/>
        <v>2164216.9816572918</v>
      </c>
      <c r="G1076" s="522">
        <f t="shared" si="674"/>
        <v>2164216.9816572918</v>
      </c>
      <c r="H1076" s="522">
        <f t="shared" si="674"/>
        <v>2164216.9816572918</v>
      </c>
      <c r="I1076" s="522">
        <f t="shared" si="674"/>
        <v>2164216.9816572918</v>
      </c>
      <c r="J1076" s="522">
        <f t="shared" si="674"/>
        <v>2164216.9816572918</v>
      </c>
      <c r="K1076" s="522">
        <f t="shared" si="674"/>
        <v>2164216.9816572918</v>
      </c>
      <c r="L1076" s="522">
        <f t="shared" si="674"/>
        <v>2164216.9816572918</v>
      </c>
      <c r="M1076" s="522">
        <f t="shared" si="674"/>
        <v>2164216.9816572918</v>
      </c>
      <c r="N1076" s="522">
        <f t="shared" si="674"/>
        <v>2164216.9816572918</v>
      </c>
      <c r="O1076" s="410" t="s">
        <v>1857</v>
      </c>
    </row>
    <row r="1077" spans="1:15" s="217" customFormat="1">
      <c r="A1077" s="217">
        <v>4</v>
      </c>
      <c r="B1077" s="10" t="s">
        <v>1735</v>
      </c>
      <c r="C1077" s="11" t="s">
        <v>902</v>
      </c>
      <c r="D1077" s="217">
        <f>IF(A1077=B1059,"New Revenue Adjustments",IF(AND(C1077=D1059,A1077&lt;B1059),"Attrition Necessary",0))</f>
        <v>0</v>
      </c>
      <c r="E1077" s="522">
        <f t="shared" si="674"/>
        <v>2705271.2270716149</v>
      </c>
      <c r="F1077" s="522">
        <f t="shared" si="674"/>
        <v>2705271.2270716149</v>
      </c>
      <c r="G1077" s="522">
        <f t="shared" si="674"/>
        <v>2705271.2270716149</v>
      </c>
      <c r="H1077" s="522">
        <f t="shared" si="674"/>
        <v>2705271.2270716149</v>
      </c>
      <c r="I1077" s="522">
        <f t="shared" si="674"/>
        <v>2705271.2270716149</v>
      </c>
      <c r="J1077" s="522">
        <f t="shared" si="674"/>
        <v>2705271.2270716149</v>
      </c>
      <c r="K1077" s="522">
        <f t="shared" si="674"/>
        <v>2705271.2270716149</v>
      </c>
      <c r="L1077" s="522">
        <f t="shared" si="674"/>
        <v>2705271.2270716149</v>
      </c>
      <c r="M1077" s="522">
        <f t="shared" si="674"/>
        <v>2705271.2270716149</v>
      </c>
      <c r="N1077" s="522">
        <f t="shared" si="674"/>
        <v>2705271.2270716149</v>
      </c>
      <c r="O1077" s="410" t="s">
        <v>1858</v>
      </c>
    </row>
    <row r="1078" spans="1:15" s="217" customFormat="1">
      <c r="A1078" s="217">
        <v>5</v>
      </c>
      <c r="B1078" s="10" t="s">
        <v>1729</v>
      </c>
      <c r="C1078" s="11" t="s">
        <v>899</v>
      </c>
      <c r="D1078" s="217" t="str">
        <f>IF(A1078=B1059,"New Revenue Adjustments",IF(AND(C1078=D1059,A1078&lt;B1059),"Attrition Necessary",0))</f>
        <v>Attrition Necessary</v>
      </c>
      <c r="E1078" s="522">
        <f t="shared" si="674"/>
        <v>1084324.8258722674</v>
      </c>
      <c r="F1078" s="522">
        <f t="shared" si="674"/>
        <v>1084324.8258722674</v>
      </c>
      <c r="G1078" s="522">
        <f t="shared" si="674"/>
        <v>1084324.8258722674</v>
      </c>
      <c r="H1078" s="522">
        <f t="shared" si="674"/>
        <v>1084324.8258722674</v>
      </c>
      <c r="I1078" s="522">
        <f t="shared" si="674"/>
        <v>1084324.8258722674</v>
      </c>
      <c r="J1078" s="522">
        <f t="shared" si="674"/>
        <v>1084324.8258722674</v>
      </c>
      <c r="K1078" s="522">
        <f t="shared" si="674"/>
        <v>1084324.8258722674</v>
      </c>
      <c r="L1078" s="522">
        <f t="shared" si="674"/>
        <v>1084324.8258722674</v>
      </c>
      <c r="M1078" s="522">
        <f t="shared" si="674"/>
        <v>1084324.8258722674</v>
      </c>
      <c r="N1078" s="522">
        <f t="shared" si="674"/>
        <v>1084324.8258722674</v>
      </c>
      <c r="O1078" s="410" t="s">
        <v>1859</v>
      </c>
    </row>
    <row r="1079" spans="1:15" s="217" customFormat="1">
      <c r="A1079" s="217">
        <v>6</v>
      </c>
      <c r="B1079" s="10" t="s">
        <v>1729</v>
      </c>
      <c r="C1079" s="11" t="s">
        <v>900</v>
      </c>
      <c r="D1079" s="217">
        <f>IF(A1079=B1059,"New Revenue Adjustments",IF(AND(C1079=D1059,A1079&lt;B1059),"Attrition Necessary",0))</f>
        <v>0</v>
      </c>
      <c r="E1079" s="522">
        <f t="shared" si="674"/>
        <v>1558746.552050268</v>
      </c>
      <c r="F1079" s="522">
        <f t="shared" si="674"/>
        <v>1558746.552050268</v>
      </c>
      <c r="G1079" s="522">
        <f t="shared" si="674"/>
        <v>1558746.552050268</v>
      </c>
      <c r="H1079" s="522">
        <f t="shared" si="674"/>
        <v>1558746.552050268</v>
      </c>
      <c r="I1079" s="522">
        <f t="shared" si="674"/>
        <v>1558746.552050268</v>
      </c>
      <c r="J1079" s="522">
        <f t="shared" si="674"/>
        <v>1558746.552050268</v>
      </c>
      <c r="K1079" s="522">
        <f t="shared" si="674"/>
        <v>1558746.552050268</v>
      </c>
      <c r="L1079" s="522">
        <f t="shared" si="674"/>
        <v>1558746.552050268</v>
      </c>
      <c r="M1079" s="522">
        <f t="shared" si="674"/>
        <v>1558746.552050268</v>
      </c>
      <c r="N1079" s="522">
        <f t="shared" si="674"/>
        <v>1558746.552050268</v>
      </c>
      <c r="O1079" s="410" t="s">
        <v>1860</v>
      </c>
    </row>
    <row r="1080" spans="1:15" s="217" customFormat="1">
      <c r="A1080" s="217">
        <v>7</v>
      </c>
      <c r="B1080" s="10" t="s">
        <v>1729</v>
      </c>
      <c r="C1080" s="11" t="s">
        <v>901</v>
      </c>
      <c r="D1080" s="217">
        <f>IF(A1080=B1059,"New Revenue Adjustments",IF(AND(C1080=D1059,A1080&lt;B1059),"Attrition Necessary",0))</f>
        <v>0</v>
      </c>
      <c r="E1080" s="522">
        <f t="shared" si="674"/>
        <v>2408971.9440776873</v>
      </c>
      <c r="F1080" s="522">
        <f t="shared" si="674"/>
        <v>2408971.9440776873</v>
      </c>
      <c r="G1080" s="522">
        <f t="shared" si="674"/>
        <v>2408971.9440776873</v>
      </c>
      <c r="H1080" s="522">
        <f t="shared" si="674"/>
        <v>2408971.9440776873</v>
      </c>
      <c r="I1080" s="522">
        <f t="shared" si="674"/>
        <v>2408971.9440776873</v>
      </c>
      <c r="J1080" s="522">
        <f t="shared" si="674"/>
        <v>2408971.9440776873</v>
      </c>
      <c r="K1080" s="522">
        <f t="shared" si="674"/>
        <v>2408971.9440776873</v>
      </c>
      <c r="L1080" s="522">
        <f t="shared" si="674"/>
        <v>2408971.9440776873</v>
      </c>
      <c r="M1080" s="522">
        <f t="shared" si="674"/>
        <v>2408971.9440776873</v>
      </c>
      <c r="N1080" s="522">
        <f t="shared" si="674"/>
        <v>2408971.9440776873</v>
      </c>
      <c r="O1080" s="410" t="s">
        <v>1861</v>
      </c>
    </row>
    <row r="1081" spans="1:15" s="217" customFormat="1">
      <c r="A1081" s="217">
        <v>8</v>
      </c>
      <c r="B1081" s="10" t="s">
        <v>1729</v>
      </c>
      <c r="C1081" s="11" t="s">
        <v>902</v>
      </c>
      <c r="D1081" s="217">
        <f>IF(A1081=B1059,"New Revenue Adjustments",IF(AND(C1081=D1059,A1081&lt;B1059),"Attrition Necessary",0))</f>
        <v>0</v>
      </c>
      <c r="E1081" s="522">
        <f t="shared" si="674"/>
        <v>3542605.8001142456</v>
      </c>
      <c r="F1081" s="522">
        <f t="shared" si="674"/>
        <v>3542605.8001142456</v>
      </c>
      <c r="G1081" s="522">
        <f t="shared" si="674"/>
        <v>3542605.8001142456</v>
      </c>
      <c r="H1081" s="522">
        <f t="shared" si="674"/>
        <v>3542605.8001142456</v>
      </c>
      <c r="I1081" s="522">
        <f t="shared" si="674"/>
        <v>3542605.8001142456</v>
      </c>
      <c r="J1081" s="522">
        <f t="shared" si="674"/>
        <v>3542605.8001142456</v>
      </c>
      <c r="K1081" s="522">
        <f t="shared" si="674"/>
        <v>3542605.8001142456</v>
      </c>
      <c r="L1081" s="522">
        <f t="shared" si="674"/>
        <v>3542605.8001142456</v>
      </c>
      <c r="M1081" s="522">
        <f t="shared" si="674"/>
        <v>3542605.8001142456</v>
      </c>
      <c r="N1081" s="522">
        <f t="shared" si="674"/>
        <v>3542605.8001142456</v>
      </c>
      <c r="O1081" s="410" t="s">
        <v>1862</v>
      </c>
    </row>
    <row r="1082" spans="1:15" s="217" customFormat="1">
      <c r="A1082" s="217">
        <v>9</v>
      </c>
      <c r="B1082" s="10" t="s">
        <v>405</v>
      </c>
      <c r="C1082" s="11" t="s">
        <v>899</v>
      </c>
      <c r="D1082" s="217" t="str">
        <f>IF(A1082=B1059,"New Revenue Adjustments",IF(AND(C1082=D1059,A1082&lt;B1059),"Attrition Necessary",0))</f>
        <v>Attrition Necessary</v>
      </c>
      <c r="E1082" s="522">
        <f t="shared" si="674"/>
        <v>1597437.736100401</v>
      </c>
      <c r="F1082" s="522">
        <f t="shared" si="674"/>
        <v>1597437.736100401</v>
      </c>
      <c r="G1082" s="522">
        <f t="shared" si="674"/>
        <v>1597437.736100401</v>
      </c>
      <c r="H1082" s="522">
        <f t="shared" si="674"/>
        <v>1597437.736100401</v>
      </c>
      <c r="I1082" s="522">
        <f t="shared" si="674"/>
        <v>1597437.736100401</v>
      </c>
      <c r="J1082" s="522">
        <f t="shared" si="674"/>
        <v>1597437.736100401</v>
      </c>
      <c r="K1082" s="522">
        <f t="shared" si="674"/>
        <v>1597437.736100401</v>
      </c>
      <c r="L1082" s="522">
        <f t="shared" si="674"/>
        <v>1597437.736100401</v>
      </c>
      <c r="M1082" s="522">
        <f t="shared" si="674"/>
        <v>1597437.736100401</v>
      </c>
      <c r="N1082" s="522">
        <f t="shared" si="674"/>
        <v>1597437.736100401</v>
      </c>
      <c r="O1082" s="410" t="s">
        <v>1863</v>
      </c>
    </row>
    <row r="1083" spans="1:15" s="217" customFormat="1">
      <c r="A1083" s="217">
        <v>10</v>
      </c>
      <c r="B1083" s="10" t="s">
        <v>405</v>
      </c>
      <c r="C1083" s="11" t="s">
        <v>900</v>
      </c>
      <c r="D1083" s="217">
        <f>IF(A1083=B1059,"New Revenue Adjustments",IF(AND(C1083=D1059,A1083&lt;B1059),"Attrition Necessary",0))</f>
        <v>0</v>
      </c>
      <c r="E1083" s="522">
        <f t="shared" si="674"/>
        <v>2296360.3745385483</v>
      </c>
      <c r="F1083" s="522">
        <f t="shared" si="674"/>
        <v>2296360.3745385483</v>
      </c>
      <c r="G1083" s="522">
        <f t="shared" si="674"/>
        <v>2296360.3745385483</v>
      </c>
      <c r="H1083" s="522">
        <f t="shared" si="674"/>
        <v>2296360.3745385483</v>
      </c>
      <c r="I1083" s="522">
        <f t="shared" si="674"/>
        <v>2296360.3745385483</v>
      </c>
      <c r="J1083" s="522">
        <f t="shared" si="674"/>
        <v>2296360.3745385483</v>
      </c>
      <c r="K1083" s="522">
        <f t="shared" si="674"/>
        <v>2296360.3745385483</v>
      </c>
      <c r="L1083" s="522">
        <f t="shared" si="674"/>
        <v>2296360.3745385483</v>
      </c>
      <c r="M1083" s="522">
        <f t="shared" si="674"/>
        <v>2296360.3745385483</v>
      </c>
      <c r="N1083" s="522">
        <f t="shared" si="674"/>
        <v>2296360.3745385483</v>
      </c>
      <c r="O1083" s="410" t="s">
        <v>1864</v>
      </c>
    </row>
    <row r="1084" spans="1:15" s="217" customFormat="1">
      <c r="A1084" s="217">
        <v>11</v>
      </c>
      <c r="B1084" s="10" t="s">
        <v>405</v>
      </c>
      <c r="C1084" s="11" t="s">
        <v>901</v>
      </c>
      <c r="D1084" s="217">
        <f>IF(A1084=B1059,"New Revenue Adjustments",IF(AND(C1084=D1059,A1084&lt;B1059),"Attrition Necessary",0))</f>
        <v>0</v>
      </c>
      <c r="E1084" s="522">
        <f t="shared" ref="E1084:N1093" si="675">IF($B$1059&gt;$A1084,INDEX(calcY1Q4RevFlow,$A1084,calcTeamNum)*(IF($D1084="Attrition Necessary",1-calcQ2AttritionDifference,1)*(IF($D1084="New Revenue Adjustments",1+calcY2Q1RevenueAdjustment,1))),INDEX(dataY2Q1Rev,$A1084,)*(IF($D1084="Attrition Necessary",1-calcQ2AttritionDifference,1))*(IF($D1084="New Revenue Adjustments",1+calcY2Q1RevenueAdjustment,1)))</f>
        <v>3548920.5788323022</v>
      </c>
      <c r="F1084" s="522">
        <f t="shared" si="675"/>
        <v>3548920.5788323022</v>
      </c>
      <c r="G1084" s="522">
        <f t="shared" si="675"/>
        <v>3548920.5788323022</v>
      </c>
      <c r="H1084" s="522">
        <f t="shared" si="675"/>
        <v>3548920.5788323022</v>
      </c>
      <c r="I1084" s="522">
        <f t="shared" si="675"/>
        <v>3548920.5788323022</v>
      </c>
      <c r="J1084" s="522">
        <f t="shared" si="675"/>
        <v>3548920.5788323022</v>
      </c>
      <c r="K1084" s="522">
        <f t="shared" si="675"/>
        <v>3548920.5788323022</v>
      </c>
      <c r="L1084" s="522">
        <f t="shared" si="675"/>
        <v>3548920.5788323022</v>
      </c>
      <c r="M1084" s="522">
        <f t="shared" si="675"/>
        <v>3548920.5788323022</v>
      </c>
      <c r="N1084" s="522">
        <f t="shared" si="675"/>
        <v>3548920.5788323022</v>
      </c>
      <c r="O1084" s="410" t="s">
        <v>1865</v>
      </c>
    </row>
    <row r="1085" spans="1:15" s="217" customFormat="1">
      <c r="A1085" s="217">
        <v>12</v>
      </c>
      <c r="B1085" s="10" t="s">
        <v>405</v>
      </c>
      <c r="C1085" s="11" t="s">
        <v>902</v>
      </c>
      <c r="D1085" s="217">
        <f>IF(A1085=B1059,"New Revenue Adjustments",IF(AND(C1085=D1059,A1085&lt;B1059),"Attrition Necessary",0))</f>
        <v>0</v>
      </c>
      <c r="E1085" s="522">
        <f t="shared" si="675"/>
        <v>5219000.8512239736</v>
      </c>
      <c r="F1085" s="522">
        <f t="shared" si="675"/>
        <v>5219000.8512239736</v>
      </c>
      <c r="G1085" s="522">
        <f t="shared" si="675"/>
        <v>5219000.8512239736</v>
      </c>
      <c r="H1085" s="522">
        <f t="shared" si="675"/>
        <v>5219000.8512239736</v>
      </c>
      <c r="I1085" s="522">
        <f t="shared" si="675"/>
        <v>5219000.8512239736</v>
      </c>
      <c r="J1085" s="522">
        <f t="shared" si="675"/>
        <v>5219000.8512239736</v>
      </c>
      <c r="K1085" s="522">
        <f t="shared" si="675"/>
        <v>5219000.8512239736</v>
      </c>
      <c r="L1085" s="522">
        <f t="shared" si="675"/>
        <v>5219000.8512239736</v>
      </c>
      <c r="M1085" s="522">
        <f t="shared" si="675"/>
        <v>5219000.8512239736</v>
      </c>
      <c r="N1085" s="522">
        <f t="shared" si="675"/>
        <v>5219000.8512239736</v>
      </c>
      <c r="O1085" s="410" t="s">
        <v>1866</v>
      </c>
    </row>
    <row r="1086" spans="1:15" s="217" customFormat="1">
      <c r="A1086" s="217">
        <v>13</v>
      </c>
      <c r="B1086" s="10" t="s">
        <v>1278</v>
      </c>
      <c r="C1086" s="11" t="s">
        <v>899</v>
      </c>
      <c r="D1086" s="217" t="str">
        <f>IF(A1086=B1059,"New Revenue Adjustments",IF(AND(C1086=D1059,A1086&lt;B1059),"Attrition Necessary",0))</f>
        <v>Attrition Necessary</v>
      </c>
      <c r="E1086" s="522">
        <f t="shared" si="675"/>
        <v>2348550.3830507882</v>
      </c>
      <c r="F1086" s="522">
        <f t="shared" si="675"/>
        <v>2348550.3830507882</v>
      </c>
      <c r="G1086" s="522">
        <f t="shared" si="675"/>
        <v>2348550.3830507882</v>
      </c>
      <c r="H1086" s="522">
        <f t="shared" si="675"/>
        <v>2348550.3830507882</v>
      </c>
      <c r="I1086" s="522">
        <f t="shared" si="675"/>
        <v>2348550.3830507882</v>
      </c>
      <c r="J1086" s="522">
        <f t="shared" si="675"/>
        <v>2348550.3830507882</v>
      </c>
      <c r="K1086" s="522">
        <f t="shared" si="675"/>
        <v>2348550.3830507882</v>
      </c>
      <c r="L1086" s="522">
        <f t="shared" si="675"/>
        <v>2348550.3830507882</v>
      </c>
      <c r="M1086" s="522">
        <f t="shared" si="675"/>
        <v>2348550.3830507882</v>
      </c>
      <c r="N1086" s="522">
        <f t="shared" si="675"/>
        <v>2348550.3830507882</v>
      </c>
      <c r="O1086" s="410" t="s">
        <v>1867</v>
      </c>
    </row>
    <row r="1087" spans="1:15" s="217" customFormat="1">
      <c r="A1087" s="217">
        <v>14</v>
      </c>
      <c r="B1087" s="10" t="s">
        <v>1278</v>
      </c>
      <c r="C1087" s="11" t="s">
        <v>900</v>
      </c>
      <c r="D1087" s="217">
        <f>IF(A1087=B1059,"New Revenue Adjustments",IF(AND(C1087=D1059,A1087&lt;B1059),"Attrition Necessary",0))</f>
        <v>0</v>
      </c>
      <c r="E1087" s="522">
        <f t="shared" si="675"/>
        <v>2864583.333333333</v>
      </c>
      <c r="F1087" s="522">
        <f t="shared" si="675"/>
        <v>2864583.333333333</v>
      </c>
      <c r="G1087" s="522">
        <f t="shared" si="675"/>
        <v>2864583.333333333</v>
      </c>
      <c r="H1087" s="522">
        <f t="shared" si="675"/>
        <v>2864583.333333333</v>
      </c>
      <c r="I1087" s="522">
        <f t="shared" si="675"/>
        <v>2864583.333333333</v>
      </c>
      <c r="J1087" s="522">
        <f t="shared" si="675"/>
        <v>2864583.333333333</v>
      </c>
      <c r="K1087" s="522">
        <f t="shared" si="675"/>
        <v>2864583.333333333</v>
      </c>
      <c r="L1087" s="522">
        <f t="shared" si="675"/>
        <v>2864583.333333333</v>
      </c>
      <c r="M1087" s="522">
        <f t="shared" si="675"/>
        <v>2864583.333333333</v>
      </c>
      <c r="N1087" s="522">
        <f t="shared" si="675"/>
        <v>2864583.333333333</v>
      </c>
      <c r="O1087" s="410" t="s">
        <v>1868</v>
      </c>
    </row>
    <row r="1088" spans="1:15" s="217" customFormat="1">
      <c r="A1088" s="217">
        <v>15</v>
      </c>
      <c r="B1088" s="10" t="s">
        <v>1278</v>
      </c>
      <c r="C1088" s="11" t="s">
        <v>901</v>
      </c>
      <c r="D1088" s="217">
        <f>IF(A1088=B1059,"New Revenue Adjustments",IF(AND(C1088=D1059,A1088&lt;B1059),"Attrition Necessary",0))</f>
        <v>0</v>
      </c>
      <c r="E1088" s="522">
        <f t="shared" si="675"/>
        <v>4427083.333333334</v>
      </c>
      <c r="F1088" s="522">
        <f t="shared" si="675"/>
        <v>4427083.333333334</v>
      </c>
      <c r="G1088" s="522">
        <f t="shared" si="675"/>
        <v>4427083.333333334</v>
      </c>
      <c r="H1088" s="522">
        <f t="shared" si="675"/>
        <v>4427083.333333334</v>
      </c>
      <c r="I1088" s="522">
        <f t="shared" si="675"/>
        <v>4427083.333333334</v>
      </c>
      <c r="J1088" s="522">
        <f t="shared" si="675"/>
        <v>4427083.333333334</v>
      </c>
      <c r="K1088" s="522">
        <f t="shared" si="675"/>
        <v>4427083.333333334</v>
      </c>
      <c r="L1088" s="522">
        <f t="shared" si="675"/>
        <v>4427083.333333334</v>
      </c>
      <c r="M1088" s="522">
        <f t="shared" si="675"/>
        <v>4427083.333333334</v>
      </c>
      <c r="N1088" s="522">
        <f t="shared" si="675"/>
        <v>4427083.333333334</v>
      </c>
      <c r="O1088" s="410" t="s">
        <v>1869</v>
      </c>
    </row>
    <row r="1089" spans="1:15" s="217" customFormat="1">
      <c r="A1089" s="217">
        <v>16</v>
      </c>
      <c r="B1089" s="10" t="s">
        <v>1278</v>
      </c>
      <c r="C1089" s="11" t="s">
        <v>902</v>
      </c>
      <c r="D1089" s="217">
        <f>IF(A1089=B1059,"New Revenue Adjustments",IF(AND(C1089=D1059,A1089&lt;B1059),"Attrition Necessary",0))</f>
        <v>0</v>
      </c>
      <c r="E1089" s="522">
        <f t="shared" si="675"/>
        <v>6510416.666666666</v>
      </c>
      <c r="F1089" s="522">
        <f t="shared" si="675"/>
        <v>6510416.666666666</v>
      </c>
      <c r="G1089" s="522">
        <f t="shared" si="675"/>
        <v>6510416.666666666</v>
      </c>
      <c r="H1089" s="522">
        <f t="shared" si="675"/>
        <v>6510416.666666666</v>
      </c>
      <c r="I1089" s="522">
        <f t="shared" si="675"/>
        <v>6510416.666666666</v>
      </c>
      <c r="J1089" s="522">
        <f t="shared" si="675"/>
        <v>6510416.666666666</v>
      </c>
      <c r="K1089" s="522">
        <f t="shared" si="675"/>
        <v>6510416.666666666</v>
      </c>
      <c r="L1089" s="522">
        <f t="shared" si="675"/>
        <v>6510416.666666666</v>
      </c>
      <c r="M1089" s="522">
        <f t="shared" si="675"/>
        <v>6510416.666666666</v>
      </c>
      <c r="N1089" s="522">
        <f t="shared" si="675"/>
        <v>6510416.666666666</v>
      </c>
      <c r="O1089" s="410" t="s">
        <v>1870</v>
      </c>
    </row>
    <row r="1090" spans="1:15" s="217" customFormat="1">
      <c r="A1090" s="217">
        <v>17</v>
      </c>
      <c r="B1090" s="10" t="s">
        <v>1279</v>
      </c>
      <c r="C1090" s="11" t="s">
        <v>899</v>
      </c>
      <c r="D1090" s="217" t="str">
        <f>IF(A1090=B1059,"New Revenue Adjustments",IF(AND(C1090=D1059,A1090&lt;B1059),"Attrition Necessary",0))</f>
        <v>New Revenue Adjustments</v>
      </c>
      <c r="E1090" s="522">
        <f t="shared" si="675"/>
        <v>2929687.5</v>
      </c>
      <c r="F1090" s="522">
        <f t="shared" si="675"/>
        <v>2929687.5</v>
      </c>
      <c r="G1090" s="522">
        <f t="shared" si="675"/>
        <v>2929687.5</v>
      </c>
      <c r="H1090" s="522">
        <f t="shared" si="675"/>
        <v>2929687.5</v>
      </c>
      <c r="I1090" s="522">
        <f t="shared" si="675"/>
        <v>2929687.5</v>
      </c>
      <c r="J1090" s="522">
        <f t="shared" si="675"/>
        <v>2929687.5</v>
      </c>
      <c r="K1090" s="522">
        <f t="shared" si="675"/>
        <v>2929687.5</v>
      </c>
      <c r="L1090" s="522">
        <f t="shared" si="675"/>
        <v>2929687.5</v>
      </c>
      <c r="M1090" s="522">
        <f t="shared" si="675"/>
        <v>2929687.5</v>
      </c>
      <c r="N1090" s="522">
        <f t="shared" si="675"/>
        <v>2929687.5</v>
      </c>
      <c r="O1090" s="410" t="s">
        <v>1871</v>
      </c>
    </row>
    <row r="1091" spans="1:15" s="217" customFormat="1">
      <c r="A1091" s="217">
        <v>18</v>
      </c>
      <c r="B1091" s="10" t="s">
        <v>1279</v>
      </c>
      <c r="C1091" s="11" t="s">
        <v>900</v>
      </c>
      <c r="D1091" s="217">
        <f>IF(A1091=B1059,"New Revenue Adjustments",IF(AND(C1091=D1059,A1091&lt;B1059),"Attrition Necessary",0))</f>
        <v>0</v>
      </c>
      <c r="E1091" s="522">
        <f t="shared" si="675"/>
        <v>0</v>
      </c>
      <c r="F1091" s="522">
        <f t="shared" si="675"/>
        <v>0</v>
      </c>
      <c r="G1091" s="522">
        <f t="shared" si="675"/>
        <v>0</v>
      </c>
      <c r="H1091" s="522">
        <f t="shared" si="675"/>
        <v>0</v>
      </c>
      <c r="I1091" s="522">
        <f t="shared" si="675"/>
        <v>0</v>
      </c>
      <c r="J1091" s="522">
        <f t="shared" si="675"/>
        <v>0</v>
      </c>
      <c r="K1091" s="522">
        <f t="shared" si="675"/>
        <v>0</v>
      </c>
      <c r="L1091" s="522">
        <f t="shared" si="675"/>
        <v>0</v>
      </c>
      <c r="M1091" s="522">
        <f t="shared" si="675"/>
        <v>0</v>
      </c>
      <c r="N1091" s="522">
        <f t="shared" si="675"/>
        <v>0</v>
      </c>
      <c r="O1091" s="410" t="s">
        <v>1872</v>
      </c>
    </row>
    <row r="1092" spans="1:15" s="217" customFormat="1">
      <c r="A1092" s="217">
        <v>19</v>
      </c>
      <c r="B1092" s="10" t="s">
        <v>1279</v>
      </c>
      <c r="C1092" s="11" t="s">
        <v>901</v>
      </c>
      <c r="D1092" s="217">
        <f>IF(A1092=B1059,"New Revenue Adjustments",IF(AND(C1092=D1059,A1092&lt;B1059),"Attrition Necessary",0))</f>
        <v>0</v>
      </c>
      <c r="E1092" s="522">
        <f t="shared" si="675"/>
        <v>0</v>
      </c>
      <c r="F1092" s="522">
        <f t="shared" si="675"/>
        <v>0</v>
      </c>
      <c r="G1092" s="522">
        <f t="shared" si="675"/>
        <v>0</v>
      </c>
      <c r="H1092" s="522">
        <f t="shared" si="675"/>
        <v>0</v>
      </c>
      <c r="I1092" s="522">
        <f t="shared" si="675"/>
        <v>0</v>
      </c>
      <c r="J1092" s="522">
        <f t="shared" si="675"/>
        <v>0</v>
      </c>
      <c r="K1092" s="522">
        <f t="shared" si="675"/>
        <v>0</v>
      </c>
      <c r="L1092" s="522">
        <f t="shared" si="675"/>
        <v>0</v>
      </c>
      <c r="M1092" s="522">
        <f t="shared" si="675"/>
        <v>0</v>
      </c>
      <c r="N1092" s="522">
        <f t="shared" si="675"/>
        <v>0</v>
      </c>
      <c r="O1092" s="410" t="s">
        <v>1873</v>
      </c>
    </row>
    <row r="1093" spans="1:15" s="217" customFormat="1">
      <c r="A1093" s="217">
        <v>20</v>
      </c>
      <c r="B1093" s="10" t="s">
        <v>1279</v>
      </c>
      <c r="C1093" s="11" t="s">
        <v>902</v>
      </c>
      <c r="D1093" s="217">
        <f>IF(A1093=B1059,"New Revenue Adjustments",IF(AND(C1093=D1059,A1093&lt;B1059),"Attrition Necessary",0))</f>
        <v>0</v>
      </c>
      <c r="E1093" s="522">
        <f t="shared" si="675"/>
        <v>0</v>
      </c>
      <c r="F1093" s="522">
        <f t="shared" si="675"/>
        <v>0</v>
      </c>
      <c r="G1093" s="522">
        <f t="shared" si="675"/>
        <v>0</v>
      </c>
      <c r="H1093" s="522">
        <f t="shared" si="675"/>
        <v>0</v>
      </c>
      <c r="I1093" s="522">
        <f t="shared" si="675"/>
        <v>0</v>
      </c>
      <c r="J1093" s="522">
        <f t="shared" si="675"/>
        <v>0</v>
      </c>
      <c r="K1093" s="522">
        <f t="shared" si="675"/>
        <v>0</v>
      </c>
      <c r="L1093" s="522">
        <f t="shared" si="675"/>
        <v>0</v>
      </c>
      <c r="M1093" s="522">
        <f t="shared" si="675"/>
        <v>0</v>
      </c>
      <c r="N1093" s="522">
        <f t="shared" si="675"/>
        <v>0</v>
      </c>
      <c r="O1093" s="410" t="s">
        <v>1874</v>
      </c>
    </row>
    <row r="1094" spans="1:15" s="217" customFormat="1">
      <c r="A1094" s="217">
        <v>21</v>
      </c>
      <c r="B1094" s="10" t="s">
        <v>2052</v>
      </c>
      <c r="C1094" s="11" t="s">
        <v>899</v>
      </c>
      <c r="D1094" s="217">
        <f>IF(A1094=B1059,"New Revenue Adjustments",IF(AND(C1094=D1059,A1094&lt;B1059),"Attrition Necessary",0))</f>
        <v>0</v>
      </c>
      <c r="E1094" s="522">
        <f t="shared" ref="E1094:N1105" si="676">IF($B$1059&gt;$A1094,INDEX(calcY1Q4RevFlow,$A1094,calcTeamNum)*(IF($D1094="Attrition Necessary",1-calcQ2AttritionDifference,1)*(IF($D1094="New Revenue Adjustments",1+calcY2Q1RevenueAdjustment,1))),INDEX(dataY2Q1Rev,$A1094,)*(IF($D1094="Attrition Necessary",1-calcQ2AttritionDifference,1))*(IF($D1094="New Revenue Adjustments",1+calcY2Q1RevenueAdjustment,1)))</f>
        <v>0</v>
      </c>
      <c r="F1094" s="522">
        <f t="shared" si="676"/>
        <v>0</v>
      </c>
      <c r="G1094" s="522">
        <f t="shared" si="676"/>
        <v>0</v>
      </c>
      <c r="H1094" s="522">
        <f t="shared" si="676"/>
        <v>0</v>
      </c>
      <c r="I1094" s="522">
        <f t="shared" si="676"/>
        <v>0</v>
      </c>
      <c r="J1094" s="522">
        <f t="shared" si="676"/>
        <v>0</v>
      </c>
      <c r="K1094" s="522">
        <f t="shared" si="676"/>
        <v>0</v>
      </c>
      <c r="L1094" s="522">
        <f t="shared" si="676"/>
        <v>0</v>
      </c>
      <c r="M1094" s="522">
        <f t="shared" si="676"/>
        <v>0</v>
      </c>
      <c r="N1094" s="522">
        <f t="shared" si="676"/>
        <v>0</v>
      </c>
      <c r="O1094" s="410" t="s">
        <v>2466</v>
      </c>
    </row>
    <row r="1095" spans="1:15" s="217" customFormat="1">
      <c r="A1095" s="217">
        <v>22</v>
      </c>
      <c r="B1095" s="10" t="s">
        <v>2052</v>
      </c>
      <c r="C1095" s="11" t="s">
        <v>900</v>
      </c>
      <c r="D1095" s="217">
        <f>IF(A1095=B1059,"New Revenue Adjustments",IF(AND(C1095=D1059,A1095&lt;B1059),"Attrition Necessary",0))</f>
        <v>0</v>
      </c>
      <c r="E1095" s="522">
        <f t="shared" si="676"/>
        <v>0</v>
      </c>
      <c r="F1095" s="522">
        <f t="shared" si="676"/>
        <v>0</v>
      </c>
      <c r="G1095" s="522">
        <f t="shared" si="676"/>
        <v>0</v>
      </c>
      <c r="H1095" s="522">
        <f t="shared" si="676"/>
        <v>0</v>
      </c>
      <c r="I1095" s="522">
        <f t="shared" si="676"/>
        <v>0</v>
      </c>
      <c r="J1095" s="522">
        <f t="shared" si="676"/>
        <v>0</v>
      </c>
      <c r="K1095" s="522">
        <f t="shared" si="676"/>
        <v>0</v>
      </c>
      <c r="L1095" s="522">
        <f t="shared" si="676"/>
        <v>0</v>
      </c>
      <c r="M1095" s="522">
        <f t="shared" si="676"/>
        <v>0</v>
      </c>
      <c r="N1095" s="522">
        <f t="shared" si="676"/>
        <v>0</v>
      </c>
      <c r="O1095" s="410" t="s">
        <v>2467</v>
      </c>
    </row>
    <row r="1096" spans="1:15" s="217" customFormat="1">
      <c r="A1096" s="217">
        <v>23</v>
      </c>
      <c r="B1096" s="10" t="s">
        <v>2052</v>
      </c>
      <c r="C1096" s="11" t="s">
        <v>901</v>
      </c>
      <c r="D1096" s="217">
        <f>IF(A1096=B1059,"New Revenue Adjustments",IF(AND(C1096=D1059,A1096&lt;B1059),"Attrition Necessary",0))</f>
        <v>0</v>
      </c>
      <c r="E1096" s="522">
        <f t="shared" si="676"/>
        <v>0</v>
      </c>
      <c r="F1096" s="522">
        <f t="shared" si="676"/>
        <v>0</v>
      </c>
      <c r="G1096" s="522">
        <f t="shared" si="676"/>
        <v>0</v>
      </c>
      <c r="H1096" s="522">
        <f t="shared" si="676"/>
        <v>0</v>
      </c>
      <c r="I1096" s="522">
        <f t="shared" si="676"/>
        <v>0</v>
      </c>
      <c r="J1096" s="522">
        <f t="shared" si="676"/>
        <v>0</v>
      </c>
      <c r="K1096" s="522">
        <f t="shared" si="676"/>
        <v>0</v>
      </c>
      <c r="L1096" s="522">
        <f t="shared" si="676"/>
        <v>0</v>
      </c>
      <c r="M1096" s="522">
        <f t="shared" si="676"/>
        <v>0</v>
      </c>
      <c r="N1096" s="522">
        <f t="shared" si="676"/>
        <v>0</v>
      </c>
      <c r="O1096" s="410" t="s">
        <v>2468</v>
      </c>
    </row>
    <row r="1097" spans="1:15" s="217" customFormat="1">
      <c r="A1097" s="217">
        <v>24</v>
      </c>
      <c r="B1097" s="10" t="s">
        <v>2052</v>
      </c>
      <c r="C1097" s="11" t="s">
        <v>902</v>
      </c>
      <c r="D1097" s="217">
        <f>IF(A1097=B1059,"New Revenue Adjustments",IF(AND(C1097=D1059,A1097&lt;B1059),"Attrition Necessary",0))</f>
        <v>0</v>
      </c>
      <c r="E1097" s="522">
        <f t="shared" si="676"/>
        <v>0</v>
      </c>
      <c r="F1097" s="522">
        <f t="shared" si="676"/>
        <v>0</v>
      </c>
      <c r="G1097" s="522">
        <f t="shared" si="676"/>
        <v>0</v>
      </c>
      <c r="H1097" s="522">
        <f t="shared" si="676"/>
        <v>0</v>
      </c>
      <c r="I1097" s="522">
        <f t="shared" si="676"/>
        <v>0</v>
      </c>
      <c r="J1097" s="522">
        <f t="shared" si="676"/>
        <v>0</v>
      </c>
      <c r="K1097" s="522">
        <f t="shared" si="676"/>
        <v>0</v>
      </c>
      <c r="L1097" s="522">
        <f t="shared" si="676"/>
        <v>0</v>
      </c>
      <c r="M1097" s="522">
        <f t="shared" si="676"/>
        <v>0</v>
      </c>
      <c r="N1097" s="522">
        <f t="shared" si="676"/>
        <v>0</v>
      </c>
      <c r="O1097" s="410" t="s">
        <v>2469</v>
      </c>
    </row>
    <row r="1098" spans="1:15" s="217" customFormat="1">
      <c r="A1098" s="217">
        <v>25</v>
      </c>
      <c r="B1098" s="10" t="s">
        <v>2408</v>
      </c>
      <c r="C1098" s="11" t="s">
        <v>899</v>
      </c>
      <c r="D1098" s="217">
        <f>IF(A1098=B1059,"New Revenue Adjustments",IF(AND(C1098=D1059,A1098&lt;B1059),"Attrition Necessary",0))</f>
        <v>0</v>
      </c>
      <c r="E1098" s="522">
        <f t="shared" si="676"/>
        <v>0</v>
      </c>
      <c r="F1098" s="522">
        <f t="shared" si="676"/>
        <v>0</v>
      </c>
      <c r="G1098" s="522">
        <f t="shared" si="676"/>
        <v>0</v>
      </c>
      <c r="H1098" s="522">
        <f t="shared" si="676"/>
        <v>0</v>
      </c>
      <c r="I1098" s="522">
        <f t="shared" si="676"/>
        <v>0</v>
      </c>
      <c r="J1098" s="522">
        <f t="shared" si="676"/>
        <v>0</v>
      </c>
      <c r="K1098" s="522">
        <f t="shared" si="676"/>
        <v>0</v>
      </c>
      <c r="L1098" s="522">
        <f t="shared" si="676"/>
        <v>0</v>
      </c>
      <c r="M1098" s="522">
        <f t="shared" si="676"/>
        <v>0</v>
      </c>
      <c r="N1098" s="522">
        <f t="shared" si="676"/>
        <v>0</v>
      </c>
      <c r="O1098" s="410" t="s">
        <v>2470</v>
      </c>
    </row>
    <row r="1099" spans="1:15" s="217" customFormat="1">
      <c r="A1099" s="217">
        <v>26</v>
      </c>
      <c r="B1099" s="10" t="s">
        <v>2408</v>
      </c>
      <c r="C1099" s="11" t="s">
        <v>900</v>
      </c>
      <c r="D1099" s="217">
        <f>IF(A1099=B1059,"New Revenue Adjustments",IF(AND(C1099=D1059,A1099&lt;B1059),"Attrition Necessary",0))</f>
        <v>0</v>
      </c>
      <c r="E1099" s="522">
        <f t="shared" si="676"/>
        <v>0</v>
      </c>
      <c r="F1099" s="522">
        <f t="shared" si="676"/>
        <v>0</v>
      </c>
      <c r="G1099" s="522">
        <f t="shared" si="676"/>
        <v>0</v>
      </c>
      <c r="H1099" s="522">
        <f t="shared" si="676"/>
        <v>0</v>
      </c>
      <c r="I1099" s="522">
        <f t="shared" si="676"/>
        <v>0</v>
      </c>
      <c r="J1099" s="522">
        <f t="shared" si="676"/>
        <v>0</v>
      </c>
      <c r="K1099" s="522">
        <f t="shared" si="676"/>
        <v>0</v>
      </c>
      <c r="L1099" s="522">
        <f t="shared" si="676"/>
        <v>0</v>
      </c>
      <c r="M1099" s="522">
        <f t="shared" si="676"/>
        <v>0</v>
      </c>
      <c r="N1099" s="522">
        <f t="shared" si="676"/>
        <v>0</v>
      </c>
      <c r="O1099" s="410" t="s">
        <v>2471</v>
      </c>
    </row>
    <row r="1100" spans="1:15" s="217" customFormat="1">
      <c r="A1100" s="217">
        <v>27</v>
      </c>
      <c r="B1100" s="10" t="s">
        <v>2408</v>
      </c>
      <c r="C1100" s="11" t="s">
        <v>901</v>
      </c>
      <c r="D1100" s="217">
        <f>IF(A1100=B1059,"New Revenue Adjustments",IF(AND(C1100=D1059,A1100&lt;B1059),"Attrition Necessary",0))</f>
        <v>0</v>
      </c>
      <c r="E1100" s="522">
        <f t="shared" si="676"/>
        <v>0</v>
      </c>
      <c r="F1100" s="522">
        <f t="shared" si="676"/>
        <v>0</v>
      </c>
      <c r="G1100" s="522">
        <f t="shared" si="676"/>
        <v>0</v>
      </c>
      <c r="H1100" s="522">
        <f t="shared" si="676"/>
        <v>0</v>
      </c>
      <c r="I1100" s="522">
        <f t="shared" si="676"/>
        <v>0</v>
      </c>
      <c r="J1100" s="522">
        <f t="shared" si="676"/>
        <v>0</v>
      </c>
      <c r="K1100" s="522">
        <f t="shared" si="676"/>
        <v>0</v>
      </c>
      <c r="L1100" s="522">
        <f t="shared" si="676"/>
        <v>0</v>
      </c>
      <c r="M1100" s="522">
        <f t="shared" si="676"/>
        <v>0</v>
      </c>
      <c r="N1100" s="522">
        <f t="shared" si="676"/>
        <v>0</v>
      </c>
      <c r="O1100" s="410" t="s">
        <v>2472</v>
      </c>
    </row>
    <row r="1101" spans="1:15" s="217" customFormat="1">
      <c r="A1101" s="217">
        <v>28</v>
      </c>
      <c r="B1101" s="10" t="s">
        <v>2408</v>
      </c>
      <c r="C1101" s="11" t="s">
        <v>902</v>
      </c>
      <c r="D1101" s="217">
        <f>IF(A1101=B1059,"New Revenue Adjustments",IF(AND(C1101=D1059,A1101&lt;B1059),"Attrition Necessary",0))</f>
        <v>0</v>
      </c>
      <c r="E1101" s="522">
        <f t="shared" si="676"/>
        <v>0</v>
      </c>
      <c r="F1101" s="522">
        <f t="shared" si="676"/>
        <v>0</v>
      </c>
      <c r="G1101" s="522">
        <f t="shared" si="676"/>
        <v>0</v>
      </c>
      <c r="H1101" s="522">
        <f t="shared" si="676"/>
        <v>0</v>
      </c>
      <c r="I1101" s="522">
        <f t="shared" si="676"/>
        <v>0</v>
      </c>
      <c r="J1101" s="522">
        <f t="shared" si="676"/>
        <v>0</v>
      </c>
      <c r="K1101" s="522">
        <f t="shared" si="676"/>
        <v>0</v>
      </c>
      <c r="L1101" s="522">
        <f t="shared" si="676"/>
        <v>0</v>
      </c>
      <c r="M1101" s="522">
        <f t="shared" si="676"/>
        <v>0</v>
      </c>
      <c r="N1101" s="522">
        <f t="shared" si="676"/>
        <v>0</v>
      </c>
      <c r="O1101" s="410" t="s">
        <v>2473</v>
      </c>
    </row>
    <row r="1102" spans="1:15" s="217" customFormat="1">
      <c r="A1102" s="217">
        <v>29</v>
      </c>
      <c r="B1102" s="10" t="s">
        <v>2413</v>
      </c>
      <c r="C1102" s="11" t="s">
        <v>899</v>
      </c>
      <c r="D1102" s="217">
        <f>IF(A1102=B1059,"New Revenue Adjustments",IF(AND(C1102=D1059,A1102&lt;B1059),"Attrition Necessary",0))</f>
        <v>0</v>
      </c>
      <c r="E1102" s="522">
        <f t="shared" si="676"/>
        <v>0</v>
      </c>
      <c r="F1102" s="522">
        <f t="shared" si="676"/>
        <v>0</v>
      </c>
      <c r="G1102" s="522">
        <f t="shared" si="676"/>
        <v>0</v>
      </c>
      <c r="H1102" s="522">
        <f t="shared" si="676"/>
        <v>0</v>
      </c>
      <c r="I1102" s="522">
        <f t="shared" si="676"/>
        <v>0</v>
      </c>
      <c r="J1102" s="522">
        <f t="shared" si="676"/>
        <v>0</v>
      </c>
      <c r="K1102" s="522">
        <f t="shared" si="676"/>
        <v>0</v>
      </c>
      <c r="L1102" s="522">
        <f t="shared" si="676"/>
        <v>0</v>
      </c>
      <c r="M1102" s="522">
        <f t="shared" si="676"/>
        <v>0</v>
      </c>
      <c r="N1102" s="522">
        <f t="shared" si="676"/>
        <v>0</v>
      </c>
      <c r="O1102" s="410" t="s">
        <v>2474</v>
      </c>
    </row>
    <row r="1103" spans="1:15" s="217" customFormat="1">
      <c r="A1103" s="217">
        <v>30</v>
      </c>
      <c r="B1103" s="10" t="s">
        <v>2413</v>
      </c>
      <c r="C1103" s="11" t="s">
        <v>900</v>
      </c>
      <c r="D1103" s="217">
        <f>IF(A1103=B1059,"New Revenue Adjustments",IF(AND(C1103=D1059,A1103&lt;B1059),"Attrition Necessary",0))</f>
        <v>0</v>
      </c>
      <c r="E1103" s="522">
        <f t="shared" si="676"/>
        <v>0</v>
      </c>
      <c r="F1103" s="522">
        <f t="shared" si="676"/>
        <v>0</v>
      </c>
      <c r="G1103" s="522">
        <f t="shared" si="676"/>
        <v>0</v>
      </c>
      <c r="H1103" s="522">
        <f t="shared" si="676"/>
        <v>0</v>
      </c>
      <c r="I1103" s="522">
        <f t="shared" si="676"/>
        <v>0</v>
      </c>
      <c r="J1103" s="522">
        <f t="shared" si="676"/>
        <v>0</v>
      </c>
      <c r="K1103" s="522">
        <f t="shared" si="676"/>
        <v>0</v>
      </c>
      <c r="L1103" s="522">
        <f t="shared" si="676"/>
        <v>0</v>
      </c>
      <c r="M1103" s="522">
        <f t="shared" si="676"/>
        <v>0</v>
      </c>
      <c r="N1103" s="522">
        <f t="shared" si="676"/>
        <v>0</v>
      </c>
      <c r="O1103" s="410" t="s">
        <v>2475</v>
      </c>
    </row>
    <row r="1104" spans="1:15" s="217" customFormat="1">
      <c r="A1104" s="217">
        <v>31</v>
      </c>
      <c r="B1104" s="10" t="s">
        <v>2413</v>
      </c>
      <c r="C1104" s="11" t="s">
        <v>901</v>
      </c>
      <c r="D1104" s="217">
        <f>IF(A1104=B1059,"New Revenue Adjustments",IF(AND(C1104=D1059,A1104&lt;B1059),"Attrition Necessary",0))</f>
        <v>0</v>
      </c>
      <c r="E1104" s="522">
        <f t="shared" si="676"/>
        <v>0</v>
      </c>
      <c r="F1104" s="522">
        <f t="shared" si="676"/>
        <v>0</v>
      </c>
      <c r="G1104" s="522">
        <f t="shared" si="676"/>
        <v>0</v>
      </c>
      <c r="H1104" s="522">
        <f t="shared" si="676"/>
        <v>0</v>
      </c>
      <c r="I1104" s="522">
        <f t="shared" si="676"/>
        <v>0</v>
      </c>
      <c r="J1104" s="522">
        <f t="shared" si="676"/>
        <v>0</v>
      </c>
      <c r="K1104" s="522">
        <f t="shared" si="676"/>
        <v>0</v>
      </c>
      <c r="L1104" s="522">
        <f t="shared" si="676"/>
        <v>0</v>
      </c>
      <c r="M1104" s="522">
        <f t="shared" si="676"/>
        <v>0</v>
      </c>
      <c r="N1104" s="522">
        <f t="shared" si="676"/>
        <v>0</v>
      </c>
      <c r="O1104" s="410" t="s">
        <v>2476</v>
      </c>
    </row>
    <row r="1105" spans="1:18" s="217" customFormat="1">
      <c r="A1105" s="217">
        <v>32</v>
      </c>
      <c r="B1105" s="10" t="s">
        <v>2413</v>
      </c>
      <c r="C1105" s="11" t="s">
        <v>902</v>
      </c>
      <c r="D1105" s="217">
        <f>IF(A1105=B1059,"New Revenue Adjustments",IF(AND(C1105=D1059,A1105&lt;B1059),"Attrition Necessary",0))</f>
        <v>0</v>
      </c>
      <c r="E1105" s="522">
        <f t="shared" si="676"/>
        <v>0</v>
      </c>
      <c r="F1105" s="522">
        <f t="shared" si="676"/>
        <v>0</v>
      </c>
      <c r="G1105" s="522">
        <f t="shared" si="676"/>
        <v>0</v>
      </c>
      <c r="H1105" s="522">
        <f t="shared" si="676"/>
        <v>0</v>
      </c>
      <c r="I1105" s="522">
        <f t="shared" si="676"/>
        <v>0</v>
      </c>
      <c r="J1105" s="522">
        <f t="shared" si="676"/>
        <v>0</v>
      </c>
      <c r="K1105" s="522">
        <f t="shared" si="676"/>
        <v>0</v>
      </c>
      <c r="L1105" s="522">
        <f t="shared" si="676"/>
        <v>0</v>
      </c>
      <c r="M1105" s="522">
        <f t="shared" si="676"/>
        <v>0</v>
      </c>
      <c r="N1105" s="522">
        <f t="shared" si="676"/>
        <v>0</v>
      </c>
      <c r="O1105" s="410" t="s">
        <v>2477</v>
      </c>
    </row>
    <row r="1106" spans="1:18" s="217" customFormat="1">
      <c r="D1106" s="217" t="s">
        <v>905</v>
      </c>
      <c r="E1106" s="427">
        <f>SUM(E1074:E1105)</f>
        <v>47751016.926157117</v>
      </c>
      <c r="F1106" s="427">
        <f t="shared" ref="F1106:I1106" si="677">SUM(F1074:F1105)</f>
        <v>47751016.926157117</v>
      </c>
      <c r="G1106" s="427">
        <f t="shared" si="677"/>
        <v>47751016.926157117</v>
      </c>
      <c r="H1106" s="427">
        <f t="shared" si="677"/>
        <v>47751016.926157117</v>
      </c>
      <c r="I1106" s="427">
        <f t="shared" si="677"/>
        <v>47751016.926157117</v>
      </c>
      <c r="J1106" s="427">
        <f t="shared" ref="J1106:N1106" si="678">SUM(J1074:J1105)</f>
        <v>47751016.926157117</v>
      </c>
      <c r="K1106" s="427">
        <f t="shared" si="678"/>
        <v>47751016.926157117</v>
      </c>
      <c r="L1106" s="427">
        <f t="shared" si="678"/>
        <v>47751016.926157117</v>
      </c>
      <c r="M1106" s="427">
        <f t="shared" si="678"/>
        <v>47751016.926157117</v>
      </c>
      <c r="N1106" s="427">
        <f t="shared" si="678"/>
        <v>47751016.926157117</v>
      </c>
      <c r="O1106" s="217" t="s">
        <v>1398</v>
      </c>
    </row>
    <row r="1107" spans="1:18" s="217" customFormat="1">
      <c r="E1107" s="409"/>
      <c r="F1107" s="409"/>
      <c r="G1107" s="409"/>
      <c r="H1107" s="409"/>
      <c r="I1107" s="409"/>
      <c r="J1107" s="409"/>
      <c r="K1107" s="409"/>
      <c r="L1107" s="409"/>
      <c r="M1107" s="409"/>
      <c r="N1107" s="409"/>
    </row>
    <row r="1108" spans="1:18">
      <c r="A1108" s="217"/>
      <c r="B1108" s="69">
        <v>18</v>
      </c>
      <c r="C1108" s="217" t="s">
        <v>1279</v>
      </c>
      <c r="D1108" s="217" t="s">
        <v>900</v>
      </c>
    </row>
    <row r="1109" spans="1:18" s="217" customFormat="1">
      <c r="C1109" s="217" t="s">
        <v>1736</v>
      </c>
      <c r="E1109" s="409"/>
      <c r="F1109" s="409"/>
      <c r="G1109" s="409"/>
      <c r="H1109" s="409"/>
      <c r="I1109" s="409"/>
      <c r="J1109" s="409"/>
      <c r="K1109" s="409"/>
      <c r="L1109" s="409"/>
      <c r="M1109" s="409"/>
      <c r="N1109" s="409"/>
    </row>
    <row r="1110" spans="1:18" s="410" customFormat="1">
      <c r="D1110" s="410" t="s">
        <v>1754</v>
      </c>
      <c r="E1110" s="547">
        <f t="shared" ref="E1110:N1110" si="679">FORECAST(calcNPS,datatblNPSAttrition,datatblNPSScore)</f>
        <v>0.14946428571428572</v>
      </c>
      <c r="F1110" s="547">
        <f t="shared" si="679"/>
        <v>0.14946428571428572</v>
      </c>
      <c r="G1110" s="547">
        <f t="shared" si="679"/>
        <v>0.14946428571428572</v>
      </c>
      <c r="H1110" s="547">
        <f t="shared" si="679"/>
        <v>0.14946428571428572</v>
      </c>
      <c r="I1110" s="547">
        <f t="shared" si="679"/>
        <v>0.14946428571428572</v>
      </c>
      <c r="J1110" s="547">
        <f t="shared" si="679"/>
        <v>0.14946428571428572</v>
      </c>
      <c r="K1110" s="547">
        <f t="shared" si="679"/>
        <v>0.14946428571428572</v>
      </c>
      <c r="L1110" s="547">
        <f t="shared" si="679"/>
        <v>0.14946428571428572</v>
      </c>
      <c r="M1110" s="547">
        <f t="shared" si="679"/>
        <v>0.14946428571428572</v>
      </c>
      <c r="N1110" s="547">
        <f t="shared" si="679"/>
        <v>0.14946428571428572</v>
      </c>
    </row>
    <row r="1111" spans="1:18" s="410" customFormat="1">
      <c r="D1111" s="410" t="s">
        <v>1753</v>
      </c>
      <c r="E1111" s="547">
        <f>Data!$D$277</f>
        <v>0.1515124491492886</v>
      </c>
      <c r="F1111" s="547">
        <f>Data!$D$277</f>
        <v>0.1515124491492886</v>
      </c>
      <c r="G1111" s="547">
        <f>Data!$D$277</f>
        <v>0.1515124491492886</v>
      </c>
      <c r="H1111" s="547">
        <f>Data!$D$277</f>
        <v>0.1515124491492886</v>
      </c>
      <c r="I1111" s="547">
        <f>Data!$D$277</f>
        <v>0.1515124491492886</v>
      </c>
      <c r="J1111" s="547">
        <f>Data!$D$277</f>
        <v>0.1515124491492886</v>
      </c>
      <c r="K1111" s="547">
        <f>Data!$D$277</f>
        <v>0.1515124491492886</v>
      </c>
      <c r="L1111" s="547">
        <f>Data!$D$277</f>
        <v>0.1515124491492886</v>
      </c>
      <c r="M1111" s="547">
        <f>Data!$D$277</f>
        <v>0.1515124491492886</v>
      </c>
      <c r="N1111" s="547">
        <f>Data!$D$277</f>
        <v>0.1515124491492886</v>
      </c>
    </row>
    <row r="1112" spans="1:18" s="217" customFormat="1">
      <c r="D1112" s="217" t="s">
        <v>1755</v>
      </c>
      <c r="E1112" s="411">
        <f>E1110-E1111</f>
        <v>-2.0481634350028866E-3</v>
      </c>
      <c r="F1112" s="411">
        <f t="shared" ref="F1112" si="680">F1110-F1111</f>
        <v>-2.0481634350028866E-3</v>
      </c>
      <c r="G1112" s="411">
        <f t="shared" ref="G1112" si="681">G1110-G1111</f>
        <v>-2.0481634350028866E-3</v>
      </c>
      <c r="H1112" s="411">
        <f t="shared" ref="H1112" si="682">H1110-H1111</f>
        <v>-2.0481634350028866E-3</v>
      </c>
      <c r="I1112" s="411">
        <f t="shared" ref="I1112:N1112" si="683">I1110-I1111</f>
        <v>-2.0481634350028866E-3</v>
      </c>
      <c r="J1112" s="411">
        <f t="shared" si="683"/>
        <v>-2.0481634350028866E-3</v>
      </c>
      <c r="K1112" s="411">
        <f t="shared" si="683"/>
        <v>-2.0481634350028866E-3</v>
      </c>
      <c r="L1112" s="411">
        <f t="shared" si="683"/>
        <v>-2.0481634350028866E-3</v>
      </c>
      <c r="M1112" s="411">
        <f t="shared" si="683"/>
        <v>-2.0481634350028866E-3</v>
      </c>
      <c r="N1112" s="411">
        <f t="shared" si="683"/>
        <v>-2.0481634350028866E-3</v>
      </c>
      <c r="O1112" s="217" t="s">
        <v>1769</v>
      </c>
    </row>
    <row r="1113" spans="1:18" s="217" customFormat="1">
      <c r="C1113" s="217" t="s">
        <v>1757</v>
      </c>
      <c r="E1113" s="411"/>
      <c r="F1113" s="411"/>
      <c r="G1113" s="411"/>
      <c r="H1113" s="411"/>
      <c r="I1113" s="411"/>
      <c r="J1113" s="411"/>
      <c r="K1113" s="411"/>
      <c r="L1113" s="411"/>
      <c r="M1113" s="411"/>
      <c r="N1113" s="411"/>
    </row>
    <row r="1114" spans="1:18">
      <c r="D1114" s="69" t="s">
        <v>1151</v>
      </c>
      <c r="E1114" s="425">
        <f>IF(calcOrg62Timeline&lt;=$Q1114,INDEX(datatblOrg62Timeline,MATCH(decGTMOrg62Timeline,Data!$C$106:$C$111,0),2),0)*paramOrg62Impacts</f>
        <v>0</v>
      </c>
      <c r="F1114" s="425">
        <f>IF(calcOrg62Timeline&lt;=$Q1114,INDEX(datatblOrg62Timeline,MATCH(decGTMOrg62Timeline,Data!$C$106:$C$111,0),2),0)*paramOrg62Impacts</f>
        <v>0</v>
      </c>
      <c r="G1114" s="425">
        <f>IF(calcOrg62Timeline&lt;=$Q1114,INDEX(datatblOrg62Timeline,MATCH(decGTMOrg62Timeline,Data!$C$106:$C$111,0),2),0)*paramOrg62Impacts</f>
        <v>0</v>
      </c>
      <c r="H1114" s="425">
        <f>IF(calcOrg62Timeline&lt;=$Q1114,INDEX(datatblOrg62Timeline,MATCH(decGTMOrg62Timeline,Data!$C$106:$C$111,0),2),0)*paramOrg62Impacts</f>
        <v>0</v>
      </c>
      <c r="I1114" s="425">
        <f>IF(calcOrg62Timeline&lt;=$Q1114,INDEX(datatblOrg62Timeline,MATCH(decGTMOrg62Timeline,Data!$C$106:$C$111,0),2),0)*paramOrg62Impacts</f>
        <v>0</v>
      </c>
      <c r="J1114" s="425">
        <f>IF(calcOrg62Timeline&lt;=$Q1114,INDEX(datatblOrg62Timeline,MATCH(decGTMOrg62Timeline,Data!$C$106:$C$111,0),2),0)*paramOrg62Impacts</f>
        <v>0</v>
      </c>
      <c r="K1114" s="425">
        <f>IF(calcOrg62Timeline&lt;=$Q1114,INDEX(datatblOrg62Timeline,MATCH(decGTMOrg62Timeline,Data!$C$106:$C$111,0),2),0)*paramOrg62Impacts</f>
        <v>0</v>
      </c>
      <c r="L1114" s="425">
        <f>IF(calcOrg62Timeline&lt;=$Q1114,INDEX(datatblOrg62Timeline,MATCH(decGTMOrg62Timeline,Data!$C$106:$C$111,0),2),0)*paramOrg62Impacts</f>
        <v>0</v>
      </c>
      <c r="M1114" s="425">
        <f>IF(calcOrg62Timeline&lt;=$Q1114,INDEX(datatblOrg62Timeline,MATCH(decGTMOrg62Timeline,Data!$C$106:$C$111,0),2),0)*paramOrg62Impacts</f>
        <v>0</v>
      </c>
      <c r="N1114" s="425">
        <f>IF(calcOrg62Timeline&lt;=$Q1114,INDEX(datatblOrg62Timeline,MATCH(decGTMOrg62Timeline,Data!$C$106:$C$111,0),2),0)*paramOrg62Impacts</f>
        <v>0</v>
      </c>
      <c r="Q1114" s="69">
        <v>18</v>
      </c>
    </row>
    <row r="1115" spans="1:18">
      <c r="D1115" s="69" t="s">
        <v>507</v>
      </c>
      <c r="E1115" s="425">
        <f>IF(calcProductTimeline&lt;=$Q1115,INDEX(datatblStackFocusImpact,MATCH(decProductStackFocus,Data!$C$96:$C$101,0),2),0)+paramACVGrowthStack</f>
        <v>0</v>
      </c>
      <c r="F1115" s="425">
        <f>IF(calcProductTimeline&lt;=$Q1115,INDEX(datatblStackFocusImpact,MATCH(decProductStackFocus,Data!$C$96:$C$101,0),2),0)+paramACVGrowthStack</f>
        <v>0</v>
      </c>
      <c r="G1115" s="425">
        <f>IF(calcProductTimeline&lt;=$Q1115,INDEX(datatblStackFocusImpact,MATCH(decProductStackFocus,Data!$C$96:$C$101,0),2),0)+paramACVGrowthStack</f>
        <v>0</v>
      </c>
      <c r="H1115" s="425">
        <f>IF(calcProductTimeline&lt;=$Q1115,INDEX(datatblStackFocusImpact,MATCH(decProductStackFocus,Data!$C$96:$C$101,0),2),0)+paramACVGrowthStack</f>
        <v>0</v>
      </c>
      <c r="I1115" s="425">
        <f>IF(calcProductTimeline&lt;=$Q1115,INDEX(datatblStackFocusImpact,MATCH(decProductStackFocus,Data!$C$96:$C$101,0),2),0)+paramACVGrowthStack</f>
        <v>0</v>
      </c>
      <c r="J1115" s="425">
        <f>IF(calcProductTimeline&lt;=$Q1115,INDEX(datatblStackFocusImpact,MATCH(decProductStackFocus,Data!$C$96:$C$101,0),2),0)+paramACVGrowthStack</f>
        <v>0</v>
      </c>
      <c r="K1115" s="425">
        <f>IF(calcProductTimeline&lt;=$Q1115,INDEX(datatblStackFocusImpact,MATCH(decProductStackFocus,Data!$C$96:$C$101,0),2),0)+paramACVGrowthStack</f>
        <v>0</v>
      </c>
      <c r="L1115" s="425">
        <f>IF(calcProductTimeline&lt;=$Q1115,INDEX(datatblStackFocusImpact,MATCH(decProductStackFocus,Data!$C$96:$C$101,0),2),0)+paramACVGrowthStack</f>
        <v>0</v>
      </c>
      <c r="M1115" s="425">
        <f>IF(calcProductTimeline&lt;=$Q1115,INDEX(datatblStackFocusImpact,MATCH(decProductStackFocus,Data!$C$96:$C$101,0),2),0)+paramACVGrowthStack</f>
        <v>0</v>
      </c>
      <c r="N1115" s="425">
        <f>IF(calcProductTimeline&lt;=$Q1115,INDEX(datatblStackFocusImpact,MATCH(decProductStackFocus,Data!$C$96:$C$101,0),2),0)+paramACVGrowthStack</f>
        <v>0</v>
      </c>
      <c r="Q1115" s="69">
        <f>Q1114</f>
        <v>18</v>
      </c>
    </row>
    <row r="1116" spans="1:18">
      <c r="D1116" s="69" t="s">
        <v>2237</v>
      </c>
      <c r="E1116" s="425">
        <f>IF(calcExternalSalesTimeline&lt;=$Q1116,INDEX(datatblExternalSalesImpact,MATCH(decGTMExternalSales,Data!$C$85:$C$90,0),2),0)</f>
        <v>0</v>
      </c>
      <c r="F1116" s="425">
        <f>IF(calcExternalSalesTimeline&lt;=$Q1116,INDEX(datatblExternalSalesImpact,MATCH(decGTMExternalSales,Data!$C$85:$C$90,0),2),0)</f>
        <v>0</v>
      </c>
      <c r="G1116" s="425">
        <f>IF(calcExternalSalesTimeline&lt;=$Q1116,INDEX(datatblExternalSalesImpact,MATCH(decGTMExternalSales,Data!$C$85:$C$90,0),2),0)</f>
        <v>0</v>
      </c>
      <c r="H1116" s="425">
        <f>IF(calcExternalSalesTimeline&lt;=$Q1116,INDEX(datatblExternalSalesImpact,MATCH(decGTMExternalSales,Data!$C$85:$C$90,0),2),0)</f>
        <v>0</v>
      </c>
      <c r="I1116" s="425">
        <f>IF(calcExternalSalesTimeline&lt;=$Q1116,INDEX(datatblExternalSalesImpact,MATCH(decGTMExternalSales,Data!$C$85:$C$90,0),2),0)</f>
        <v>0</v>
      </c>
      <c r="J1116" s="425">
        <f>IF(calcExternalSalesTimeline&lt;=$Q1116,INDEX(datatblExternalSalesImpact,MATCH(decGTMExternalSales,Data!$C$85:$C$90,0),2),0)</f>
        <v>0</v>
      </c>
      <c r="K1116" s="425">
        <f>IF(calcExternalSalesTimeline&lt;=$Q1116,INDEX(datatblExternalSalesImpact,MATCH(decGTMExternalSales,Data!$C$85:$C$90,0),2),0)</f>
        <v>0</v>
      </c>
      <c r="L1116" s="425">
        <f>IF(calcExternalSalesTimeline&lt;=$Q1116,INDEX(datatblExternalSalesImpact,MATCH(decGTMExternalSales,Data!$C$85:$C$90,0),2),0)</f>
        <v>0</v>
      </c>
      <c r="M1116" s="425">
        <f>IF(calcExternalSalesTimeline&lt;=$Q1116,INDEX(datatblExternalSalesImpact,MATCH(decGTMExternalSales,Data!$C$85:$C$90,0),2),0)</f>
        <v>0</v>
      </c>
      <c r="N1116" s="425">
        <f>IF(calcExternalSalesTimeline&lt;=$Q1116,INDEX(datatblExternalSalesImpact,MATCH(decGTMExternalSales,Data!$C$85:$C$90,0),2),0)</f>
        <v>0</v>
      </c>
      <c r="O1116" s="482">
        <v>0.05</v>
      </c>
      <c r="P1116" s="482">
        <v>-0.05</v>
      </c>
      <c r="Q1116" s="69">
        <f>Q1115</f>
        <v>18</v>
      </c>
    </row>
    <row r="1117" spans="1:18">
      <c r="D1117" s="69" t="s">
        <v>2284</v>
      </c>
      <c r="E1117" s="425">
        <f>IF(calcCSGTimeline&lt;=$Q1117,INDEX(datatblCSGPostSales,MATCH(decGTMCSGPostSales,Data!$C$204:$C$209,0),3),0)</f>
        <v>0</v>
      </c>
      <c r="F1117" s="425">
        <f>IF(calcCSGTimeline&lt;=$Q1117,INDEX(datatblCSGPostSales,MATCH(decGTMCSGPostSales,Data!$C$204:$C$209,0),3),0)</f>
        <v>0</v>
      </c>
      <c r="G1117" s="425">
        <f>IF(calcCSGTimeline&lt;=$Q1117,INDEX(datatblCSGPostSales,MATCH(decGTMCSGPostSales,Data!$C$204:$C$209,0),3),0)</f>
        <v>0</v>
      </c>
      <c r="H1117" s="425">
        <f>IF(calcCSGTimeline&lt;=$Q1117,INDEX(datatblCSGPostSales,MATCH(decGTMCSGPostSales,Data!$C$204:$C$209,0),3),0)</f>
        <v>0</v>
      </c>
      <c r="I1117" s="425">
        <f>IF(calcCSGTimeline&lt;=$Q1117,INDEX(datatblCSGPostSales,MATCH(decGTMCSGPostSales,Data!$C$204:$C$209,0),3),0)</f>
        <v>0</v>
      </c>
      <c r="J1117" s="425">
        <f>IF(calcCSGTimeline&lt;=$Q1117,INDEX(datatblCSGPostSales,MATCH(decGTMCSGPostSales,Data!$C$204:$C$209,0),3),0)</f>
        <v>0</v>
      </c>
      <c r="K1117" s="425">
        <f>IF(calcCSGTimeline&lt;=$Q1117,INDEX(datatblCSGPostSales,MATCH(decGTMCSGPostSales,Data!$C$204:$C$209,0),3),0)</f>
        <v>0</v>
      </c>
      <c r="L1117" s="425">
        <f>IF(calcCSGTimeline&lt;=$Q1117,INDEX(datatblCSGPostSales,MATCH(decGTMCSGPostSales,Data!$C$204:$C$209,0),3),0)</f>
        <v>0</v>
      </c>
      <c r="M1117" s="425">
        <f>IF(calcCSGTimeline&lt;=$Q1117,INDEX(datatblCSGPostSales,MATCH(decGTMCSGPostSales,Data!$C$204:$C$209,0),3),0)</f>
        <v>0</v>
      </c>
      <c r="N1117" s="425">
        <f>IF(calcCSGTimeline&lt;=$Q1117,INDEX(datatblCSGPostSales,MATCH(decGTMCSGPostSales,Data!$C$204:$C$209,0),3),0)</f>
        <v>0</v>
      </c>
      <c r="O1117" s="482"/>
      <c r="P1117" s="482"/>
      <c r="Q1117" s="69">
        <f>Q1116</f>
        <v>18</v>
      </c>
    </row>
    <row r="1118" spans="1:18">
      <c r="D1118" s="69" t="s">
        <v>3079</v>
      </c>
      <c r="E1118" s="425">
        <f>IF(calcBrandIntegrationTimeline&lt;=$Q1118,INDEX(datatblBrandIntegration,MATCH(decGTMBrandIntegration,Data!$C$220:$C$226,0),3),0)</f>
        <v>0</v>
      </c>
      <c r="F1118" s="425">
        <f>IF(calcBrandIntegrationTimeline&lt;=$Q1118,INDEX(datatblBrandIntegration,MATCH(decGTMBrandIntegration,Data!$C$220:$C$226,0),3),0)</f>
        <v>0</v>
      </c>
      <c r="G1118" s="425">
        <f>IF(calcBrandIntegrationTimeline&lt;=$Q1118,INDEX(datatblBrandIntegration,MATCH(decGTMBrandIntegration,Data!$C$220:$C$226,0),3),0)</f>
        <v>0</v>
      </c>
      <c r="H1118" s="425">
        <f>IF(calcBrandIntegrationTimeline&lt;=$Q1118,INDEX(datatblBrandIntegration,MATCH(decGTMBrandIntegration,Data!$C$220:$C$226,0),3),0)</f>
        <v>0</v>
      </c>
      <c r="I1118" s="425">
        <f>IF(calcBrandIntegrationTimeline&lt;=$Q1118,INDEX(datatblBrandIntegration,MATCH(decGTMBrandIntegration,Data!$C$220:$C$226,0),3),0)</f>
        <v>0</v>
      </c>
      <c r="J1118" s="425">
        <f>IF(calcBrandIntegrationTimeline&lt;=$Q1118,INDEX(datatblBrandIntegration,MATCH(decGTMBrandIntegration,Data!$C$220:$C$226,0),3),0)</f>
        <v>0</v>
      </c>
      <c r="K1118" s="425">
        <f>IF(calcBrandIntegrationTimeline&lt;=$Q1118,INDEX(datatblBrandIntegration,MATCH(decGTMBrandIntegration,Data!$C$220:$C$226,0),3),0)</f>
        <v>0</v>
      </c>
      <c r="L1118" s="425">
        <f>IF(calcBrandIntegrationTimeline&lt;=$Q1118,INDEX(datatblBrandIntegration,MATCH(decGTMBrandIntegration,Data!$C$220:$C$226,0),3),0)</f>
        <v>0</v>
      </c>
      <c r="M1118" s="425">
        <f>IF(calcBrandIntegrationTimeline&lt;=$Q1118,INDEX(datatblBrandIntegration,MATCH(decGTMBrandIntegration,Data!$C$220:$C$226,0),3),0)</f>
        <v>0</v>
      </c>
      <c r="N1118" s="425">
        <f>IF(calcBrandIntegrationTimeline&lt;=$Q1118,INDEX(datatblBrandIntegration,MATCH(decGTMBrandIntegration,Data!$C$220:$C$226,0),3),0)</f>
        <v>0</v>
      </c>
      <c r="O1118" s="482"/>
      <c r="P1118" s="482"/>
      <c r="Q1118" s="69">
        <f>Q1117</f>
        <v>18</v>
      </c>
    </row>
    <row r="1119" spans="1:18">
      <c r="D1119" s="69" t="s">
        <v>2277</v>
      </c>
      <c r="E1119" s="425">
        <f>IF(decGTMOrg62Timeline="choose",0,IF(E1114=0,INDEX(datatblLeadPass,MATCH(decGTMLeadPass,Data!$C$212:$C$217,0),3),0))</f>
        <v>0</v>
      </c>
      <c r="F1119" s="425">
        <f>IF(decGTMOrg62Timeline="choose",0,IF(F1114=0,INDEX(datatblLeadPass,MATCH(decGTMLeadPass,Data!$C$212:$C$217,0),3),0))</f>
        <v>0</v>
      </c>
      <c r="G1119" s="425">
        <f>IF(decGTMOrg62Timeline="choose",0,IF(G1114=0,INDEX(datatblLeadPass,MATCH(decGTMLeadPass,Data!$C$212:$C$217,0),3),0))</f>
        <v>0</v>
      </c>
      <c r="H1119" s="425">
        <f>IF(decGTMOrg62Timeline="choose",0,IF(H1114=0,INDEX(datatblLeadPass,MATCH(decGTMLeadPass,Data!$C$212:$C$217,0),3),0))</f>
        <v>0</v>
      </c>
      <c r="I1119" s="425">
        <f>IF(decGTMOrg62Timeline="choose",0,IF(I1114=0,INDEX(datatblLeadPass,MATCH(decGTMLeadPass,Data!$C$212:$C$217,0),3),0))</f>
        <v>0</v>
      </c>
      <c r="J1119" s="425">
        <f>IF(decGTMOrg62Timeline="choose",0,IF(J1114=0,INDEX(datatblLeadPass,MATCH(decGTMLeadPass,Data!$C$212:$C$217,0),3),0))</f>
        <v>0</v>
      </c>
      <c r="K1119" s="425">
        <f>IF(decGTMOrg62Timeline="choose",0,IF(K1114=0,INDEX(datatblLeadPass,MATCH(decGTMLeadPass,Data!$C$212:$C$217,0),3),0))</f>
        <v>0</v>
      </c>
      <c r="L1119" s="425">
        <f>IF(decGTMOrg62Timeline="choose",0,IF(L1114=0,INDEX(datatblLeadPass,MATCH(decGTMLeadPass,Data!$C$212:$C$217,0),3),0))</f>
        <v>0</v>
      </c>
      <c r="M1119" s="425">
        <f>IF(decGTMOrg62Timeline="choose",0,IF(M1114=0,INDEX(datatblLeadPass,MATCH(decGTMLeadPass,Data!$C$212:$C$217,0),3),0))</f>
        <v>0</v>
      </c>
      <c r="N1119" s="425">
        <f>IF(decGTMOrg62Timeline="choose",0,IF(N1114=0,INDEX(datatblLeadPass,MATCH(decGTMLeadPass,Data!$C$212:$C$217,0),3),0))</f>
        <v>0</v>
      </c>
      <c r="O1119" s="482"/>
      <c r="P1119" s="482"/>
    </row>
    <row r="1120" spans="1:18">
      <c r="D1120" s="69" t="s">
        <v>1032</v>
      </c>
      <c r="E1120" s="425">
        <f t="shared" ref="E1120:N1120" si="684">IF(decSecurityProductRestrictions="Yes",$Q1120,IF(decSecurityProductRestrictions="No",$R1120,$S1120))</f>
        <v>0</v>
      </c>
      <c r="F1120" s="425">
        <f t="shared" si="684"/>
        <v>0</v>
      </c>
      <c r="G1120" s="425">
        <f t="shared" si="684"/>
        <v>0</v>
      </c>
      <c r="H1120" s="425">
        <f t="shared" si="684"/>
        <v>0</v>
      </c>
      <c r="I1120" s="425">
        <f t="shared" si="684"/>
        <v>0</v>
      </c>
      <c r="J1120" s="425">
        <f t="shared" si="684"/>
        <v>0</v>
      </c>
      <c r="K1120" s="425">
        <f t="shared" si="684"/>
        <v>0</v>
      </c>
      <c r="L1120" s="425">
        <f t="shared" si="684"/>
        <v>0</v>
      </c>
      <c r="M1120" s="425">
        <f t="shared" si="684"/>
        <v>0</v>
      </c>
      <c r="N1120" s="425">
        <f t="shared" si="684"/>
        <v>0</v>
      </c>
      <c r="Q1120" s="482">
        <f>xxProductRestrictionACVHit</f>
        <v>-0.02</v>
      </c>
      <c r="R1120" s="482">
        <f>xxProductRestrictionACVIncrease</f>
        <v>0.02</v>
      </c>
    </row>
    <row r="1121" spans="1:15" s="217" customFormat="1">
      <c r="D1121" s="217" t="s">
        <v>1758</v>
      </c>
      <c r="E1121" s="411">
        <f t="shared" ref="E1121:N1121" si="685">SUM(E1114:E1120)+paramACVGrowthBaseline</f>
        <v>0</v>
      </c>
      <c r="F1121" s="411">
        <f t="shared" si="685"/>
        <v>0</v>
      </c>
      <c r="G1121" s="411">
        <f t="shared" si="685"/>
        <v>0</v>
      </c>
      <c r="H1121" s="411">
        <f t="shared" si="685"/>
        <v>0</v>
      </c>
      <c r="I1121" s="411">
        <f t="shared" si="685"/>
        <v>0</v>
      </c>
      <c r="J1121" s="411">
        <f t="shared" si="685"/>
        <v>0</v>
      </c>
      <c r="K1121" s="411">
        <f t="shared" si="685"/>
        <v>0</v>
      </c>
      <c r="L1121" s="411">
        <f t="shared" si="685"/>
        <v>0</v>
      </c>
      <c r="M1121" s="411">
        <f t="shared" si="685"/>
        <v>0</v>
      </c>
      <c r="N1121" s="411">
        <f t="shared" si="685"/>
        <v>0</v>
      </c>
      <c r="O1121" s="217" t="s">
        <v>1770</v>
      </c>
    </row>
    <row r="1122" spans="1:15" s="217" customFormat="1">
      <c r="E1122" s="411"/>
      <c r="F1122" s="411"/>
      <c r="G1122" s="411"/>
      <c r="H1122" s="411"/>
      <c r="I1122" s="411"/>
      <c r="J1122" s="411"/>
      <c r="K1122" s="411"/>
      <c r="L1122" s="411"/>
      <c r="M1122" s="411"/>
      <c r="N1122" s="411"/>
    </row>
    <row r="1123" spans="1:15" s="217" customFormat="1">
      <c r="A1123" s="217">
        <v>1</v>
      </c>
      <c r="B1123" s="10" t="s">
        <v>1735</v>
      </c>
      <c r="C1123" s="11" t="s">
        <v>899</v>
      </c>
      <c r="D1123" s="217">
        <f>IF(A1123=B1108,"New Revenue Adjustments",IF(AND(C1123=D1108,A1123&lt;B1108),"Attrition Necessary",0))</f>
        <v>0</v>
      </c>
      <c r="E1123" s="522">
        <f t="shared" ref="E1123:N1132" si="686">IF($B$1108&gt;$A1123,INDEX(calcY2Q1RevFlow,$A1123,calcTeamNum)*(IF($D1123="Attrition Necessary",1-calcQ2AttritionDifference,1)*(IF($D1123="New Revenue Adjustments",1+calcY2Q2RevenueAdjustment,1))),INDEX(dataY2Q2Rev,$A1123,)*(IF($D1123="Attrition Necessary",1-calcQ2AttritionDifference,1))*(IF($D1123="New Revenue Adjustments",1+calcY2Q2RevenueAdjustment,1)))</f>
        <v>921676.10199142725</v>
      </c>
      <c r="F1123" s="522">
        <f t="shared" si="686"/>
        <v>921676.10199142725</v>
      </c>
      <c r="G1123" s="522">
        <f t="shared" si="686"/>
        <v>921676.10199142725</v>
      </c>
      <c r="H1123" s="522">
        <f t="shared" si="686"/>
        <v>921676.10199142725</v>
      </c>
      <c r="I1123" s="522">
        <f t="shared" si="686"/>
        <v>921676.10199142725</v>
      </c>
      <c r="J1123" s="522">
        <f t="shared" si="686"/>
        <v>921676.10199142725</v>
      </c>
      <c r="K1123" s="522">
        <f t="shared" si="686"/>
        <v>921676.10199142725</v>
      </c>
      <c r="L1123" s="522">
        <f t="shared" si="686"/>
        <v>921676.10199142725</v>
      </c>
      <c r="M1123" s="522">
        <f t="shared" si="686"/>
        <v>921676.10199142725</v>
      </c>
      <c r="N1123" s="522">
        <f t="shared" si="686"/>
        <v>921676.10199142725</v>
      </c>
      <c r="O1123" s="410" t="s">
        <v>1875</v>
      </c>
    </row>
    <row r="1124" spans="1:15" s="217" customFormat="1">
      <c r="A1124" s="217">
        <v>2</v>
      </c>
      <c r="B1124" s="10" t="s">
        <v>1735</v>
      </c>
      <c r="C1124" s="11" t="s">
        <v>900</v>
      </c>
      <c r="D1124" s="217" t="str">
        <f>IF(A1124=B1108,"New Revenue Adjustments",IF(AND(C1124=D1108,A1124&lt;B1108),"Attrition Necessary",0))</f>
        <v>Attrition Necessary</v>
      </c>
      <c r="E1124" s="522">
        <f t="shared" si="686"/>
        <v>1626487.2388084012</v>
      </c>
      <c r="F1124" s="522">
        <f t="shared" si="686"/>
        <v>1626487.2388084012</v>
      </c>
      <c r="G1124" s="522">
        <f t="shared" si="686"/>
        <v>1626487.2388084012</v>
      </c>
      <c r="H1124" s="522">
        <f t="shared" si="686"/>
        <v>1626487.2388084012</v>
      </c>
      <c r="I1124" s="522">
        <f t="shared" si="686"/>
        <v>1626487.2388084012</v>
      </c>
      <c r="J1124" s="522">
        <f t="shared" si="686"/>
        <v>1626487.2388084012</v>
      </c>
      <c r="K1124" s="522">
        <f t="shared" si="686"/>
        <v>1626487.2388084012</v>
      </c>
      <c r="L1124" s="522">
        <f t="shared" si="686"/>
        <v>1626487.2388084012</v>
      </c>
      <c r="M1124" s="522">
        <f t="shared" si="686"/>
        <v>1626487.2388084012</v>
      </c>
      <c r="N1124" s="522">
        <f t="shared" si="686"/>
        <v>1626487.2388084012</v>
      </c>
      <c r="O1124" s="410" t="s">
        <v>1876</v>
      </c>
    </row>
    <row r="1125" spans="1:15" s="217" customFormat="1">
      <c r="A1125" s="217">
        <v>3</v>
      </c>
      <c r="B1125" s="10" t="s">
        <v>1735</v>
      </c>
      <c r="C1125" s="11" t="s">
        <v>901</v>
      </c>
      <c r="D1125" s="217">
        <f>IF(A1125=B1108,"New Revenue Adjustments",IF(AND(C1125=D1108,A1125&lt;B1108),"Attrition Necessary",0))</f>
        <v>0</v>
      </c>
      <c r="E1125" s="522">
        <f t="shared" si="686"/>
        <v>2164216.9816572918</v>
      </c>
      <c r="F1125" s="522">
        <f t="shared" si="686"/>
        <v>2164216.9816572918</v>
      </c>
      <c r="G1125" s="522">
        <f t="shared" si="686"/>
        <v>2164216.9816572918</v>
      </c>
      <c r="H1125" s="522">
        <f t="shared" si="686"/>
        <v>2164216.9816572918</v>
      </c>
      <c r="I1125" s="522">
        <f t="shared" si="686"/>
        <v>2164216.9816572918</v>
      </c>
      <c r="J1125" s="522">
        <f t="shared" si="686"/>
        <v>2164216.9816572918</v>
      </c>
      <c r="K1125" s="522">
        <f t="shared" si="686"/>
        <v>2164216.9816572918</v>
      </c>
      <c r="L1125" s="522">
        <f t="shared" si="686"/>
        <v>2164216.9816572918</v>
      </c>
      <c r="M1125" s="522">
        <f t="shared" si="686"/>
        <v>2164216.9816572918</v>
      </c>
      <c r="N1125" s="522">
        <f t="shared" si="686"/>
        <v>2164216.9816572918</v>
      </c>
      <c r="O1125" s="410" t="s">
        <v>1877</v>
      </c>
    </row>
    <row r="1126" spans="1:15" s="217" customFormat="1">
      <c r="A1126" s="217">
        <v>4</v>
      </c>
      <c r="B1126" s="10" t="s">
        <v>1735</v>
      </c>
      <c r="C1126" s="11" t="s">
        <v>902</v>
      </c>
      <c r="D1126" s="217">
        <f>IF(A1126=B1108,"New Revenue Adjustments",IF(AND(C1126=D1108,A1126&lt;B1108),"Attrition Necessary",0))</f>
        <v>0</v>
      </c>
      <c r="E1126" s="522">
        <f t="shared" si="686"/>
        <v>2705271.2270716149</v>
      </c>
      <c r="F1126" s="522">
        <f t="shared" si="686"/>
        <v>2705271.2270716149</v>
      </c>
      <c r="G1126" s="522">
        <f t="shared" si="686"/>
        <v>2705271.2270716149</v>
      </c>
      <c r="H1126" s="522">
        <f t="shared" si="686"/>
        <v>2705271.2270716149</v>
      </c>
      <c r="I1126" s="522">
        <f t="shared" si="686"/>
        <v>2705271.2270716149</v>
      </c>
      <c r="J1126" s="522">
        <f t="shared" si="686"/>
        <v>2705271.2270716149</v>
      </c>
      <c r="K1126" s="522">
        <f t="shared" si="686"/>
        <v>2705271.2270716149</v>
      </c>
      <c r="L1126" s="522">
        <f t="shared" si="686"/>
        <v>2705271.2270716149</v>
      </c>
      <c r="M1126" s="522">
        <f t="shared" si="686"/>
        <v>2705271.2270716149</v>
      </c>
      <c r="N1126" s="522">
        <f t="shared" si="686"/>
        <v>2705271.2270716149</v>
      </c>
      <c r="O1126" s="410" t="s">
        <v>1878</v>
      </c>
    </row>
    <row r="1127" spans="1:15" s="217" customFormat="1">
      <c r="A1127" s="217">
        <v>5</v>
      </c>
      <c r="B1127" s="10" t="s">
        <v>1729</v>
      </c>
      <c r="C1127" s="11" t="s">
        <v>899</v>
      </c>
      <c r="D1127" s="217">
        <f>IF(A1127=B1108,"New Revenue Adjustments",IF(AND(C1127=D1108,A1127&lt;B1108),"Attrition Necessary",0))</f>
        <v>0</v>
      </c>
      <c r="E1127" s="522">
        <f t="shared" si="686"/>
        <v>1084324.8258722674</v>
      </c>
      <c r="F1127" s="522">
        <f t="shared" si="686"/>
        <v>1084324.8258722674</v>
      </c>
      <c r="G1127" s="522">
        <f t="shared" si="686"/>
        <v>1084324.8258722674</v>
      </c>
      <c r="H1127" s="522">
        <f t="shared" si="686"/>
        <v>1084324.8258722674</v>
      </c>
      <c r="I1127" s="522">
        <f t="shared" si="686"/>
        <v>1084324.8258722674</v>
      </c>
      <c r="J1127" s="522">
        <f t="shared" si="686"/>
        <v>1084324.8258722674</v>
      </c>
      <c r="K1127" s="522">
        <f t="shared" si="686"/>
        <v>1084324.8258722674</v>
      </c>
      <c r="L1127" s="522">
        <f t="shared" si="686"/>
        <v>1084324.8258722674</v>
      </c>
      <c r="M1127" s="522">
        <f t="shared" si="686"/>
        <v>1084324.8258722674</v>
      </c>
      <c r="N1127" s="522">
        <f t="shared" si="686"/>
        <v>1084324.8258722674</v>
      </c>
      <c r="O1127" s="410" t="s">
        <v>1879</v>
      </c>
    </row>
    <row r="1128" spans="1:15" s="217" customFormat="1">
      <c r="A1128" s="217">
        <v>6</v>
      </c>
      <c r="B1128" s="10" t="s">
        <v>1729</v>
      </c>
      <c r="C1128" s="11" t="s">
        <v>900</v>
      </c>
      <c r="D1128" s="217" t="str">
        <f>IF(A1128=B1108,"New Revenue Adjustments",IF(AND(C1128=D1108,A1128&lt;B1108),"Attrition Necessary",0))</f>
        <v>Attrition Necessary</v>
      </c>
      <c r="E1128" s="522">
        <f t="shared" si="686"/>
        <v>1561939.1197426142</v>
      </c>
      <c r="F1128" s="522">
        <f t="shared" si="686"/>
        <v>1561939.1197426142</v>
      </c>
      <c r="G1128" s="522">
        <f t="shared" si="686"/>
        <v>1561939.1197426142</v>
      </c>
      <c r="H1128" s="522">
        <f t="shared" si="686"/>
        <v>1561939.1197426142</v>
      </c>
      <c r="I1128" s="522">
        <f t="shared" si="686"/>
        <v>1561939.1197426142</v>
      </c>
      <c r="J1128" s="522">
        <f t="shared" si="686"/>
        <v>1561939.1197426142</v>
      </c>
      <c r="K1128" s="522">
        <f t="shared" si="686"/>
        <v>1561939.1197426142</v>
      </c>
      <c r="L1128" s="522">
        <f t="shared" si="686"/>
        <v>1561939.1197426142</v>
      </c>
      <c r="M1128" s="522">
        <f t="shared" si="686"/>
        <v>1561939.1197426142</v>
      </c>
      <c r="N1128" s="522">
        <f t="shared" si="686"/>
        <v>1561939.1197426142</v>
      </c>
      <c r="O1128" s="410" t="s">
        <v>1880</v>
      </c>
    </row>
    <row r="1129" spans="1:15" s="217" customFormat="1">
      <c r="A1129" s="217">
        <v>7</v>
      </c>
      <c r="B1129" s="10" t="s">
        <v>1729</v>
      </c>
      <c r="C1129" s="11" t="s">
        <v>901</v>
      </c>
      <c r="D1129" s="217">
        <f>IF(A1129=B1108,"New Revenue Adjustments",IF(AND(C1129=D1108,A1129&lt;B1108),"Attrition Necessary",0))</f>
        <v>0</v>
      </c>
      <c r="E1129" s="522">
        <f t="shared" si="686"/>
        <v>2408971.9440776873</v>
      </c>
      <c r="F1129" s="522">
        <f t="shared" si="686"/>
        <v>2408971.9440776873</v>
      </c>
      <c r="G1129" s="522">
        <f t="shared" si="686"/>
        <v>2408971.9440776873</v>
      </c>
      <c r="H1129" s="522">
        <f t="shared" si="686"/>
        <v>2408971.9440776873</v>
      </c>
      <c r="I1129" s="522">
        <f t="shared" si="686"/>
        <v>2408971.9440776873</v>
      </c>
      <c r="J1129" s="522">
        <f t="shared" si="686"/>
        <v>2408971.9440776873</v>
      </c>
      <c r="K1129" s="522">
        <f t="shared" si="686"/>
        <v>2408971.9440776873</v>
      </c>
      <c r="L1129" s="522">
        <f t="shared" si="686"/>
        <v>2408971.9440776873</v>
      </c>
      <c r="M1129" s="522">
        <f t="shared" si="686"/>
        <v>2408971.9440776873</v>
      </c>
      <c r="N1129" s="522">
        <f t="shared" si="686"/>
        <v>2408971.9440776873</v>
      </c>
      <c r="O1129" s="410" t="s">
        <v>1881</v>
      </c>
    </row>
    <row r="1130" spans="1:15" s="217" customFormat="1">
      <c r="A1130" s="217">
        <v>8</v>
      </c>
      <c r="B1130" s="10" t="s">
        <v>1729</v>
      </c>
      <c r="C1130" s="11" t="s">
        <v>902</v>
      </c>
      <c r="D1130" s="217">
        <f>IF(A1130=B1108,"New Revenue Adjustments",IF(AND(C1130=D1108,A1130&lt;B1108),"Attrition Necessary",0))</f>
        <v>0</v>
      </c>
      <c r="E1130" s="522">
        <f t="shared" si="686"/>
        <v>3542605.8001142456</v>
      </c>
      <c r="F1130" s="522">
        <f t="shared" si="686"/>
        <v>3542605.8001142456</v>
      </c>
      <c r="G1130" s="522">
        <f t="shared" si="686"/>
        <v>3542605.8001142456</v>
      </c>
      <c r="H1130" s="522">
        <f t="shared" si="686"/>
        <v>3542605.8001142456</v>
      </c>
      <c r="I1130" s="522">
        <f t="shared" si="686"/>
        <v>3542605.8001142456</v>
      </c>
      <c r="J1130" s="522">
        <f t="shared" si="686"/>
        <v>3542605.8001142456</v>
      </c>
      <c r="K1130" s="522">
        <f t="shared" si="686"/>
        <v>3542605.8001142456</v>
      </c>
      <c r="L1130" s="522">
        <f t="shared" si="686"/>
        <v>3542605.8001142456</v>
      </c>
      <c r="M1130" s="522">
        <f t="shared" si="686"/>
        <v>3542605.8001142456</v>
      </c>
      <c r="N1130" s="522">
        <f t="shared" si="686"/>
        <v>3542605.8001142456</v>
      </c>
      <c r="O1130" s="410" t="s">
        <v>1882</v>
      </c>
    </row>
    <row r="1131" spans="1:15" s="217" customFormat="1">
      <c r="A1131" s="217">
        <v>9</v>
      </c>
      <c r="B1131" s="10" t="s">
        <v>405</v>
      </c>
      <c r="C1131" s="11" t="s">
        <v>899</v>
      </c>
      <c r="D1131" s="217">
        <f>IF(A1131=B1108,"New Revenue Adjustments",IF(AND(C1131=D1108,A1131&lt;B1108),"Attrition Necessary",0))</f>
        <v>0</v>
      </c>
      <c r="E1131" s="522">
        <f t="shared" si="686"/>
        <v>1597437.736100401</v>
      </c>
      <c r="F1131" s="522">
        <f t="shared" si="686"/>
        <v>1597437.736100401</v>
      </c>
      <c r="G1131" s="522">
        <f t="shared" si="686"/>
        <v>1597437.736100401</v>
      </c>
      <c r="H1131" s="522">
        <f t="shared" si="686"/>
        <v>1597437.736100401</v>
      </c>
      <c r="I1131" s="522">
        <f t="shared" si="686"/>
        <v>1597437.736100401</v>
      </c>
      <c r="J1131" s="522">
        <f t="shared" si="686"/>
        <v>1597437.736100401</v>
      </c>
      <c r="K1131" s="522">
        <f t="shared" si="686"/>
        <v>1597437.736100401</v>
      </c>
      <c r="L1131" s="522">
        <f t="shared" si="686"/>
        <v>1597437.736100401</v>
      </c>
      <c r="M1131" s="522">
        <f t="shared" si="686"/>
        <v>1597437.736100401</v>
      </c>
      <c r="N1131" s="522">
        <f t="shared" si="686"/>
        <v>1597437.736100401</v>
      </c>
      <c r="O1131" s="410" t="s">
        <v>1883</v>
      </c>
    </row>
    <row r="1132" spans="1:15" s="217" customFormat="1">
      <c r="A1132" s="217">
        <v>10</v>
      </c>
      <c r="B1132" s="10" t="s">
        <v>405</v>
      </c>
      <c r="C1132" s="11" t="s">
        <v>900</v>
      </c>
      <c r="D1132" s="217" t="str">
        <f>IF(A1132=B1108,"New Revenue Adjustments",IF(AND(C1132=D1108,A1132&lt;B1108),"Attrition Necessary",0))</f>
        <v>Attrition Necessary</v>
      </c>
      <c r="E1132" s="522">
        <f t="shared" si="686"/>
        <v>2301063.6958912676</v>
      </c>
      <c r="F1132" s="522">
        <f t="shared" si="686"/>
        <v>2301063.6958912676</v>
      </c>
      <c r="G1132" s="522">
        <f t="shared" si="686"/>
        <v>2301063.6958912676</v>
      </c>
      <c r="H1132" s="522">
        <f t="shared" si="686"/>
        <v>2301063.6958912676</v>
      </c>
      <c r="I1132" s="522">
        <f t="shared" si="686"/>
        <v>2301063.6958912676</v>
      </c>
      <c r="J1132" s="522">
        <f t="shared" si="686"/>
        <v>2301063.6958912676</v>
      </c>
      <c r="K1132" s="522">
        <f t="shared" si="686"/>
        <v>2301063.6958912676</v>
      </c>
      <c r="L1132" s="522">
        <f t="shared" si="686"/>
        <v>2301063.6958912676</v>
      </c>
      <c r="M1132" s="522">
        <f t="shared" si="686"/>
        <v>2301063.6958912676</v>
      </c>
      <c r="N1132" s="522">
        <f t="shared" si="686"/>
        <v>2301063.6958912676</v>
      </c>
      <c r="O1132" s="410" t="s">
        <v>1884</v>
      </c>
    </row>
    <row r="1133" spans="1:15" s="217" customFormat="1">
      <c r="A1133" s="217">
        <v>11</v>
      </c>
      <c r="B1133" s="10" t="s">
        <v>405</v>
      </c>
      <c r="C1133" s="11" t="s">
        <v>901</v>
      </c>
      <c r="D1133" s="217">
        <f>IF(A1133=B1108,"New Revenue Adjustments",IF(AND(C1133=D1108,A1133&lt;B1108),"Attrition Necessary",0))</f>
        <v>0</v>
      </c>
      <c r="E1133" s="522">
        <f t="shared" ref="E1133:N1142" si="687">IF($B$1108&gt;$A1133,INDEX(calcY2Q1RevFlow,$A1133,calcTeamNum)*(IF($D1133="Attrition Necessary",1-calcQ2AttritionDifference,1)*(IF($D1133="New Revenue Adjustments",1+calcY2Q2RevenueAdjustment,1))),INDEX(dataY2Q2Rev,$A1133,)*(IF($D1133="Attrition Necessary",1-calcQ2AttritionDifference,1))*(IF($D1133="New Revenue Adjustments",1+calcY2Q2RevenueAdjustment,1)))</f>
        <v>3548920.5788323022</v>
      </c>
      <c r="F1133" s="522">
        <f t="shared" si="687"/>
        <v>3548920.5788323022</v>
      </c>
      <c r="G1133" s="522">
        <f t="shared" si="687"/>
        <v>3548920.5788323022</v>
      </c>
      <c r="H1133" s="522">
        <f t="shared" si="687"/>
        <v>3548920.5788323022</v>
      </c>
      <c r="I1133" s="522">
        <f t="shared" si="687"/>
        <v>3548920.5788323022</v>
      </c>
      <c r="J1133" s="522">
        <f t="shared" si="687"/>
        <v>3548920.5788323022</v>
      </c>
      <c r="K1133" s="522">
        <f t="shared" si="687"/>
        <v>3548920.5788323022</v>
      </c>
      <c r="L1133" s="522">
        <f t="shared" si="687"/>
        <v>3548920.5788323022</v>
      </c>
      <c r="M1133" s="522">
        <f t="shared" si="687"/>
        <v>3548920.5788323022</v>
      </c>
      <c r="N1133" s="522">
        <f t="shared" si="687"/>
        <v>3548920.5788323022</v>
      </c>
      <c r="O1133" s="410" t="s">
        <v>1885</v>
      </c>
    </row>
    <row r="1134" spans="1:15" s="217" customFormat="1">
      <c r="A1134" s="217">
        <v>12</v>
      </c>
      <c r="B1134" s="10" t="s">
        <v>405</v>
      </c>
      <c r="C1134" s="11" t="s">
        <v>902</v>
      </c>
      <c r="D1134" s="217">
        <f>IF(A1134=B1108,"New Revenue Adjustments",IF(AND(C1134=D1108,A1134&lt;B1108),"Attrition Necessary",0))</f>
        <v>0</v>
      </c>
      <c r="E1134" s="522">
        <f t="shared" si="687"/>
        <v>5219000.8512239736</v>
      </c>
      <c r="F1134" s="522">
        <f t="shared" si="687"/>
        <v>5219000.8512239736</v>
      </c>
      <c r="G1134" s="522">
        <f t="shared" si="687"/>
        <v>5219000.8512239736</v>
      </c>
      <c r="H1134" s="522">
        <f t="shared" si="687"/>
        <v>5219000.8512239736</v>
      </c>
      <c r="I1134" s="522">
        <f t="shared" si="687"/>
        <v>5219000.8512239736</v>
      </c>
      <c r="J1134" s="522">
        <f t="shared" si="687"/>
        <v>5219000.8512239736</v>
      </c>
      <c r="K1134" s="522">
        <f t="shared" si="687"/>
        <v>5219000.8512239736</v>
      </c>
      <c r="L1134" s="522">
        <f t="shared" si="687"/>
        <v>5219000.8512239736</v>
      </c>
      <c r="M1134" s="522">
        <f t="shared" si="687"/>
        <v>5219000.8512239736</v>
      </c>
      <c r="N1134" s="522">
        <f t="shared" si="687"/>
        <v>5219000.8512239736</v>
      </c>
      <c r="O1134" s="410" t="s">
        <v>1886</v>
      </c>
    </row>
    <row r="1135" spans="1:15" s="217" customFormat="1">
      <c r="A1135" s="217">
        <v>13</v>
      </c>
      <c r="B1135" s="10" t="s">
        <v>1278</v>
      </c>
      <c r="C1135" s="11" t="s">
        <v>899</v>
      </c>
      <c r="D1135" s="217">
        <f>IF(A1135=B1108,"New Revenue Adjustments",IF(AND(C1135=D1108,A1135&lt;B1108),"Attrition Necessary",0))</f>
        <v>0</v>
      </c>
      <c r="E1135" s="522">
        <f t="shared" si="687"/>
        <v>2348550.3830507882</v>
      </c>
      <c r="F1135" s="522">
        <f t="shared" si="687"/>
        <v>2348550.3830507882</v>
      </c>
      <c r="G1135" s="522">
        <f t="shared" si="687"/>
        <v>2348550.3830507882</v>
      </c>
      <c r="H1135" s="522">
        <f t="shared" si="687"/>
        <v>2348550.3830507882</v>
      </c>
      <c r="I1135" s="522">
        <f t="shared" si="687"/>
        <v>2348550.3830507882</v>
      </c>
      <c r="J1135" s="522">
        <f t="shared" si="687"/>
        <v>2348550.3830507882</v>
      </c>
      <c r="K1135" s="522">
        <f t="shared" si="687"/>
        <v>2348550.3830507882</v>
      </c>
      <c r="L1135" s="522">
        <f t="shared" si="687"/>
        <v>2348550.3830507882</v>
      </c>
      <c r="M1135" s="522">
        <f t="shared" si="687"/>
        <v>2348550.3830507882</v>
      </c>
      <c r="N1135" s="522">
        <f t="shared" si="687"/>
        <v>2348550.3830507882</v>
      </c>
      <c r="O1135" s="410" t="s">
        <v>1887</v>
      </c>
    </row>
    <row r="1136" spans="1:15" s="217" customFormat="1">
      <c r="A1136" s="217">
        <v>14</v>
      </c>
      <c r="B1136" s="10" t="s">
        <v>1278</v>
      </c>
      <c r="C1136" s="11" t="s">
        <v>900</v>
      </c>
      <c r="D1136" s="217" t="str">
        <f>IF(A1136=B1108,"New Revenue Adjustments",IF(AND(C1136=D1108,A1136&lt;B1108),"Attrition Necessary",0))</f>
        <v>Attrition Necessary</v>
      </c>
      <c r="E1136" s="522">
        <f t="shared" si="687"/>
        <v>2870450.4681731849</v>
      </c>
      <c r="F1136" s="522">
        <f t="shared" si="687"/>
        <v>2870450.4681731849</v>
      </c>
      <c r="G1136" s="522">
        <f t="shared" si="687"/>
        <v>2870450.4681731849</v>
      </c>
      <c r="H1136" s="522">
        <f t="shared" si="687"/>
        <v>2870450.4681731849</v>
      </c>
      <c r="I1136" s="522">
        <f t="shared" si="687"/>
        <v>2870450.4681731849</v>
      </c>
      <c r="J1136" s="522">
        <f t="shared" si="687"/>
        <v>2870450.4681731849</v>
      </c>
      <c r="K1136" s="522">
        <f t="shared" si="687"/>
        <v>2870450.4681731849</v>
      </c>
      <c r="L1136" s="522">
        <f t="shared" si="687"/>
        <v>2870450.4681731849</v>
      </c>
      <c r="M1136" s="522">
        <f t="shared" si="687"/>
        <v>2870450.4681731849</v>
      </c>
      <c r="N1136" s="522">
        <f t="shared" si="687"/>
        <v>2870450.4681731849</v>
      </c>
      <c r="O1136" s="410" t="s">
        <v>1888</v>
      </c>
    </row>
    <row r="1137" spans="1:15" s="217" customFormat="1">
      <c r="A1137" s="217">
        <v>15</v>
      </c>
      <c r="B1137" s="10" t="s">
        <v>1278</v>
      </c>
      <c r="C1137" s="11" t="s">
        <v>901</v>
      </c>
      <c r="D1137" s="217">
        <f>IF(A1137=B1108,"New Revenue Adjustments",IF(AND(C1137=D1108,A1137&lt;B1108),"Attrition Necessary",0))</f>
        <v>0</v>
      </c>
      <c r="E1137" s="522">
        <f t="shared" si="687"/>
        <v>4427083.333333334</v>
      </c>
      <c r="F1137" s="522">
        <f t="shared" si="687"/>
        <v>4427083.333333334</v>
      </c>
      <c r="G1137" s="522">
        <f t="shared" si="687"/>
        <v>4427083.333333334</v>
      </c>
      <c r="H1137" s="522">
        <f t="shared" si="687"/>
        <v>4427083.333333334</v>
      </c>
      <c r="I1137" s="522">
        <f t="shared" si="687"/>
        <v>4427083.333333334</v>
      </c>
      <c r="J1137" s="522">
        <f t="shared" si="687"/>
        <v>4427083.333333334</v>
      </c>
      <c r="K1137" s="522">
        <f t="shared" si="687"/>
        <v>4427083.333333334</v>
      </c>
      <c r="L1137" s="522">
        <f t="shared" si="687"/>
        <v>4427083.333333334</v>
      </c>
      <c r="M1137" s="522">
        <f t="shared" si="687"/>
        <v>4427083.333333334</v>
      </c>
      <c r="N1137" s="522">
        <f t="shared" si="687"/>
        <v>4427083.333333334</v>
      </c>
      <c r="O1137" s="410" t="s">
        <v>1889</v>
      </c>
    </row>
    <row r="1138" spans="1:15" s="217" customFormat="1">
      <c r="A1138" s="217">
        <v>16</v>
      </c>
      <c r="B1138" s="10" t="s">
        <v>1278</v>
      </c>
      <c r="C1138" s="11" t="s">
        <v>902</v>
      </c>
      <c r="D1138" s="217">
        <f>IF(A1138=B1108,"New Revenue Adjustments",IF(AND(C1138=D1108,A1138&lt;B1108),"Attrition Necessary",0))</f>
        <v>0</v>
      </c>
      <c r="E1138" s="522">
        <f t="shared" si="687"/>
        <v>6510416.666666666</v>
      </c>
      <c r="F1138" s="522">
        <f t="shared" si="687"/>
        <v>6510416.666666666</v>
      </c>
      <c r="G1138" s="522">
        <f t="shared" si="687"/>
        <v>6510416.666666666</v>
      </c>
      <c r="H1138" s="522">
        <f t="shared" si="687"/>
        <v>6510416.666666666</v>
      </c>
      <c r="I1138" s="522">
        <f t="shared" si="687"/>
        <v>6510416.666666666</v>
      </c>
      <c r="J1138" s="522">
        <f t="shared" si="687"/>
        <v>6510416.666666666</v>
      </c>
      <c r="K1138" s="522">
        <f t="shared" si="687"/>
        <v>6510416.666666666</v>
      </c>
      <c r="L1138" s="522">
        <f t="shared" si="687"/>
        <v>6510416.666666666</v>
      </c>
      <c r="M1138" s="522">
        <f t="shared" si="687"/>
        <v>6510416.666666666</v>
      </c>
      <c r="N1138" s="522">
        <f t="shared" si="687"/>
        <v>6510416.666666666</v>
      </c>
      <c r="O1138" s="410" t="s">
        <v>1890</v>
      </c>
    </row>
    <row r="1139" spans="1:15" s="217" customFormat="1">
      <c r="A1139" s="217">
        <v>17</v>
      </c>
      <c r="B1139" s="10" t="s">
        <v>1279</v>
      </c>
      <c r="C1139" s="11" t="s">
        <v>899</v>
      </c>
      <c r="D1139" s="217">
        <f>IF(A1139=B1108,"New Revenue Adjustments",IF(AND(C1139=D1108,A1139&lt;B1108),"Attrition Necessary",0))</f>
        <v>0</v>
      </c>
      <c r="E1139" s="522">
        <f t="shared" si="687"/>
        <v>2929687.5</v>
      </c>
      <c r="F1139" s="522">
        <f t="shared" si="687"/>
        <v>2929687.5</v>
      </c>
      <c r="G1139" s="522">
        <f t="shared" si="687"/>
        <v>2929687.5</v>
      </c>
      <c r="H1139" s="522">
        <f t="shared" si="687"/>
        <v>2929687.5</v>
      </c>
      <c r="I1139" s="522">
        <f t="shared" si="687"/>
        <v>2929687.5</v>
      </c>
      <c r="J1139" s="522">
        <f t="shared" si="687"/>
        <v>2929687.5</v>
      </c>
      <c r="K1139" s="522">
        <f t="shared" si="687"/>
        <v>2929687.5</v>
      </c>
      <c r="L1139" s="522">
        <f t="shared" si="687"/>
        <v>2929687.5</v>
      </c>
      <c r="M1139" s="522">
        <f t="shared" si="687"/>
        <v>2929687.5</v>
      </c>
      <c r="N1139" s="522">
        <f t="shared" si="687"/>
        <v>2929687.5</v>
      </c>
      <c r="O1139" s="410" t="s">
        <v>1891</v>
      </c>
    </row>
    <row r="1140" spans="1:15" s="217" customFormat="1">
      <c r="A1140" s="217">
        <v>18</v>
      </c>
      <c r="B1140" s="10" t="s">
        <v>1279</v>
      </c>
      <c r="C1140" s="11" t="s">
        <v>900</v>
      </c>
      <c r="D1140" s="217" t="str">
        <f>IF(A1140=B1108,"New Revenue Adjustments",IF(AND(C1140=D1108,A1140&lt;B1108),"Attrition Necessary",0))</f>
        <v>New Revenue Adjustments</v>
      </c>
      <c r="E1140" s="522">
        <f t="shared" si="687"/>
        <v>3580729.166666666</v>
      </c>
      <c r="F1140" s="522">
        <f t="shared" si="687"/>
        <v>3580729.166666666</v>
      </c>
      <c r="G1140" s="522">
        <f t="shared" si="687"/>
        <v>3580729.166666666</v>
      </c>
      <c r="H1140" s="522">
        <f t="shared" si="687"/>
        <v>3580729.166666666</v>
      </c>
      <c r="I1140" s="522">
        <f t="shared" si="687"/>
        <v>3580729.166666666</v>
      </c>
      <c r="J1140" s="522">
        <f t="shared" si="687"/>
        <v>3580729.166666666</v>
      </c>
      <c r="K1140" s="522">
        <f t="shared" si="687"/>
        <v>3580729.166666666</v>
      </c>
      <c r="L1140" s="522">
        <f t="shared" si="687"/>
        <v>3580729.166666666</v>
      </c>
      <c r="M1140" s="522">
        <f t="shared" si="687"/>
        <v>3580729.166666666</v>
      </c>
      <c r="N1140" s="522">
        <f t="shared" si="687"/>
        <v>3580729.166666666</v>
      </c>
      <c r="O1140" s="410" t="s">
        <v>1892</v>
      </c>
    </row>
    <row r="1141" spans="1:15" s="217" customFormat="1">
      <c r="A1141" s="217">
        <v>19</v>
      </c>
      <c r="B1141" s="10" t="s">
        <v>1279</v>
      </c>
      <c r="C1141" s="11" t="s">
        <v>901</v>
      </c>
      <c r="D1141" s="217">
        <f>IF(A1141=B1108,"New Revenue Adjustments",IF(AND(C1141=D1108,A1141&lt;B1108),"Attrition Necessary",0))</f>
        <v>0</v>
      </c>
      <c r="E1141" s="522">
        <f t="shared" si="687"/>
        <v>0</v>
      </c>
      <c r="F1141" s="522">
        <f t="shared" si="687"/>
        <v>0</v>
      </c>
      <c r="G1141" s="522">
        <f t="shared" si="687"/>
        <v>0</v>
      </c>
      <c r="H1141" s="522">
        <f t="shared" si="687"/>
        <v>0</v>
      </c>
      <c r="I1141" s="522">
        <f t="shared" si="687"/>
        <v>0</v>
      </c>
      <c r="J1141" s="522">
        <f t="shared" si="687"/>
        <v>0</v>
      </c>
      <c r="K1141" s="522">
        <f t="shared" si="687"/>
        <v>0</v>
      </c>
      <c r="L1141" s="522">
        <f t="shared" si="687"/>
        <v>0</v>
      </c>
      <c r="M1141" s="522">
        <f t="shared" si="687"/>
        <v>0</v>
      </c>
      <c r="N1141" s="522">
        <f t="shared" si="687"/>
        <v>0</v>
      </c>
      <c r="O1141" s="410" t="s">
        <v>1893</v>
      </c>
    </row>
    <row r="1142" spans="1:15" s="217" customFormat="1">
      <c r="A1142" s="217">
        <v>20</v>
      </c>
      <c r="B1142" s="10" t="s">
        <v>1279</v>
      </c>
      <c r="C1142" s="11" t="s">
        <v>902</v>
      </c>
      <c r="D1142" s="217">
        <f>IF(A1142=B1108,"New Revenue Adjustments",IF(AND(C1142=D1108,A1142&lt;B1108),"Attrition Necessary",0))</f>
        <v>0</v>
      </c>
      <c r="E1142" s="522">
        <f t="shared" si="687"/>
        <v>0</v>
      </c>
      <c r="F1142" s="522">
        <f t="shared" si="687"/>
        <v>0</v>
      </c>
      <c r="G1142" s="522">
        <f t="shared" si="687"/>
        <v>0</v>
      </c>
      <c r="H1142" s="522">
        <f t="shared" si="687"/>
        <v>0</v>
      </c>
      <c r="I1142" s="522">
        <f t="shared" si="687"/>
        <v>0</v>
      </c>
      <c r="J1142" s="522">
        <f t="shared" si="687"/>
        <v>0</v>
      </c>
      <c r="K1142" s="522">
        <f t="shared" si="687"/>
        <v>0</v>
      </c>
      <c r="L1142" s="522">
        <f t="shared" si="687"/>
        <v>0</v>
      </c>
      <c r="M1142" s="522">
        <f t="shared" si="687"/>
        <v>0</v>
      </c>
      <c r="N1142" s="522">
        <f t="shared" si="687"/>
        <v>0</v>
      </c>
      <c r="O1142" s="410" t="s">
        <v>1894</v>
      </c>
    </row>
    <row r="1143" spans="1:15" s="217" customFormat="1">
      <c r="A1143" s="217">
        <v>21</v>
      </c>
      <c r="B1143" s="10" t="s">
        <v>2052</v>
      </c>
      <c r="C1143" s="11" t="s">
        <v>899</v>
      </c>
      <c r="D1143" s="217">
        <f>IF(A1143=B1108,"New Revenue Adjustments",IF(AND(C1143=D1108,A1143&lt;B1108),"Attrition Necessary",0))</f>
        <v>0</v>
      </c>
      <c r="E1143" s="522">
        <f t="shared" ref="E1143:N1154" si="688">IF($B$1108&gt;$A1143,INDEX(calcY2Q1RevFlow,$A1143,calcTeamNum)*(IF($D1143="Attrition Necessary",1-calcQ2AttritionDifference,1)*(IF($D1143="New Revenue Adjustments",1+calcY2Q2RevenueAdjustment,1))),INDEX(dataY2Q2Rev,$A1143,)*(IF($D1143="Attrition Necessary",1-calcQ2AttritionDifference,1))*(IF($D1143="New Revenue Adjustments",1+calcY2Q2RevenueAdjustment,1)))</f>
        <v>0</v>
      </c>
      <c r="F1143" s="522">
        <f t="shared" si="688"/>
        <v>0</v>
      </c>
      <c r="G1143" s="522">
        <f t="shared" si="688"/>
        <v>0</v>
      </c>
      <c r="H1143" s="522">
        <f t="shared" si="688"/>
        <v>0</v>
      </c>
      <c r="I1143" s="522">
        <f t="shared" si="688"/>
        <v>0</v>
      </c>
      <c r="J1143" s="522">
        <f t="shared" si="688"/>
        <v>0</v>
      </c>
      <c r="K1143" s="522">
        <f t="shared" si="688"/>
        <v>0</v>
      </c>
      <c r="L1143" s="522">
        <f t="shared" si="688"/>
        <v>0</v>
      </c>
      <c r="M1143" s="522">
        <f t="shared" si="688"/>
        <v>0</v>
      </c>
      <c r="N1143" s="522">
        <f t="shared" si="688"/>
        <v>0</v>
      </c>
      <c r="O1143" s="410" t="s">
        <v>2478</v>
      </c>
    </row>
    <row r="1144" spans="1:15" s="217" customFormat="1">
      <c r="A1144" s="217">
        <v>22</v>
      </c>
      <c r="B1144" s="10" t="s">
        <v>2052</v>
      </c>
      <c r="C1144" s="11" t="s">
        <v>900</v>
      </c>
      <c r="D1144" s="217">
        <f>IF(A1144=B1108,"New Revenue Adjustments",IF(AND(C1144=D1108,A1144&lt;B1108),"Attrition Necessary",0))</f>
        <v>0</v>
      </c>
      <c r="E1144" s="522">
        <f t="shared" si="688"/>
        <v>0</v>
      </c>
      <c r="F1144" s="522">
        <f t="shared" si="688"/>
        <v>0</v>
      </c>
      <c r="G1144" s="522">
        <f t="shared" si="688"/>
        <v>0</v>
      </c>
      <c r="H1144" s="522">
        <f t="shared" si="688"/>
        <v>0</v>
      </c>
      <c r="I1144" s="522">
        <f t="shared" si="688"/>
        <v>0</v>
      </c>
      <c r="J1144" s="522">
        <f t="shared" si="688"/>
        <v>0</v>
      </c>
      <c r="K1144" s="522">
        <f t="shared" si="688"/>
        <v>0</v>
      </c>
      <c r="L1144" s="522">
        <f t="shared" si="688"/>
        <v>0</v>
      </c>
      <c r="M1144" s="522">
        <f t="shared" si="688"/>
        <v>0</v>
      </c>
      <c r="N1144" s="522">
        <f t="shared" si="688"/>
        <v>0</v>
      </c>
      <c r="O1144" s="410" t="s">
        <v>2479</v>
      </c>
    </row>
    <row r="1145" spans="1:15" s="217" customFormat="1">
      <c r="A1145" s="217">
        <v>23</v>
      </c>
      <c r="B1145" s="10" t="s">
        <v>2052</v>
      </c>
      <c r="C1145" s="11" t="s">
        <v>901</v>
      </c>
      <c r="D1145" s="217">
        <f>IF(A1145=B1108,"New Revenue Adjustments",IF(AND(C1145=D1108,A1145&lt;B1108),"Attrition Necessary",0))</f>
        <v>0</v>
      </c>
      <c r="E1145" s="522">
        <f t="shared" si="688"/>
        <v>0</v>
      </c>
      <c r="F1145" s="522">
        <f t="shared" si="688"/>
        <v>0</v>
      </c>
      <c r="G1145" s="522">
        <f t="shared" si="688"/>
        <v>0</v>
      </c>
      <c r="H1145" s="522">
        <f t="shared" si="688"/>
        <v>0</v>
      </c>
      <c r="I1145" s="522">
        <f t="shared" si="688"/>
        <v>0</v>
      </c>
      <c r="J1145" s="522">
        <f t="shared" si="688"/>
        <v>0</v>
      </c>
      <c r="K1145" s="522">
        <f t="shared" si="688"/>
        <v>0</v>
      </c>
      <c r="L1145" s="522">
        <f t="shared" si="688"/>
        <v>0</v>
      </c>
      <c r="M1145" s="522">
        <f t="shared" si="688"/>
        <v>0</v>
      </c>
      <c r="N1145" s="522">
        <f t="shared" si="688"/>
        <v>0</v>
      </c>
      <c r="O1145" s="410" t="s">
        <v>2480</v>
      </c>
    </row>
    <row r="1146" spans="1:15" s="217" customFormat="1">
      <c r="A1146" s="217">
        <v>24</v>
      </c>
      <c r="B1146" s="10" t="s">
        <v>2052</v>
      </c>
      <c r="C1146" s="11" t="s">
        <v>902</v>
      </c>
      <c r="D1146" s="217">
        <f>IF(A1146=B1108,"New Revenue Adjustments",IF(AND(C1146=D1108,A1146&lt;B1108),"Attrition Necessary",0))</f>
        <v>0</v>
      </c>
      <c r="E1146" s="522">
        <f t="shared" si="688"/>
        <v>0</v>
      </c>
      <c r="F1146" s="522">
        <f t="shared" si="688"/>
        <v>0</v>
      </c>
      <c r="G1146" s="522">
        <f t="shared" si="688"/>
        <v>0</v>
      </c>
      <c r="H1146" s="522">
        <f t="shared" si="688"/>
        <v>0</v>
      </c>
      <c r="I1146" s="522">
        <f t="shared" si="688"/>
        <v>0</v>
      </c>
      <c r="J1146" s="522">
        <f t="shared" si="688"/>
        <v>0</v>
      </c>
      <c r="K1146" s="522">
        <f t="shared" si="688"/>
        <v>0</v>
      </c>
      <c r="L1146" s="522">
        <f t="shared" si="688"/>
        <v>0</v>
      </c>
      <c r="M1146" s="522">
        <f t="shared" si="688"/>
        <v>0</v>
      </c>
      <c r="N1146" s="522">
        <f t="shared" si="688"/>
        <v>0</v>
      </c>
      <c r="O1146" s="410" t="s">
        <v>2481</v>
      </c>
    </row>
    <row r="1147" spans="1:15" s="217" customFormat="1">
      <c r="A1147" s="217">
        <v>25</v>
      </c>
      <c r="B1147" s="10" t="s">
        <v>2408</v>
      </c>
      <c r="C1147" s="11" t="s">
        <v>899</v>
      </c>
      <c r="D1147" s="217">
        <f>IF(A1147=B1108,"New Revenue Adjustments",IF(AND(C1147=D1108,A1147&lt;B1108),"Attrition Necessary",0))</f>
        <v>0</v>
      </c>
      <c r="E1147" s="522">
        <f t="shared" si="688"/>
        <v>0</v>
      </c>
      <c r="F1147" s="522">
        <f t="shared" si="688"/>
        <v>0</v>
      </c>
      <c r="G1147" s="522">
        <f t="shared" si="688"/>
        <v>0</v>
      </c>
      <c r="H1147" s="522">
        <f t="shared" si="688"/>
        <v>0</v>
      </c>
      <c r="I1147" s="522">
        <f t="shared" si="688"/>
        <v>0</v>
      </c>
      <c r="J1147" s="522">
        <f t="shared" si="688"/>
        <v>0</v>
      </c>
      <c r="K1147" s="522">
        <f t="shared" si="688"/>
        <v>0</v>
      </c>
      <c r="L1147" s="522">
        <f t="shared" si="688"/>
        <v>0</v>
      </c>
      <c r="M1147" s="522">
        <f t="shared" si="688"/>
        <v>0</v>
      </c>
      <c r="N1147" s="522">
        <f t="shared" si="688"/>
        <v>0</v>
      </c>
      <c r="O1147" s="410" t="s">
        <v>2482</v>
      </c>
    </row>
    <row r="1148" spans="1:15" s="217" customFormat="1">
      <c r="A1148" s="217">
        <v>26</v>
      </c>
      <c r="B1148" s="10" t="s">
        <v>2408</v>
      </c>
      <c r="C1148" s="11" t="s">
        <v>900</v>
      </c>
      <c r="D1148" s="217">
        <f>IF(A1148=B1108,"New Revenue Adjustments",IF(AND(C1148=D1108,A1148&lt;B1108),"Attrition Necessary",0))</f>
        <v>0</v>
      </c>
      <c r="E1148" s="522">
        <f t="shared" si="688"/>
        <v>0</v>
      </c>
      <c r="F1148" s="522">
        <f t="shared" si="688"/>
        <v>0</v>
      </c>
      <c r="G1148" s="522">
        <f t="shared" si="688"/>
        <v>0</v>
      </c>
      <c r="H1148" s="522">
        <f t="shared" si="688"/>
        <v>0</v>
      </c>
      <c r="I1148" s="522">
        <f t="shared" si="688"/>
        <v>0</v>
      </c>
      <c r="J1148" s="522">
        <f t="shared" si="688"/>
        <v>0</v>
      </c>
      <c r="K1148" s="522">
        <f t="shared" si="688"/>
        <v>0</v>
      </c>
      <c r="L1148" s="522">
        <f t="shared" si="688"/>
        <v>0</v>
      </c>
      <c r="M1148" s="522">
        <f t="shared" si="688"/>
        <v>0</v>
      </c>
      <c r="N1148" s="522">
        <f t="shared" si="688"/>
        <v>0</v>
      </c>
      <c r="O1148" s="410" t="s">
        <v>2483</v>
      </c>
    </row>
    <row r="1149" spans="1:15" s="217" customFormat="1">
      <c r="A1149" s="217">
        <v>27</v>
      </c>
      <c r="B1149" s="10" t="s">
        <v>2408</v>
      </c>
      <c r="C1149" s="11" t="s">
        <v>901</v>
      </c>
      <c r="D1149" s="217">
        <f>IF(A1149=B1108,"New Revenue Adjustments",IF(AND(C1149=D1108,A1149&lt;B1108),"Attrition Necessary",0))</f>
        <v>0</v>
      </c>
      <c r="E1149" s="522">
        <f t="shared" si="688"/>
        <v>0</v>
      </c>
      <c r="F1149" s="522">
        <f t="shared" si="688"/>
        <v>0</v>
      </c>
      <c r="G1149" s="522">
        <f t="shared" si="688"/>
        <v>0</v>
      </c>
      <c r="H1149" s="522">
        <f t="shared" si="688"/>
        <v>0</v>
      </c>
      <c r="I1149" s="522">
        <f t="shared" si="688"/>
        <v>0</v>
      </c>
      <c r="J1149" s="522">
        <f t="shared" si="688"/>
        <v>0</v>
      </c>
      <c r="K1149" s="522">
        <f t="shared" si="688"/>
        <v>0</v>
      </c>
      <c r="L1149" s="522">
        <f t="shared" si="688"/>
        <v>0</v>
      </c>
      <c r="M1149" s="522">
        <f t="shared" si="688"/>
        <v>0</v>
      </c>
      <c r="N1149" s="522">
        <f t="shared" si="688"/>
        <v>0</v>
      </c>
      <c r="O1149" s="410" t="s">
        <v>2484</v>
      </c>
    </row>
    <row r="1150" spans="1:15" s="217" customFormat="1">
      <c r="A1150" s="217">
        <v>28</v>
      </c>
      <c r="B1150" s="10" t="s">
        <v>2408</v>
      </c>
      <c r="C1150" s="11" t="s">
        <v>902</v>
      </c>
      <c r="D1150" s="217">
        <f>IF(A1150=B1108,"New Revenue Adjustments",IF(AND(C1150=D1108,A1150&lt;B1108),"Attrition Necessary",0))</f>
        <v>0</v>
      </c>
      <c r="E1150" s="522">
        <f t="shared" si="688"/>
        <v>0</v>
      </c>
      <c r="F1150" s="522">
        <f t="shared" si="688"/>
        <v>0</v>
      </c>
      <c r="G1150" s="522">
        <f t="shared" si="688"/>
        <v>0</v>
      </c>
      <c r="H1150" s="522">
        <f t="shared" si="688"/>
        <v>0</v>
      </c>
      <c r="I1150" s="522">
        <f t="shared" si="688"/>
        <v>0</v>
      </c>
      <c r="J1150" s="522">
        <f t="shared" si="688"/>
        <v>0</v>
      </c>
      <c r="K1150" s="522">
        <f t="shared" si="688"/>
        <v>0</v>
      </c>
      <c r="L1150" s="522">
        <f t="shared" si="688"/>
        <v>0</v>
      </c>
      <c r="M1150" s="522">
        <f t="shared" si="688"/>
        <v>0</v>
      </c>
      <c r="N1150" s="522">
        <f t="shared" si="688"/>
        <v>0</v>
      </c>
      <c r="O1150" s="410" t="s">
        <v>2485</v>
      </c>
    </row>
    <row r="1151" spans="1:15" s="217" customFormat="1">
      <c r="A1151" s="217">
        <v>29</v>
      </c>
      <c r="B1151" s="10" t="s">
        <v>2413</v>
      </c>
      <c r="C1151" s="11" t="s">
        <v>899</v>
      </c>
      <c r="D1151" s="217">
        <f>IF(A1151=B1108,"New Revenue Adjustments",IF(AND(C1151=D1108,A1151&lt;B1108),"Attrition Necessary",0))</f>
        <v>0</v>
      </c>
      <c r="E1151" s="522">
        <f t="shared" si="688"/>
        <v>0</v>
      </c>
      <c r="F1151" s="522">
        <f t="shared" si="688"/>
        <v>0</v>
      </c>
      <c r="G1151" s="522">
        <f t="shared" si="688"/>
        <v>0</v>
      </c>
      <c r="H1151" s="522">
        <f t="shared" si="688"/>
        <v>0</v>
      </c>
      <c r="I1151" s="522">
        <f t="shared" si="688"/>
        <v>0</v>
      </c>
      <c r="J1151" s="522">
        <f t="shared" si="688"/>
        <v>0</v>
      </c>
      <c r="K1151" s="522">
        <f t="shared" si="688"/>
        <v>0</v>
      </c>
      <c r="L1151" s="522">
        <f t="shared" si="688"/>
        <v>0</v>
      </c>
      <c r="M1151" s="522">
        <f t="shared" si="688"/>
        <v>0</v>
      </c>
      <c r="N1151" s="522">
        <f t="shared" si="688"/>
        <v>0</v>
      </c>
      <c r="O1151" s="410" t="s">
        <v>2486</v>
      </c>
    </row>
    <row r="1152" spans="1:15" s="217" customFormat="1">
      <c r="A1152" s="217">
        <v>30</v>
      </c>
      <c r="B1152" s="10" t="s">
        <v>2413</v>
      </c>
      <c r="C1152" s="11" t="s">
        <v>900</v>
      </c>
      <c r="D1152" s="217">
        <f>IF(A1152=B1108,"New Revenue Adjustments",IF(AND(C1152=D1108,A1152&lt;B1108),"Attrition Necessary",0))</f>
        <v>0</v>
      </c>
      <c r="E1152" s="522">
        <f t="shared" si="688"/>
        <v>0</v>
      </c>
      <c r="F1152" s="522">
        <f t="shared" si="688"/>
        <v>0</v>
      </c>
      <c r="G1152" s="522">
        <f t="shared" si="688"/>
        <v>0</v>
      </c>
      <c r="H1152" s="522">
        <f t="shared" si="688"/>
        <v>0</v>
      </c>
      <c r="I1152" s="522">
        <f t="shared" si="688"/>
        <v>0</v>
      </c>
      <c r="J1152" s="522">
        <f t="shared" si="688"/>
        <v>0</v>
      </c>
      <c r="K1152" s="522">
        <f t="shared" si="688"/>
        <v>0</v>
      </c>
      <c r="L1152" s="522">
        <f t="shared" si="688"/>
        <v>0</v>
      </c>
      <c r="M1152" s="522">
        <f t="shared" si="688"/>
        <v>0</v>
      </c>
      <c r="N1152" s="522">
        <f t="shared" si="688"/>
        <v>0</v>
      </c>
      <c r="O1152" s="410" t="s">
        <v>2487</v>
      </c>
    </row>
    <row r="1153" spans="1:17" s="217" customFormat="1">
      <c r="A1153" s="217">
        <v>31</v>
      </c>
      <c r="B1153" s="10" t="s">
        <v>2413</v>
      </c>
      <c r="C1153" s="11" t="s">
        <v>901</v>
      </c>
      <c r="D1153" s="217">
        <f>IF(A1153=B1108,"New Revenue Adjustments",IF(AND(C1153=D1108,A1153&lt;B1108),"Attrition Necessary",0))</f>
        <v>0</v>
      </c>
      <c r="E1153" s="522">
        <f t="shared" si="688"/>
        <v>0</v>
      </c>
      <c r="F1153" s="522">
        <f t="shared" si="688"/>
        <v>0</v>
      </c>
      <c r="G1153" s="522">
        <f t="shared" si="688"/>
        <v>0</v>
      </c>
      <c r="H1153" s="522">
        <f t="shared" si="688"/>
        <v>0</v>
      </c>
      <c r="I1153" s="522">
        <f t="shared" si="688"/>
        <v>0</v>
      </c>
      <c r="J1153" s="522">
        <f t="shared" si="688"/>
        <v>0</v>
      </c>
      <c r="K1153" s="522">
        <f t="shared" si="688"/>
        <v>0</v>
      </c>
      <c r="L1153" s="522">
        <f t="shared" si="688"/>
        <v>0</v>
      </c>
      <c r="M1153" s="522">
        <f t="shared" si="688"/>
        <v>0</v>
      </c>
      <c r="N1153" s="522">
        <f t="shared" si="688"/>
        <v>0</v>
      </c>
      <c r="O1153" s="410" t="s">
        <v>2488</v>
      </c>
    </row>
    <row r="1154" spans="1:17" s="217" customFormat="1">
      <c r="A1154" s="217">
        <v>32</v>
      </c>
      <c r="B1154" s="10" t="s">
        <v>2413</v>
      </c>
      <c r="C1154" s="11" t="s">
        <v>902</v>
      </c>
      <c r="D1154" s="217">
        <f>IF(A1154=B1108,"New Revenue Adjustments",IF(AND(C1154=D1108,A1154&lt;B1108),"Attrition Necessary",0))</f>
        <v>0</v>
      </c>
      <c r="E1154" s="522">
        <f t="shared" si="688"/>
        <v>0</v>
      </c>
      <c r="F1154" s="522">
        <f t="shared" si="688"/>
        <v>0</v>
      </c>
      <c r="G1154" s="522">
        <f t="shared" si="688"/>
        <v>0</v>
      </c>
      <c r="H1154" s="522">
        <f t="shared" si="688"/>
        <v>0</v>
      </c>
      <c r="I1154" s="522">
        <f t="shared" si="688"/>
        <v>0</v>
      </c>
      <c r="J1154" s="522">
        <f t="shared" si="688"/>
        <v>0</v>
      </c>
      <c r="K1154" s="522">
        <f t="shared" si="688"/>
        <v>0</v>
      </c>
      <c r="L1154" s="522">
        <f t="shared" si="688"/>
        <v>0</v>
      </c>
      <c r="M1154" s="522">
        <f t="shared" si="688"/>
        <v>0</v>
      </c>
      <c r="N1154" s="522">
        <f t="shared" si="688"/>
        <v>0</v>
      </c>
      <c r="O1154" s="410" t="s">
        <v>2489</v>
      </c>
    </row>
    <row r="1155" spans="1:17" s="217" customFormat="1">
      <c r="D1155" s="217" t="s">
        <v>906</v>
      </c>
      <c r="E1155" s="427">
        <f>SUM(E1123:E1154)</f>
        <v>51348833.619274132</v>
      </c>
      <c r="F1155" s="427">
        <f t="shared" ref="F1155:I1155" si="689">SUM(F1123:F1154)</f>
        <v>51348833.619274132</v>
      </c>
      <c r="G1155" s="427">
        <f t="shared" si="689"/>
        <v>51348833.619274132</v>
      </c>
      <c r="H1155" s="427">
        <f t="shared" si="689"/>
        <v>51348833.619274132</v>
      </c>
      <c r="I1155" s="427">
        <f t="shared" si="689"/>
        <v>51348833.619274132</v>
      </c>
      <c r="J1155" s="427">
        <f t="shared" ref="J1155:N1155" si="690">SUM(J1123:J1154)</f>
        <v>51348833.619274132</v>
      </c>
      <c r="K1155" s="427">
        <f t="shared" si="690"/>
        <v>51348833.619274132</v>
      </c>
      <c r="L1155" s="427">
        <f t="shared" si="690"/>
        <v>51348833.619274132</v>
      </c>
      <c r="M1155" s="427">
        <f t="shared" si="690"/>
        <v>51348833.619274132</v>
      </c>
      <c r="N1155" s="427">
        <f t="shared" si="690"/>
        <v>51348833.619274132</v>
      </c>
      <c r="O1155" s="217" t="s">
        <v>1432</v>
      </c>
    </row>
    <row r="1156" spans="1:17" s="217" customFormat="1">
      <c r="E1156" s="409"/>
      <c r="F1156" s="409"/>
      <c r="G1156" s="409"/>
      <c r="H1156" s="409"/>
      <c r="I1156" s="409"/>
      <c r="J1156" s="409"/>
      <c r="K1156" s="409"/>
      <c r="L1156" s="409"/>
      <c r="M1156" s="409"/>
      <c r="N1156" s="409"/>
    </row>
    <row r="1157" spans="1:17">
      <c r="A1157" s="217"/>
      <c r="B1157" s="69">
        <v>19</v>
      </c>
      <c r="C1157" s="217" t="s">
        <v>1279</v>
      </c>
      <c r="D1157" s="217" t="s">
        <v>901</v>
      </c>
    </row>
    <row r="1158" spans="1:17" s="217" customFormat="1">
      <c r="C1158" s="217" t="s">
        <v>1736</v>
      </c>
      <c r="E1158" s="409"/>
      <c r="F1158" s="409"/>
      <c r="G1158" s="409"/>
      <c r="H1158" s="409"/>
      <c r="I1158" s="409"/>
      <c r="J1158" s="409"/>
      <c r="K1158" s="409"/>
      <c r="L1158" s="409"/>
      <c r="M1158" s="409"/>
      <c r="N1158" s="409"/>
    </row>
    <row r="1159" spans="1:17" s="410" customFormat="1">
      <c r="D1159" s="410" t="s">
        <v>1754</v>
      </c>
      <c r="E1159" s="547">
        <f t="shared" ref="E1159:N1159" si="691">FORECAST(calcNPS,datatblNPSAttrition,datatblNPSScore)</f>
        <v>0.14946428571428572</v>
      </c>
      <c r="F1159" s="547">
        <f t="shared" si="691"/>
        <v>0.14946428571428572</v>
      </c>
      <c r="G1159" s="547">
        <f t="shared" si="691"/>
        <v>0.14946428571428572</v>
      </c>
      <c r="H1159" s="547">
        <f t="shared" si="691"/>
        <v>0.14946428571428572</v>
      </c>
      <c r="I1159" s="547">
        <f t="shared" si="691"/>
        <v>0.14946428571428572</v>
      </c>
      <c r="J1159" s="547">
        <f t="shared" si="691"/>
        <v>0.14946428571428572</v>
      </c>
      <c r="K1159" s="547">
        <f t="shared" si="691"/>
        <v>0.14946428571428572</v>
      </c>
      <c r="L1159" s="547">
        <f t="shared" si="691"/>
        <v>0.14946428571428572</v>
      </c>
      <c r="M1159" s="547">
        <f t="shared" si="691"/>
        <v>0.14946428571428572</v>
      </c>
      <c r="N1159" s="547">
        <f t="shared" si="691"/>
        <v>0.14946428571428572</v>
      </c>
    </row>
    <row r="1160" spans="1:17" s="410" customFormat="1">
      <c r="D1160" s="410" t="s">
        <v>1753</v>
      </c>
      <c r="E1160" s="547">
        <f>Data!$D$277</f>
        <v>0.1515124491492886</v>
      </c>
      <c r="F1160" s="547">
        <f>Data!$D$277</f>
        <v>0.1515124491492886</v>
      </c>
      <c r="G1160" s="547">
        <f>Data!$D$277</f>
        <v>0.1515124491492886</v>
      </c>
      <c r="H1160" s="547">
        <f>Data!$D$277</f>
        <v>0.1515124491492886</v>
      </c>
      <c r="I1160" s="547">
        <f>Data!$D$277</f>
        <v>0.1515124491492886</v>
      </c>
      <c r="J1160" s="547">
        <f>Data!$D$277</f>
        <v>0.1515124491492886</v>
      </c>
      <c r="K1160" s="547">
        <f>Data!$D$277</f>
        <v>0.1515124491492886</v>
      </c>
      <c r="L1160" s="547">
        <f>Data!$D$277</f>
        <v>0.1515124491492886</v>
      </c>
      <c r="M1160" s="547">
        <f>Data!$D$277</f>
        <v>0.1515124491492886</v>
      </c>
      <c r="N1160" s="547">
        <f>Data!$D$277</f>
        <v>0.1515124491492886</v>
      </c>
    </row>
    <row r="1161" spans="1:17" s="217" customFormat="1">
      <c r="D1161" s="217" t="s">
        <v>1755</v>
      </c>
      <c r="E1161" s="411">
        <f>E1159-E1160</f>
        <v>-2.0481634350028866E-3</v>
      </c>
      <c r="F1161" s="411">
        <f t="shared" ref="F1161" si="692">F1159-F1160</f>
        <v>-2.0481634350028866E-3</v>
      </c>
      <c r="G1161" s="411">
        <f t="shared" ref="G1161" si="693">G1159-G1160</f>
        <v>-2.0481634350028866E-3</v>
      </c>
      <c r="H1161" s="411">
        <f t="shared" ref="H1161" si="694">H1159-H1160</f>
        <v>-2.0481634350028866E-3</v>
      </c>
      <c r="I1161" s="411">
        <f t="shared" ref="I1161:N1161" si="695">I1159-I1160</f>
        <v>-2.0481634350028866E-3</v>
      </c>
      <c r="J1161" s="411">
        <f t="shared" si="695"/>
        <v>-2.0481634350028866E-3</v>
      </c>
      <c r="K1161" s="411">
        <f t="shared" si="695"/>
        <v>-2.0481634350028866E-3</v>
      </c>
      <c r="L1161" s="411">
        <f t="shared" si="695"/>
        <v>-2.0481634350028866E-3</v>
      </c>
      <c r="M1161" s="411">
        <f t="shared" si="695"/>
        <v>-2.0481634350028866E-3</v>
      </c>
      <c r="N1161" s="411">
        <f t="shared" si="695"/>
        <v>-2.0481634350028866E-3</v>
      </c>
      <c r="O1161" s="217" t="s">
        <v>1771</v>
      </c>
    </row>
    <row r="1162" spans="1:17" s="217" customFormat="1">
      <c r="C1162" s="217" t="s">
        <v>1757</v>
      </c>
      <c r="E1162" s="411"/>
      <c r="F1162" s="411"/>
      <c r="G1162" s="411"/>
      <c r="H1162" s="411"/>
      <c r="I1162" s="411"/>
      <c r="J1162" s="411"/>
      <c r="K1162" s="411"/>
      <c r="L1162" s="411"/>
      <c r="M1162" s="411"/>
      <c r="N1162" s="411"/>
    </row>
    <row r="1163" spans="1:17">
      <c r="D1163" s="69" t="s">
        <v>1151</v>
      </c>
      <c r="E1163" s="425">
        <f>IF(calcOrg62Timeline&lt;=$Q1163,INDEX(datatblOrg62Timeline,MATCH(decGTMOrg62Timeline,Data!$C$106:$C$111,0),2),0)*paramOrg62Impacts</f>
        <v>0</v>
      </c>
      <c r="F1163" s="425">
        <f>IF(calcOrg62Timeline&lt;=$Q1163,INDEX(datatblOrg62Timeline,MATCH(decGTMOrg62Timeline,Data!$C$106:$C$111,0),2),0)*paramOrg62Impacts</f>
        <v>0</v>
      </c>
      <c r="G1163" s="425">
        <f>IF(calcOrg62Timeline&lt;=$Q1163,INDEX(datatblOrg62Timeline,MATCH(decGTMOrg62Timeline,Data!$C$106:$C$111,0),2),0)*paramOrg62Impacts</f>
        <v>0</v>
      </c>
      <c r="H1163" s="425">
        <f>IF(calcOrg62Timeline&lt;=$Q1163,INDEX(datatblOrg62Timeline,MATCH(decGTMOrg62Timeline,Data!$C$106:$C$111,0),2),0)*paramOrg62Impacts</f>
        <v>0</v>
      </c>
      <c r="I1163" s="425">
        <f>IF(calcOrg62Timeline&lt;=$Q1163,INDEX(datatblOrg62Timeline,MATCH(decGTMOrg62Timeline,Data!$C$106:$C$111,0),2),0)*paramOrg62Impacts</f>
        <v>0</v>
      </c>
      <c r="J1163" s="425">
        <f>IF(calcOrg62Timeline&lt;=$Q1163,INDEX(datatblOrg62Timeline,MATCH(decGTMOrg62Timeline,Data!$C$106:$C$111,0),2),0)*paramOrg62Impacts</f>
        <v>0</v>
      </c>
      <c r="K1163" s="425">
        <f>IF(calcOrg62Timeline&lt;=$Q1163,INDEX(datatblOrg62Timeline,MATCH(decGTMOrg62Timeline,Data!$C$106:$C$111,0),2),0)*paramOrg62Impacts</f>
        <v>0</v>
      </c>
      <c r="L1163" s="425">
        <f>IF(calcOrg62Timeline&lt;=$Q1163,INDEX(datatblOrg62Timeline,MATCH(decGTMOrg62Timeline,Data!$C$106:$C$111,0),2),0)*paramOrg62Impacts</f>
        <v>0</v>
      </c>
      <c r="M1163" s="425">
        <f>IF(calcOrg62Timeline&lt;=$Q1163,INDEX(datatblOrg62Timeline,MATCH(decGTMOrg62Timeline,Data!$C$106:$C$111,0),2),0)*paramOrg62Impacts</f>
        <v>0</v>
      </c>
      <c r="N1163" s="425">
        <f>IF(calcOrg62Timeline&lt;=$Q1163,INDEX(datatblOrg62Timeline,MATCH(decGTMOrg62Timeline,Data!$C$106:$C$111,0),2),0)*paramOrg62Impacts</f>
        <v>0</v>
      </c>
      <c r="Q1163" s="69">
        <v>21</v>
      </c>
    </row>
    <row r="1164" spans="1:17">
      <c r="D1164" s="69" t="s">
        <v>507</v>
      </c>
      <c r="E1164" s="425">
        <f>IF(calcProductTimeline&lt;=$Q1164,INDEX(datatblStackFocusImpact,MATCH(decProductStackFocus,Data!$C$96:$C$101,0),2),0)+paramACVGrowthStack</f>
        <v>0</v>
      </c>
      <c r="F1164" s="425">
        <f>IF(calcProductTimeline&lt;=$Q1164,INDEX(datatblStackFocusImpact,MATCH(decProductStackFocus,Data!$C$96:$C$101,0),2),0)+paramACVGrowthStack</f>
        <v>0</v>
      </c>
      <c r="G1164" s="425">
        <f>IF(calcProductTimeline&lt;=$Q1164,INDEX(datatblStackFocusImpact,MATCH(decProductStackFocus,Data!$C$96:$C$101,0),2),0)+paramACVGrowthStack</f>
        <v>0</v>
      </c>
      <c r="H1164" s="425">
        <f>IF(calcProductTimeline&lt;=$Q1164,INDEX(datatblStackFocusImpact,MATCH(decProductStackFocus,Data!$C$96:$C$101,0),2),0)+paramACVGrowthStack</f>
        <v>0</v>
      </c>
      <c r="I1164" s="425">
        <f>IF(calcProductTimeline&lt;=$Q1164,INDEX(datatblStackFocusImpact,MATCH(decProductStackFocus,Data!$C$96:$C$101,0),2),0)+paramACVGrowthStack</f>
        <v>0</v>
      </c>
      <c r="J1164" s="425">
        <f>IF(calcProductTimeline&lt;=$Q1164,INDEX(datatblStackFocusImpact,MATCH(decProductStackFocus,Data!$C$96:$C$101,0),2),0)+paramACVGrowthStack</f>
        <v>0</v>
      </c>
      <c r="K1164" s="425">
        <f>IF(calcProductTimeline&lt;=$Q1164,INDEX(datatblStackFocusImpact,MATCH(decProductStackFocus,Data!$C$96:$C$101,0),2),0)+paramACVGrowthStack</f>
        <v>0</v>
      </c>
      <c r="L1164" s="425">
        <f>IF(calcProductTimeline&lt;=$Q1164,INDEX(datatblStackFocusImpact,MATCH(decProductStackFocus,Data!$C$96:$C$101,0),2),0)+paramACVGrowthStack</f>
        <v>0</v>
      </c>
      <c r="M1164" s="425">
        <f>IF(calcProductTimeline&lt;=$Q1164,INDEX(datatblStackFocusImpact,MATCH(decProductStackFocus,Data!$C$96:$C$101,0),2),0)+paramACVGrowthStack</f>
        <v>0</v>
      </c>
      <c r="N1164" s="425">
        <f>IF(calcProductTimeline&lt;=$Q1164,INDEX(datatblStackFocusImpact,MATCH(decProductStackFocus,Data!$C$96:$C$101,0),2),0)+paramACVGrowthStack</f>
        <v>0</v>
      </c>
      <c r="Q1164" s="69">
        <f>Q1163</f>
        <v>21</v>
      </c>
    </row>
    <row r="1165" spans="1:17">
      <c r="D1165" s="69" t="s">
        <v>2237</v>
      </c>
      <c r="E1165" s="425">
        <f>IF(calcExternalSalesTimeline&lt;=$Q1165,INDEX(datatblExternalSalesImpact,MATCH(decGTMExternalSales,Data!$C$85:$C$90,0),2),0)</f>
        <v>0</v>
      </c>
      <c r="F1165" s="425">
        <f>IF(calcExternalSalesTimeline&lt;=$Q1165,INDEX(datatblExternalSalesImpact,MATCH(decGTMExternalSales,Data!$C$85:$C$90,0),2),0)</f>
        <v>0</v>
      </c>
      <c r="G1165" s="425">
        <f>IF(calcExternalSalesTimeline&lt;=$Q1165,INDEX(datatblExternalSalesImpact,MATCH(decGTMExternalSales,Data!$C$85:$C$90,0),2),0)</f>
        <v>0</v>
      </c>
      <c r="H1165" s="425">
        <f>IF(calcExternalSalesTimeline&lt;=$Q1165,INDEX(datatblExternalSalesImpact,MATCH(decGTMExternalSales,Data!$C$85:$C$90,0),2),0)</f>
        <v>0</v>
      </c>
      <c r="I1165" s="425">
        <f>IF(calcExternalSalesTimeline&lt;=$Q1165,INDEX(datatblExternalSalesImpact,MATCH(decGTMExternalSales,Data!$C$85:$C$90,0),2),0)</f>
        <v>0</v>
      </c>
      <c r="J1165" s="425">
        <f>IF(calcExternalSalesTimeline&lt;=$Q1165,INDEX(datatblExternalSalesImpact,MATCH(decGTMExternalSales,Data!$C$85:$C$90,0),2),0)</f>
        <v>0</v>
      </c>
      <c r="K1165" s="425">
        <f>IF(calcExternalSalesTimeline&lt;=$Q1165,INDEX(datatblExternalSalesImpact,MATCH(decGTMExternalSales,Data!$C$85:$C$90,0),2),0)</f>
        <v>0</v>
      </c>
      <c r="L1165" s="425">
        <f>IF(calcExternalSalesTimeline&lt;=$Q1165,INDEX(datatblExternalSalesImpact,MATCH(decGTMExternalSales,Data!$C$85:$C$90,0),2),0)</f>
        <v>0</v>
      </c>
      <c r="M1165" s="425">
        <f>IF(calcExternalSalesTimeline&lt;=$Q1165,INDEX(datatblExternalSalesImpact,MATCH(decGTMExternalSales,Data!$C$85:$C$90,0),2),0)</f>
        <v>0</v>
      </c>
      <c r="N1165" s="425">
        <f>IF(calcExternalSalesTimeline&lt;=$Q1165,INDEX(datatblExternalSalesImpact,MATCH(decGTMExternalSales,Data!$C$85:$C$90,0),2),0)</f>
        <v>0</v>
      </c>
      <c r="O1165" s="482">
        <v>0.05</v>
      </c>
      <c r="P1165" s="482">
        <v>-0.05</v>
      </c>
      <c r="Q1165" s="69">
        <f>Q1164</f>
        <v>21</v>
      </c>
    </row>
    <row r="1166" spans="1:17">
      <c r="D1166" s="69" t="s">
        <v>2284</v>
      </c>
      <c r="E1166" s="425">
        <f>IF(calcCSGTimeline&lt;=$Q1166,INDEX(datatblCSGPostSales,MATCH(decGTMCSGPostSales,Data!$C$204:$C$209,0),3),0)</f>
        <v>0</v>
      </c>
      <c r="F1166" s="425">
        <f>IF(calcCSGTimeline&lt;=$Q1166,INDEX(datatblCSGPostSales,MATCH(decGTMCSGPostSales,Data!$C$204:$C$209,0),3),0)</f>
        <v>0</v>
      </c>
      <c r="G1166" s="425">
        <f>IF(calcCSGTimeline&lt;=$Q1166,INDEX(datatblCSGPostSales,MATCH(decGTMCSGPostSales,Data!$C$204:$C$209,0),3),0)</f>
        <v>0</v>
      </c>
      <c r="H1166" s="425">
        <f>IF(calcCSGTimeline&lt;=$Q1166,INDEX(datatblCSGPostSales,MATCH(decGTMCSGPostSales,Data!$C$204:$C$209,0),3),0)</f>
        <v>0</v>
      </c>
      <c r="I1166" s="425">
        <f>IF(calcCSGTimeline&lt;=$Q1166,INDEX(datatblCSGPostSales,MATCH(decGTMCSGPostSales,Data!$C$204:$C$209,0),3),0)</f>
        <v>0</v>
      </c>
      <c r="J1166" s="425">
        <f>IF(calcCSGTimeline&lt;=$Q1166,INDEX(datatblCSGPostSales,MATCH(decGTMCSGPostSales,Data!$C$204:$C$209,0),3),0)</f>
        <v>0</v>
      </c>
      <c r="K1166" s="425">
        <f>IF(calcCSGTimeline&lt;=$Q1166,INDEX(datatblCSGPostSales,MATCH(decGTMCSGPostSales,Data!$C$204:$C$209,0),3),0)</f>
        <v>0</v>
      </c>
      <c r="L1166" s="425">
        <f>IF(calcCSGTimeline&lt;=$Q1166,INDEX(datatblCSGPostSales,MATCH(decGTMCSGPostSales,Data!$C$204:$C$209,0),3),0)</f>
        <v>0</v>
      </c>
      <c r="M1166" s="425">
        <f>IF(calcCSGTimeline&lt;=$Q1166,INDEX(datatblCSGPostSales,MATCH(decGTMCSGPostSales,Data!$C$204:$C$209,0),3),0)</f>
        <v>0</v>
      </c>
      <c r="N1166" s="425">
        <f>IF(calcCSGTimeline&lt;=$Q1166,INDEX(datatblCSGPostSales,MATCH(decGTMCSGPostSales,Data!$C$204:$C$209,0),3),0)</f>
        <v>0</v>
      </c>
      <c r="O1166" s="482"/>
      <c r="P1166" s="482"/>
      <c r="Q1166" s="69">
        <f>Q1165</f>
        <v>21</v>
      </c>
    </row>
    <row r="1167" spans="1:17">
      <c r="D1167" s="69" t="s">
        <v>3079</v>
      </c>
      <c r="E1167" s="425">
        <f>IF(calcBrandIntegrationTimeline&lt;=$Q1167,INDEX(datatblBrandIntegration,MATCH(decGTMBrandIntegration,Data!$C$220:$C$226,0),3),0)</f>
        <v>0</v>
      </c>
      <c r="F1167" s="425">
        <f>IF(calcBrandIntegrationTimeline&lt;=$Q1167,INDEX(datatblBrandIntegration,MATCH(decGTMBrandIntegration,Data!$C$220:$C$226,0),3),0)</f>
        <v>0</v>
      </c>
      <c r="G1167" s="425">
        <f>IF(calcBrandIntegrationTimeline&lt;=$Q1167,INDEX(datatblBrandIntegration,MATCH(decGTMBrandIntegration,Data!$C$220:$C$226,0),3),0)</f>
        <v>0</v>
      </c>
      <c r="H1167" s="425">
        <f>IF(calcBrandIntegrationTimeline&lt;=$Q1167,INDEX(datatblBrandIntegration,MATCH(decGTMBrandIntegration,Data!$C$220:$C$226,0),3),0)</f>
        <v>0</v>
      </c>
      <c r="I1167" s="425">
        <f>IF(calcBrandIntegrationTimeline&lt;=$Q1167,INDEX(datatblBrandIntegration,MATCH(decGTMBrandIntegration,Data!$C$220:$C$226,0),3),0)</f>
        <v>0</v>
      </c>
      <c r="J1167" s="425">
        <f>IF(calcBrandIntegrationTimeline&lt;=$Q1167,INDEX(datatblBrandIntegration,MATCH(decGTMBrandIntegration,Data!$C$220:$C$226,0),3),0)</f>
        <v>0</v>
      </c>
      <c r="K1167" s="425">
        <f>IF(calcBrandIntegrationTimeline&lt;=$Q1167,INDEX(datatblBrandIntegration,MATCH(decGTMBrandIntegration,Data!$C$220:$C$226,0),3),0)</f>
        <v>0</v>
      </c>
      <c r="L1167" s="425">
        <f>IF(calcBrandIntegrationTimeline&lt;=$Q1167,INDEX(datatblBrandIntegration,MATCH(decGTMBrandIntegration,Data!$C$220:$C$226,0),3),0)</f>
        <v>0</v>
      </c>
      <c r="M1167" s="425">
        <f>IF(calcBrandIntegrationTimeline&lt;=$Q1167,INDEX(datatblBrandIntegration,MATCH(decGTMBrandIntegration,Data!$C$220:$C$226,0),3),0)</f>
        <v>0</v>
      </c>
      <c r="N1167" s="425">
        <f>IF(calcBrandIntegrationTimeline&lt;=$Q1167,INDEX(datatblBrandIntegration,MATCH(decGTMBrandIntegration,Data!$C$220:$C$226,0),3),0)</f>
        <v>0</v>
      </c>
      <c r="O1167" s="482"/>
      <c r="P1167" s="482"/>
      <c r="Q1167" s="69">
        <f>Q1166</f>
        <v>21</v>
      </c>
    </row>
    <row r="1168" spans="1:17">
      <c r="D1168" s="69" t="s">
        <v>2277</v>
      </c>
      <c r="E1168" s="425">
        <f>IF(decGTMOrg62Timeline="choose",0,IF(E1163=0,INDEX(datatblLeadPass,MATCH(decGTMLeadPass,Data!$C$212:$C$217,0),3),0))</f>
        <v>0</v>
      </c>
      <c r="F1168" s="425">
        <f>IF(decGTMOrg62Timeline="choose",0,IF(F1163=0,INDEX(datatblLeadPass,MATCH(decGTMLeadPass,Data!$C$212:$C$217,0),3),0))</f>
        <v>0</v>
      </c>
      <c r="G1168" s="425">
        <f>IF(decGTMOrg62Timeline="choose",0,IF(G1163=0,INDEX(datatblLeadPass,MATCH(decGTMLeadPass,Data!$C$212:$C$217,0),3),0))</f>
        <v>0</v>
      </c>
      <c r="H1168" s="425">
        <f>IF(decGTMOrg62Timeline="choose",0,IF(H1163=0,INDEX(datatblLeadPass,MATCH(decGTMLeadPass,Data!$C$212:$C$217,0),3),0))</f>
        <v>0</v>
      </c>
      <c r="I1168" s="425">
        <f>IF(decGTMOrg62Timeline="choose",0,IF(I1163=0,INDEX(datatblLeadPass,MATCH(decGTMLeadPass,Data!$C$212:$C$217,0),3),0))</f>
        <v>0</v>
      </c>
      <c r="J1168" s="425">
        <f>IF(decGTMOrg62Timeline="choose",0,IF(J1163=0,INDEX(datatblLeadPass,MATCH(decGTMLeadPass,Data!$C$212:$C$217,0),3),0))</f>
        <v>0</v>
      </c>
      <c r="K1168" s="425">
        <f>IF(decGTMOrg62Timeline="choose",0,IF(K1163=0,INDEX(datatblLeadPass,MATCH(decGTMLeadPass,Data!$C$212:$C$217,0),3),0))</f>
        <v>0</v>
      </c>
      <c r="L1168" s="425">
        <f>IF(decGTMOrg62Timeline="choose",0,IF(L1163=0,INDEX(datatblLeadPass,MATCH(decGTMLeadPass,Data!$C$212:$C$217,0),3),0))</f>
        <v>0</v>
      </c>
      <c r="M1168" s="425">
        <f>IF(decGTMOrg62Timeline="choose",0,IF(M1163=0,INDEX(datatblLeadPass,MATCH(decGTMLeadPass,Data!$C$212:$C$217,0),3),0))</f>
        <v>0</v>
      </c>
      <c r="N1168" s="425">
        <f>IF(decGTMOrg62Timeline="choose",0,IF(N1163=0,INDEX(datatblLeadPass,MATCH(decGTMLeadPass,Data!$C$212:$C$217,0),3),0))</f>
        <v>0</v>
      </c>
      <c r="O1168" s="482"/>
      <c r="P1168" s="482"/>
    </row>
    <row r="1169" spans="1:18">
      <c r="D1169" s="69" t="s">
        <v>1032</v>
      </c>
      <c r="E1169" s="425">
        <f>IF(decSecurityProductRestrictions="Yes",$Q1169,IF(decSecurityProductRestrictions="No",$R1169,$S1169))</f>
        <v>0</v>
      </c>
      <c r="F1169" s="425">
        <f t="shared" ref="F1169:N1169" si="696">IF(decSecurityProductRestrictions="Yes",$Q1169,IF(decSecurityProductRestrictions="No",$R1169,$S1169))</f>
        <v>0</v>
      </c>
      <c r="G1169" s="425">
        <f t="shared" si="696"/>
        <v>0</v>
      </c>
      <c r="H1169" s="425">
        <f t="shared" si="696"/>
        <v>0</v>
      </c>
      <c r="I1169" s="425">
        <f t="shared" si="696"/>
        <v>0</v>
      </c>
      <c r="J1169" s="425">
        <f t="shared" si="696"/>
        <v>0</v>
      </c>
      <c r="K1169" s="425">
        <f t="shared" si="696"/>
        <v>0</v>
      </c>
      <c r="L1169" s="425">
        <f t="shared" si="696"/>
        <v>0</v>
      </c>
      <c r="M1169" s="425">
        <f t="shared" si="696"/>
        <v>0</v>
      </c>
      <c r="N1169" s="425">
        <f t="shared" si="696"/>
        <v>0</v>
      </c>
      <c r="Q1169" s="482">
        <f>xxProductRestrictionACVHit</f>
        <v>-0.02</v>
      </c>
      <c r="R1169" s="482">
        <f>xxProductRestrictionACVIncrease</f>
        <v>0.02</v>
      </c>
    </row>
    <row r="1170" spans="1:18" s="217" customFormat="1">
      <c r="D1170" s="217" t="s">
        <v>1758</v>
      </c>
      <c r="E1170" s="411">
        <f t="shared" ref="E1170:N1170" si="697">SUM(E1163:E1169)+paramACVGrowthBaseline</f>
        <v>0</v>
      </c>
      <c r="F1170" s="411">
        <f t="shared" si="697"/>
        <v>0</v>
      </c>
      <c r="G1170" s="411">
        <f t="shared" si="697"/>
        <v>0</v>
      </c>
      <c r="H1170" s="411">
        <f t="shared" si="697"/>
        <v>0</v>
      </c>
      <c r="I1170" s="411">
        <f t="shared" si="697"/>
        <v>0</v>
      </c>
      <c r="J1170" s="411">
        <f t="shared" si="697"/>
        <v>0</v>
      </c>
      <c r="K1170" s="411">
        <f t="shared" si="697"/>
        <v>0</v>
      </c>
      <c r="L1170" s="411">
        <f t="shared" si="697"/>
        <v>0</v>
      </c>
      <c r="M1170" s="411">
        <f t="shared" si="697"/>
        <v>0</v>
      </c>
      <c r="N1170" s="411">
        <f t="shared" si="697"/>
        <v>0</v>
      </c>
      <c r="O1170" s="217" t="s">
        <v>1772</v>
      </c>
    </row>
    <row r="1171" spans="1:18" s="217" customFormat="1">
      <c r="E1171" s="411"/>
      <c r="F1171" s="411"/>
      <c r="G1171" s="411"/>
      <c r="H1171" s="411"/>
      <c r="I1171" s="411"/>
      <c r="J1171" s="411"/>
      <c r="K1171" s="411"/>
      <c r="L1171" s="411"/>
      <c r="M1171" s="411"/>
      <c r="N1171" s="411"/>
    </row>
    <row r="1172" spans="1:18" s="217" customFormat="1">
      <c r="A1172" s="217">
        <v>1</v>
      </c>
      <c r="B1172" s="10" t="s">
        <v>1735</v>
      </c>
      <c r="C1172" s="11" t="s">
        <v>899</v>
      </c>
      <c r="D1172" s="217">
        <f>IF(A1172=B1157,"New Revenue Adjustments",IF(AND(C1172=D1157,A1172&lt;B1157),"Attrition Necessary",0))</f>
        <v>0</v>
      </c>
      <c r="E1172" s="522">
        <f t="shared" ref="E1172:N1181" si="698">IF($B$1157&gt;$A1172,INDEX(calcY2Q2RevFlow,$A1172,calcTeamNum)*(IF($D1172="Attrition Necessary",1-calcQ2AttritionDifference,1)*(IF($D1172="New Revenue Adjustments",1+calcY2Q3RevenueAdjustment,1))),INDEX(dataY2Q3Rev,$A1172,)*(IF($D1172="Attrition Necessary",1-calcQ2AttritionDifference,1))*(IF($D1172="New Revenue Adjustments",1+calcY2Q3RevenueAdjustment,1)))</f>
        <v>921676.10199142725</v>
      </c>
      <c r="F1172" s="522">
        <f t="shared" si="698"/>
        <v>921676.10199142725</v>
      </c>
      <c r="G1172" s="522">
        <f t="shared" si="698"/>
        <v>921676.10199142725</v>
      </c>
      <c r="H1172" s="522">
        <f t="shared" si="698"/>
        <v>921676.10199142725</v>
      </c>
      <c r="I1172" s="522">
        <f t="shared" si="698"/>
        <v>921676.10199142725</v>
      </c>
      <c r="J1172" s="522">
        <f t="shared" si="698"/>
        <v>921676.10199142725</v>
      </c>
      <c r="K1172" s="522">
        <f t="shared" si="698"/>
        <v>921676.10199142725</v>
      </c>
      <c r="L1172" s="522">
        <f t="shared" si="698"/>
        <v>921676.10199142725</v>
      </c>
      <c r="M1172" s="522">
        <f t="shared" si="698"/>
        <v>921676.10199142725</v>
      </c>
      <c r="N1172" s="522">
        <f t="shared" si="698"/>
        <v>921676.10199142725</v>
      </c>
      <c r="O1172" s="410" t="s">
        <v>1895</v>
      </c>
    </row>
    <row r="1173" spans="1:18" s="217" customFormat="1">
      <c r="A1173" s="217">
        <v>2</v>
      </c>
      <c r="B1173" s="10" t="s">
        <v>1735</v>
      </c>
      <c r="C1173" s="11" t="s">
        <v>900</v>
      </c>
      <c r="D1173" s="217">
        <f>IF(A1173=B1157,"New Revenue Adjustments",IF(AND(C1173=D1157,A1173&lt;B1157),"Attrition Necessary",0))</f>
        <v>0</v>
      </c>
      <c r="E1173" s="522">
        <f t="shared" si="698"/>
        <v>1626487.2388084012</v>
      </c>
      <c r="F1173" s="522">
        <f t="shared" si="698"/>
        <v>1626487.2388084012</v>
      </c>
      <c r="G1173" s="522">
        <f t="shared" si="698"/>
        <v>1626487.2388084012</v>
      </c>
      <c r="H1173" s="522">
        <f t="shared" si="698"/>
        <v>1626487.2388084012</v>
      </c>
      <c r="I1173" s="522">
        <f t="shared" si="698"/>
        <v>1626487.2388084012</v>
      </c>
      <c r="J1173" s="522">
        <f t="shared" si="698"/>
        <v>1626487.2388084012</v>
      </c>
      <c r="K1173" s="522">
        <f t="shared" si="698"/>
        <v>1626487.2388084012</v>
      </c>
      <c r="L1173" s="522">
        <f t="shared" si="698"/>
        <v>1626487.2388084012</v>
      </c>
      <c r="M1173" s="522">
        <f t="shared" si="698"/>
        <v>1626487.2388084012</v>
      </c>
      <c r="N1173" s="522">
        <f t="shared" si="698"/>
        <v>1626487.2388084012</v>
      </c>
      <c r="O1173" s="410" t="s">
        <v>1896</v>
      </c>
    </row>
    <row r="1174" spans="1:18" s="217" customFormat="1">
      <c r="A1174" s="217">
        <v>3</v>
      </c>
      <c r="B1174" s="10" t="s">
        <v>1735</v>
      </c>
      <c r="C1174" s="11" t="s">
        <v>901</v>
      </c>
      <c r="D1174" s="217" t="str">
        <f>IF(A1174=B1157,"New Revenue Adjustments",IF(AND(C1174=D1157,A1174&lt;B1157),"Attrition Necessary",0))</f>
        <v>Attrition Necessary</v>
      </c>
      <c r="E1174" s="522">
        <f t="shared" si="698"/>
        <v>2168649.6517445347</v>
      </c>
      <c r="F1174" s="522">
        <f t="shared" si="698"/>
        <v>2168649.6517445347</v>
      </c>
      <c r="G1174" s="522">
        <f t="shared" si="698"/>
        <v>2168649.6517445347</v>
      </c>
      <c r="H1174" s="522">
        <f t="shared" si="698"/>
        <v>2168649.6517445347</v>
      </c>
      <c r="I1174" s="522">
        <f t="shared" si="698"/>
        <v>2168649.6517445347</v>
      </c>
      <c r="J1174" s="522">
        <f t="shared" si="698"/>
        <v>2168649.6517445347</v>
      </c>
      <c r="K1174" s="522">
        <f t="shared" si="698"/>
        <v>2168649.6517445347</v>
      </c>
      <c r="L1174" s="522">
        <f t="shared" si="698"/>
        <v>2168649.6517445347</v>
      </c>
      <c r="M1174" s="522">
        <f t="shared" si="698"/>
        <v>2168649.6517445347</v>
      </c>
      <c r="N1174" s="522">
        <f t="shared" si="698"/>
        <v>2168649.6517445347</v>
      </c>
      <c r="O1174" s="410" t="s">
        <v>1897</v>
      </c>
    </row>
    <row r="1175" spans="1:18" s="217" customFormat="1">
      <c r="A1175" s="217">
        <v>4</v>
      </c>
      <c r="B1175" s="10" t="s">
        <v>1735</v>
      </c>
      <c r="C1175" s="11" t="s">
        <v>902</v>
      </c>
      <c r="D1175" s="217">
        <f>IF(A1175=B1157,"New Revenue Adjustments",IF(AND(C1175=D1157,A1175&lt;B1157),"Attrition Necessary",0))</f>
        <v>0</v>
      </c>
      <c r="E1175" s="522">
        <f t="shared" si="698"/>
        <v>2705271.2270716149</v>
      </c>
      <c r="F1175" s="522">
        <f t="shared" si="698"/>
        <v>2705271.2270716149</v>
      </c>
      <c r="G1175" s="522">
        <f t="shared" si="698"/>
        <v>2705271.2270716149</v>
      </c>
      <c r="H1175" s="522">
        <f t="shared" si="698"/>
        <v>2705271.2270716149</v>
      </c>
      <c r="I1175" s="522">
        <f t="shared" si="698"/>
        <v>2705271.2270716149</v>
      </c>
      <c r="J1175" s="522">
        <f t="shared" si="698"/>
        <v>2705271.2270716149</v>
      </c>
      <c r="K1175" s="522">
        <f t="shared" si="698"/>
        <v>2705271.2270716149</v>
      </c>
      <c r="L1175" s="522">
        <f t="shared" si="698"/>
        <v>2705271.2270716149</v>
      </c>
      <c r="M1175" s="522">
        <f t="shared" si="698"/>
        <v>2705271.2270716149</v>
      </c>
      <c r="N1175" s="522">
        <f t="shared" si="698"/>
        <v>2705271.2270716149</v>
      </c>
      <c r="O1175" s="410" t="s">
        <v>1898</v>
      </c>
    </row>
    <row r="1176" spans="1:18" s="217" customFormat="1">
      <c r="A1176" s="217">
        <v>5</v>
      </c>
      <c r="B1176" s="10" t="s">
        <v>1729</v>
      </c>
      <c r="C1176" s="11" t="s">
        <v>899</v>
      </c>
      <c r="D1176" s="217">
        <f>IF(A1176=B1157,"New Revenue Adjustments",IF(AND(C1176=D1157,A1176&lt;B1157),"Attrition Necessary",0))</f>
        <v>0</v>
      </c>
      <c r="E1176" s="522">
        <f t="shared" si="698"/>
        <v>1084324.8258722674</v>
      </c>
      <c r="F1176" s="522">
        <f t="shared" si="698"/>
        <v>1084324.8258722674</v>
      </c>
      <c r="G1176" s="522">
        <f t="shared" si="698"/>
        <v>1084324.8258722674</v>
      </c>
      <c r="H1176" s="522">
        <f t="shared" si="698"/>
        <v>1084324.8258722674</v>
      </c>
      <c r="I1176" s="522">
        <f t="shared" si="698"/>
        <v>1084324.8258722674</v>
      </c>
      <c r="J1176" s="522">
        <f t="shared" si="698"/>
        <v>1084324.8258722674</v>
      </c>
      <c r="K1176" s="522">
        <f t="shared" si="698"/>
        <v>1084324.8258722674</v>
      </c>
      <c r="L1176" s="522">
        <f t="shared" si="698"/>
        <v>1084324.8258722674</v>
      </c>
      <c r="M1176" s="522">
        <f t="shared" si="698"/>
        <v>1084324.8258722674</v>
      </c>
      <c r="N1176" s="522">
        <f t="shared" si="698"/>
        <v>1084324.8258722674</v>
      </c>
      <c r="O1176" s="410" t="s">
        <v>1899</v>
      </c>
    </row>
    <row r="1177" spans="1:18" s="217" customFormat="1">
      <c r="A1177" s="217">
        <v>6</v>
      </c>
      <c r="B1177" s="10" t="s">
        <v>1729</v>
      </c>
      <c r="C1177" s="11" t="s">
        <v>900</v>
      </c>
      <c r="D1177" s="217">
        <f>IF(A1177=B1157,"New Revenue Adjustments",IF(AND(C1177=D1157,A1177&lt;B1157),"Attrition Necessary",0))</f>
        <v>0</v>
      </c>
      <c r="E1177" s="522">
        <f t="shared" si="698"/>
        <v>1561939.1197426142</v>
      </c>
      <c r="F1177" s="522">
        <f t="shared" si="698"/>
        <v>1561939.1197426142</v>
      </c>
      <c r="G1177" s="522">
        <f t="shared" si="698"/>
        <v>1561939.1197426142</v>
      </c>
      <c r="H1177" s="522">
        <f t="shared" si="698"/>
        <v>1561939.1197426142</v>
      </c>
      <c r="I1177" s="522">
        <f t="shared" si="698"/>
        <v>1561939.1197426142</v>
      </c>
      <c r="J1177" s="522">
        <f t="shared" si="698"/>
        <v>1561939.1197426142</v>
      </c>
      <c r="K1177" s="522">
        <f t="shared" si="698"/>
        <v>1561939.1197426142</v>
      </c>
      <c r="L1177" s="522">
        <f t="shared" si="698"/>
        <v>1561939.1197426142</v>
      </c>
      <c r="M1177" s="522">
        <f t="shared" si="698"/>
        <v>1561939.1197426142</v>
      </c>
      <c r="N1177" s="522">
        <f t="shared" si="698"/>
        <v>1561939.1197426142</v>
      </c>
      <c r="O1177" s="410" t="s">
        <v>1900</v>
      </c>
    </row>
    <row r="1178" spans="1:18" s="217" customFormat="1">
      <c r="A1178" s="217">
        <v>7</v>
      </c>
      <c r="B1178" s="10" t="s">
        <v>1729</v>
      </c>
      <c r="C1178" s="11" t="s">
        <v>901</v>
      </c>
      <c r="D1178" s="217" t="str">
        <f>IF(A1178=B1157,"New Revenue Adjustments",IF(AND(C1178=D1157,A1178&lt;B1157),"Attrition Necessary",0))</f>
        <v>Attrition Necessary</v>
      </c>
      <c r="E1178" s="522">
        <f t="shared" si="698"/>
        <v>2413905.912329495</v>
      </c>
      <c r="F1178" s="522">
        <f t="shared" si="698"/>
        <v>2413905.912329495</v>
      </c>
      <c r="G1178" s="522">
        <f t="shared" si="698"/>
        <v>2413905.912329495</v>
      </c>
      <c r="H1178" s="522">
        <f t="shared" si="698"/>
        <v>2413905.912329495</v>
      </c>
      <c r="I1178" s="522">
        <f t="shared" si="698"/>
        <v>2413905.912329495</v>
      </c>
      <c r="J1178" s="522">
        <f t="shared" si="698"/>
        <v>2413905.912329495</v>
      </c>
      <c r="K1178" s="522">
        <f t="shared" si="698"/>
        <v>2413905.912329495</v>
      </c>
      <c r="L1178" s="522">
        <f t="shared" si="698"/>
        <v>2413905.912329495</v>
      </c>
      <c r="M1178" s="522">
        <f t="shared" si="698"/>
        <v>2413905.912329495</v>
      </c>
      <c r="N1178" s="522">
        <f t="shared" si="698"/>
        <v>2413905.912329495</v>
      </c>
      <c r="O1178" s="410" t="s">
        <v>1901</v>
      </c>
    </row>
    <row r="1179" spans="1:18" s="217" customFormat="1">
      <c r="A1179" s="217">
        <v>8</v>
      </c>
      <c r="B1179" s="10" t="s">
        <v>1729</v>
      </c>
      <c r="C1179" s="11" t="s">
        <v>902</v>
      </c>
      <c r="D1179" s="217">
        <f>IF(A1179=B1157,"New Revenue Adjustments",IF(AND(C1179=D1157,A1179&lt;B1157),"Attrition Necessary",0))</f>
        <v>0</v>
      </c>
      <c r="E1179" s="522">
        <f t="shared" si="698"/>
        <v>3542605.8001142456</v>
      </c>
      <c r="F1179" s="522">
        <f t="shared" si="698"/>
        <v>3542605.8001142456</v>
      </c>
      <c r="G1179" s="522">
        <f t="shared" si="698"/>
        <v>3542605.8001142456</v>
      </c>
      <c r="H1179" s="522">
        <f t="shared" si="698"/>
        <v>3542605.8001142456</v>
      </c>
      <c r="I1179" s="522">
        <f t="shared" si="698"/>
        <v>3542605.8001142456</v>
      </c>
      <c r="J1179" s="522">
        <f t="shared" si="698"/>
        <v>3542605.8001142456</v>
      </c>
      <c r="K1179" s="522">
        <f t="shared" si="698"/>
        <v>3542605.8001142456</v>
      </c>
      <c r="L1179" s="522">
        <f t="shared" si="698"/>
        <v>3542605.8001142456</v>
      </c>
      <c r="M1179" s="522">
        <f t="shared" si="698"/>
        <v>3542605.8001142456</v>
      </c>
      <c r="N1179" s="522">
        <f t="shared" si="698"/>
        <v>3542605.8001142456</v>
      </c>
      <c r="O1179" s="410" t="s">
        <v>1902</v>
      </c>
    </row>
    <row r="1180" spans="1:18" s="217" customFormat="1">
      <c r="A1180" s="217">
        <v>9</v>
      </c>
      <c r="B1180" s="10" t="s">
        <v>405</v>
      </c>
      <c r="C1180" s="11" t="s">
        <v>899</v>
      </c>
      <c r="D1180" s="217">
        <f>IF(A1180=B1157,"New Revenue Adjustments",IF(AND(C1180=D1157,A1180&lt;B1157),"Attrition Necessary",0))</f>
        <v>0</v>
      </c>
      <c r="E1180" s="522">
        <f t="shared" si="698"/>
        <v>1597437.736100401</v>
      </c>
      <c r="F1180" s="522">
        <f t="shared" si="698"/>
        <v>1597437.736100401</v>
      </c>
      <c r="G1180" s="522">
        <f t="shared" si="698"/>
        <v>1597437.736100401</v>
      </c>
      <c r="H1180" s="522">
        <f t="shared" si="698"/>
        <v>1597437.736100401</v>
      </c>
      <c r="I1180" s="522">
        <f t="shared" si="698"/>
        <v>1597437.736100401</v>
      </c>
      <c r="J1180" s="522">
        <f t="shared" si="698"/>
        <v>1597437.736100401</v>
      </c>
      <c r="K1180" s="522">
        <f t="shared" si="698"/>
        <v>1597437.736100401</v>
      </c>
      <c r="L1180" s="522">
        <f t="shared" si="698"/>
        <v>1597437.736100401</v>
      </c>
      <c r="M1180" s="522">
        <f t="shared" si="698"/>
        <v>1597437.736100401</v>
      </c>
      <c r="N1180" s="522">
        <f t="shared" si="698"/>
        <v>1597437.736100401</v>
      </c>
      <c r="O1180" s="410" t="s">
        <v>1903</v>
      </c>
    </row>
    <row r="1181" spans="1:18" s="217" customFormat="1">
      <c r="A1181" s="217">
        <v>10</v>
      </c>
      <c r="B1181" s="10" t="s">
        <v>405</v>
      </c>
      <c r="C1181" s="11" t="s">
        <v>900</v>
      </c>
      <c r="D1181" s="217">
        <f>IF(A1181=B1157,"New Revenue Adjustments",IF(AND(C1181=D1157,A1181&lt;B1157),"Attrition Necessary",0))</f>
        <v>0</v>
      </c>
      <c r="E1181" s="522">
        <f t="shared" si="698"/>
        <v>2301063.6958912676</v>
      </c>
      <c r="F1181" s="522">
        <f t="shared" si="698"/>
        <v>2301063.6958912676</v>
      </c>
      <c r="G1181" s="522">
        <f t="shared" si="698"/>
        <v>2301063.6958912676</v>
      </c>
      <c r="H1181" s="522">
        <f t="shared" si="698"/>
        <v>2301063.6958912676</v>
      </c>
      <c r="I1181" s="522">
        <f t="shared" si="698"/>
        <v>2301063.6958912676</v>
      </c>
      <c r="J1181" s="522">
        <f t="shared" si="698"/>
        <v>2301063.6958912676</v>
      </c>
      <c r="K1181" s="522">
        <f t="shared" si="698"/>
        <v>2301063.6958912676</v>
      </c>
      <c r="L1181" s="522">
        <f t="shared" si="698"/>
        <v>2301063.6958912676</v>
      </c>
      <c r="M1181" s="522">
        <f t="shared" si="698"/>
        <v>2301063.6958912676</v>
      </c>
      <c r="N1181" s="522">
        <f t="shared" si="698"/>
        <v>2301063.6958912676</v>
      </c>
      <c r="O1181" s="410" t="s">
        <v>1904</v>
      </c>
    </row>
    <row r="1182" spans="1:18" s="217" customFormat="1">
      <c r="A1182" s="217">
        <v>11</v>
      </c>
      <c r="B1182" s="10" t="s">
        <v>405</v>
      </c>
      <c r="C1182" s="11" t="s">
        <v>901</v>
      </c>
      <c r="D1182" s="217" t="str">
        <f>IF(A1182=B1157,"New Revenue Adjustments",IF(AND(C1182=D1157,A1182&lt;B1157),"Attrition Necessary",0))</f>
        <v>Attrition Necessary</v>
      </c>
      <c r="E1182" s="522">
        <f t="shared" ref="E1182:N1191" si="699">IF($B$1157&gt;$A1182,INDEX(calcY2Q2RevFlow,$A1182,calcTeamNum)*(IF($D1182="Attrition Necessary",1-calcQ2AttritionDifference,1)*(IF($D1182="New Revenue Adjustments",1+calcY2Q3RevenueAdjustment,1))),INDEX(dataY2Q3Rev,$A1182,)*(IF($D1182="Attrition Necessary",1-calcQ2AttritionDifference,1))*(IF($D1182="New Revenue Adjustments",1+calcY2Q3RevenueAdjustment,1)))</f>
        <v>3556189.3481955961</v>
      </c>
      <c r="F1182" s="522">
        <f t="shared" si="699"/>
        <v>3556189.3481955961</v>
      </c>
      <c r="G1182" s="522">
        <f t="shared" si="699"/>
        <v>3556189.3481955961</v>
      </c>
      <c r="H1182" s="522">
        <f t="shared" si="699"/>
        <v>3556189.3481955961</v>
      </c>
      <c r="I1182" s="522">
        <f t="shared" si="699"/>
        <v>3556189.3481955961</v>
      </c>
      <c r="J1182" s="522">
        <f t="shared" si="699"/>
        <v>3556189.3481955961</v>
      </c>
      <c r="K1182" s="522">
        <f t="shared" si="699"/>
        <v>3556189.3481955961</v>
      </c>
      <c r="L1182" s="522">
        <f t="shared" si="699"/>
        <v>3556189.3481955961</v>
      </c>
      <c r="M1182" s="522">
        <f t="shared" si="699"/>
        <v>3556189.3481955961</v>
      </c>
      <c r="N1182" s="522">
        <f t="shared" si="699"/>
        <v>3556189.3481955961</v>
      </c>
      <c r="O1182" s="410" t="s">
        <v>1905</v>
      </c>
    </row>
    <row r="1183" spans="1:18" s="217" customFormat="1">
      <c r="A1183" s="217">
        <v>12</v>
      </c>
      <c r="B1183" s="10" t="s">
        <v>405</v>
      </c>
      <c r="C1183" s="11" t="s">
        <v>902</v>
      </c>
      <c r="D1183" s="217">
        <f>IF(A1183=B1157,"New Revenue Adjustments",IF(AND(C1183=D1157,A1183&lt;B1157),"Attrition Necessary",0))</f>
        <v>0</v>
      </c>
      <c r="E1183" s="522">
        <f t="shared" si="699"/>
        <v>5219000.8512239736</v>
      </c>
      <c r="F1183" s="522">
        <f t="shared" si="699"/>
        <v>5219000.8512239736</v>
      </c>
      <c r="G1183" s="522">
        <f t="shared" si="699"/>
        <v>5219000.8512239736</v>
      </c>
      <c r="H1183" s="522">
        <f t="shared" si="699"/>
        <v>5219000.8512239736</v>
      </c>
      <c r="I1183" s="522">
        <f t="shared" si="699"/>
        <v>5219000.8512239736</v>
      </c>
      <c r="J1183" s="522">
        <f t="shared" si="699"/>
        <v>5219000.8512239736</v>
      </c>
      <c r="K1183" s="522">
        <f t="shared" si="699"/>
        <v>5219000.8512239736</v>
      </c>
      <c r="L1183" s="522">
        <f t="shared" si="699"/>
        <v>5219000.8512239736</v>
      </c>
      <c r="M1183" s="522">
        <f t="shared" si="699"/>
        <v>5219000.8512239736</v>
      </c>
      <c r="N1183" s="522">
        <f t="shared" si="699"/>
        <v>5219000.8512239736</v>
      </c>
      <c r="O1183" s="410" t="s">
        <v>1906</v>
      </c>
    </row>
    <row r="1184" spans="1:18" s="217" customFormat="1">
      <c r="A1184" s="217">
        <v>13</v>
      </c>
      <c r="B1184" s="10" t="s">
        <v>1278</v>
      </c>
      <c r="C1184" s="11" t="s">
        <v>899</v>
      </c>
      <c r="D1184" s="217">
        <f>IF(A1184=B1157,"New Revenue Adjustments",IF(AND(C1184=D1157,A1184&lt;B1157),"Attrition Necessary",0))</f>
        <v>0</v>
      </c>
      <c r="E1184" s="522">
        <f t="shared" si="699"/>
        <v>2348550.3830507882</v>
      </c>
      <c r="F1184" s="522">
        <f t="shared" si="699"/>
        <v>2348550.3830507882</v>
      </c>
      <c r="G1184" s="522">
        <f t="shared" si="699"/>
        <v>2348550.3830507882</v>
      </c>
      <c r="H1184" s="522">
        <f t="shared" si="699"/>
        <v>2348550.3830507882</v>
      </c>
      <c r="I1184" s="522">
        <f t="shared" si="699"/>
        <v>2348550.3830507882</v>
      </c>
      <c r="J1184" s="522">
        <f t="shared" si="699"/>
        <v>2348550.3830507882</v>
      </c>
      <c r="K1184" s="522">
        <f t="shared" si="699"/>
        <v>2348550.3830507882</v>
      </c>
      <c r="L1184" s="522">
        <f t="shared" si="699"/>
        <v>2348550.3830507882</v>
      </c>
      <c r="M1184" s="522">
        <f t="shared" si="699"/>
        <v>2348550.3830507882</v>
      </c>
      <c r="N1184" s="522">
        <f t="shared" si="699"/>
        <v>2348550.3830507882</v>
      </c>
      <c r="O1184" s="410" t="s">
        <v>1907</v>
      </c>
    </row>
    <row r="1185" spans="1:15" s="217" customFormat="1">
      <c r="A1185" s="217">
        <v>14</v>
      </c>
      <c r="B1185" s="10" t="s">
        <v>1278</v>
      </c>
      <c r="C1185" s="11" t="s">
        <v>900</v>
      </c>
      <c r="D1185" s="217">
        <f>IF(A1185=B1157,"New Revenue Adjustments",IF(AND(C1185=D1157,A1185&lt;B1157),"Attrition Necessary",0))</f>
        <v>0</v>
      </c>
      <c r="E1185" s="522">
        <f t="shared" si="699"/>
        <v>2870450.4681731849</v>
      </c>
      <c r="F1185" s="522">
        <f t="shared" si="699"/>
        <v>2870450.4681731849</v>
      </c>
      <c r="G1185" s="522">
        <f t="shared" si="699"/>
        <v>2870450.4681731849</v>
      </c>
      <c r="H1185" s="522">
        <f t="shared" si="699"/>
        <v>2870450.4681731849</v>
      </c>
      <c r="I1185" s="522">
        <f t="shared" si="699"/>
        <v>2870450.4681731849</v>
      </c>
      <c r="J1185" s="522">
        <f t="shared" si="699"/>
        <v>2870450.4681731849</v>
      </c>
      <c r="K1185" s="522">
        <f t="shared" si="699"/>
        <v>2870450.4681731849</v>
      </c>
      <c r="L1185" s="522">
        <f t="shared" si="699"/>
        <v>2870450.4681731849</v>
      </c>
      <c r="M1185" s="522">
        <f t="shared" si="699"/>
        <v>2870450.4681731849</v>
      </c>
      <c r="N1185" s="522">
        <f t="shared" si="699"/>
        <v>2870450.4681731849</v>
      </c>
      <c r="O1185" s="410" t="s">
        <v>1908</v>
      </c>
    </row>
    <row r="1186" spans="1:15" s="217" customFormat="1">
      <c r="A1186" s="217">
        <v>15</v>
      </c>
      <c r="B1186" s="10" t="s">
        <v>1278</v>
      </c>
      <c r="C1186" s="11" t="s">
        <v>901</v>
      </c>
      <c r="D1186" s="217" t="str">
        <f>IF(A1186=B1157,"New Revenue Adjustments",IF(AND(C1186=D1157,A1186&lt;B1157),"Attrition Necessary",0))</f>
        <v>Attrition Necessary</v>
      </c>
      <c r="E1186" s="522">
        <f t="shared" si="699"/>
        <v>4436150.7235403778</v>
      </c>
      <c r="F1186" s="522">
        <f t="shared" si="699"/>
        <v>4436150.7235403778</v>
      </c>
      <c r="G1186" s="522">
        <f t="shared" si="699"/>
        <v>4436150.7235403778</v>
      </c>
      <c r="H1186" s="522">
        <f t="shared" si="699"/>
        <v>4436150.7235403778</v>
      </c>
      <c r="I1186" s="522">
        <f t="shared" si="699"/>
        <v>4436150.7235403778</v>
      </c>
      <c r="J1186" s="522">
        <f t="shared" si="699"/>
        <v>4436150.7235403778</v>
      </c>
      <c r="K1186" s="522">
        <f t="shared" si="699"/>
        <v>4436150.7235403778</v>
      </c>
      <c r="L1186" s="522">
        <f t="shared" si="699"/>
        <v>4436150.7235403778</v>
      </c>
      <c r="M1186" s="522">
        <f t="shared" si="699"/>
        <v>4436150.7235403778</v>
      </c>
      <c r="N1186" s="522">
        <f t="shared" si="699"/>
        <v>4436150.7235403778</v>
      </c>
      <c r="O1186" s="410" t="s">
        <v>1909</v>
      </c>
    </row>
    <row r="1187" spans="1:15" s="217" customFormat="1">
      <c r="A1187" s="217">
        <v>16</v>
      </c>
      <c r="B1187" s="10" t="s">
        <v>1278</v>
      </c>
      <c r="C1187" s="11" t="s">
        <v>902</v>
      </c>
      <c r="D1187" s="217">
        <f>IF(A1187=B1157,"New Revenue Adjustments",IF(AND(C1187=D1157,A1187&lt;B1157),"Attrition Necessary",0))</f>
        <v>0</v>
      </c>
      <c r="E1187" s="522">
        <f t="shared" si="699"/>
        <v>6510416.666666666</v>
      </c>
      <c r="F1187" s="522">
        <f t="shared" si="699"/>
        <v>6510416.666666666</v>
      </c>
      <c r="G1187" s="522">
        <f t="shared" si="699"/>
        <v>6510416.666666666</v>
      </c>
      <c r="H1187" s="522">
        <f t="shared" si="699"/>
        <v>6510416.666666666</v>
      </c>
      <c r="I1187" s="522">
        <f t="shared" si="699"/>
        <v>6510416.666666666</v>
      </c>
      <c r="J1187" s="522">
        <f t="shared" si="699"/>
        <v>6510416.666666666</v>
      </c>
      <c r="K1187" s="522">
        <f t="shared" si="699"/>
        <v>6510416.666666666</v>
      </c>
      <c r="L1187" s="522">
        <f t="shared" si="699"/>
        <v>6510416.666666666</v>
      </c>
      <c r="M1187" s="522">
        <f t="shared" si="699"/>
        <v>6510416.666666666</v>
      </c>
      <c r="N1187" s="522">
        <f t="shared" si="699"/>
        <v>6510416.666666666</v>
      </c>
      <c r="O1187" s="410" t="s">
        <v>1910</v>
      </c>
    </row>
    <row r="1188" spans="1:15" s="217" customFormat="1">
      <c r="A1188" s="217">
        <v>17</v>
      </c>
      <c r="B1188" s="10" t="s">
        <v>1279</v>
      </c>
      <c r="C1188" s="11" t="s">
        <v>899</v>
      </c>
      <c r="D1188" s="217">
        <f>IF(A1188=B1157,"New Revenue Adjustments",IF(AND(C1188=D1157,A1188&lt;B1157),"Attrition Necessary",0))</f>
        <v>0</v>
      </c>
      <c r="E1188" s="522">
        <f t="shared" si="699"/>
        <v>2929687.5</v>
      </c>
      <c r="F1188" s="522">
        <f t="shared" si="699"/>
        <v>2929687.5</v>
      </c>
      <c r="G1188" s="522">
        <f t="shared" si="699"/>
        <v>2929687.5</v>
      </c>
      <c r="H1188" s="522">
        <f t="shared" si="699"/>
        <v>2929687.5</v>
      </c>
      <c r="I1188" s="522">
        <f t="shared" si="699"/>
        <v>2929687.5</v>
      </c>
      <c r="J1188" s="522">
        <f t="shared" si="699"/>
        <v>2929687.5</v>
      </c>
      <c r="K1188" s="522">
        <f t="shared" si="699"/>
        <v>2929687.5</v>
      </c>
      <c r="L1188" s="522">
        <f t="shared" si="699"/>
        <v>2929687.5</v>
      </c>
      <c r="M1188" s="522">
        <f t="shared" si="699"/>
        <v>2929687.5</v>
      </c>
      <c r="N1188" s="522">
        <f t="shared" si="699"/>
        <v>2929687.5</v>
      </c>
      <c r="O1188" s="410" t="s">
        <v>1911</v>
      </c>
    </row>
    <row r="1189" spans="1:15" s="217" customFormat="1">
      <c r="A1189" s="217">
        <v>18</v>
      </c>
      <c r="B1189" s="10" t="s">
        <v>1279</v>
      </c>
      <c r="C1189" s="11" t="s">
        <v>900</v>
      </c>
      <c r="D1189" s="217">
        <f>IF(A1189=B1157,"New Revenue Adjustments",IF(AND(C1189=D1157,A1189&lt;B1157),"Attrition Necessary",0))</f>
        <v>0</v>
      </c>
      <c r="E1189" s="522">
        <f t="shared" si="699"/>
        <v>3580729.166666666</v>
      </c>
      <c r="F1189" s="522">
        <f t="shared" si="699"/>
        <v>3580729.166666666</v>
      </c>
      <c r="G1189" s="522">
        <f t="shared" si="699"/>
        <v>3580729.166666666</v>
      </c>
      <c r="H1189" s="522">
        <f t="shared" si="699"/>
        <v>3580729.166666666</v>
      </c>
      <c r="I1189" s="522">
        <f t="shared" si="699"/>
        <v>3580729.166666666</v>
      </c>
      <c r="J1189" s="522">
        <f t="shared" si="699"/>
        <v>3580729.166666666</v>
      </c>
      <c r="K1189" s="522">
        <f t="shared" si="699"/>
        <v>3580729.166666666</v>
      </c>
      <c r="L1189" s="522">
        <f t="shared" si="699"/>
        <v>3580729.166666666</v>
      </c>
      <c r="M1189" s="522">
        <f t="shared" si="699"/>
        <v>3580729.166666666</v>
      </c>
      <c r="N1189" s="522">
        <f t="shared" si="699"/>
        <v>3580729.166666666</v>
      </c>
      <c r="O1189" s="410" t="s">
        <v>1912</v>
      </c>
    </row>
    <row r="1190" spans="1:15" s="217" customFormat="1">
      <c r="A1190" s="217">
        <v>19</v>
      </c>
      <c r="B1190" s="10" t="s">
        <v>1279</v>
      </c>
      <c r="C1190" s="11" t="s">
        <v>901</v>
      </c>
      <c r="D1190" s="217" t="str">
        <f>IF(A1190=B1157,"New Revenue Adjustments",IF(AND(C1190=D1157,A1190&lt;B1157),"Attrition Necessary",0))</f>
        <v>New Revenue Adjustments</v>
      </c>
      <c r="E1190" s="522">
        <f t="shared" si="699"/>
        <v>5533854.1666666679</v>
      </c>
      <c r="F1190" s="522">
        <f t="shared" si="699"/>
        <v>5533854.1666666679</v>
      </c>
      <c r="G1190" s="522">
        <f t="shared" si="699"/>
        <v>5533854.1666666679</v>
      </c>
      <c r="H1190" s="522">
        <f t="shared" si="699"/>
        <v>5533854.1666666679</v>
      </c>
      <c r="I1190" s="522">
        <f t="shared" si="699"/>
        <v>5533854.1666666679</v>
      </c>
      <c r="J1190" s="522">
        <f t="shared" si="699"/>
        <v>5533854.1666666679</v>
      </c>
      <c r="K1190" s="522">
        <f t="shared" si="699"/>
        <v>5533854.1666666679</v>
      </c>
      <c r="L1190" s="522">
        <f t="shared" si="699"/>
        <v>5533854.1666666679</v>
      </c>
      <c r="M1190" s="522">
        <f t="shared" si="699"/>
        <v>5533854.1666666679</v>
      </c>
      <c r="N1190" s="522">
        <f t="shared" si="699"/>
        <v>5533854.1666666679</v>
      </c>
      <c r="O1190" s="410" t="s">
        <v>1913</v>
      </c>
    </row>
    <row r="1191" spans="1:15" s="217" customFormat="1">
      <c r="A1191" s="217">
        <v>20</v>
      </c>
      <c r="B1191" s="10" t="s">
        <v>1279</v>
      </c>
      <c r="C1191" s="11" t="s">
        <v>902</v>
      </c>
      <c r="D1191" s="217">
        <f>IF(A1191=B1157,"New Revenue Adjustments",IF(AND(C1191=D1157,A1191&lt;B1157),"Attrition Necessary",0))</f>
        <v>0</v>
      </c>
      <c r="E1191" s="522">
        <f t="shared" si="699"/>
        <v>0</v>
      </c>
      <c r="F1191" s="522">
        <f t="shared" si="699"/>
        <v>0</v>
      </c>
      <c r="G1191" s="522">
        <f t="shared" si="699"/>
        <v>0</v>
      </c>
      <c r="H1191" s="522">
        <f t="shared" si="699"/>
        <v>0</v>
      </c>
      <c r="I1191" s="522">
        <f t="shared" si="699"/>
        <v>0</v>
      </c>
      <c r="J1191" s="522">
        <f t="shared" si="699"/>
        <v>0</v>
      </c>
      <c r="K1191" s="522">
        <f t="shared" si="699"/>
        <v>0</v>
      </c>
      <c r="L1191" s="522">
        <f t="shared" si="699"/>
        <v>0</v>
      </c>
      <c r="M1191" s="522">
        <f t="shared" si="699"/>
        <v>0</v>
      </c>
      <c r="N1191" s="522">
        <f t="shared" si="699"/>
        <v>0</v>
      </c>
      <c r="O1191" s="410" t="s">
        <v>1914</v>
      </c>
    </row>
    <row r="1192" spans="1:15" s="217" customFormat="1">
      <c r="A1192" s="217">
        <v>21</v>
      </c>
      <c r="B1192" s="10" t="s">
        <v>2052</v>
      </c>
      <c r="C1192" s="11" t="s">
        <v>899</v>
      </c>
      <c r="D1192" s="217">
        <f>IF(A1192=B1157,"New Revenue Adjustments",IF(AND(C1192=D1157,A1192&lt;B1157),"Attrition Necessary",0))</f>
        <v>0</v>
      </c>
      <c r="E1192" s="522">
        <f t="shared" ref="E1192:N1203" si="700">IF($B$1157&gt;$A1192,INDEX(calcY2Q2RevFlow,$A1192,calcTeamNum)*(IF($D1192="Attrition Necessary",1-calcQ2AttritionDifference,1)*(IF($D1192="New Revenue Adjustments",1+calcY2Q3RevenueAdjustment,1))),INDEX(dataY2Q3Rev,$A1192,)*(IF($D1192="Attrition Necessary",1-calcQ2AttritionDifference,1))*(IF($D1192="New Revenue Adjustments",1+calcY2Q3RevenueAdjustment,1)))</f>
        <v>0</v>
      </c>
      <c r="F1192" s="522">
        <f t="shared" si="700"/>
        <v>0</v>
      </c>
      <c r="G1192" s="522">
        <f t="shared" si="700"/>
        <v>0</v>
      </c>
      <c r="H1192" s="522">
        <f t="shared" si="700"/>
        <v>0</v>
      </c>
      <c r="I1192" s="522">
        <f t="shared" si="700"/>
        <v>0</v>
      </c>
      <c r="J1192" s="522">
        <f t="shared" si="700"/>
        <v>0</v>
      </c>
      <c r="K1192" s="522">
        <f t="shared" si="700"/>
        <v>0</v>
      </c>
      <c r="L1192" s="522">
        <f t="shared" si="700"/>
        <v>0</v>
      </c>
      <c r="M1192" s="522">
        <f t="shared" si="700"/>
        <v>0</v>
      </c>
      <c r="N1192" s="522">
        <f t="shared" si="700"/>
        <v>0</v>
      </c>
      <c r="O1192" s="410" t="s">
        <v>2490</v>
      </c>
    </row>
    <row r="1193" spans="1:15" s="217" customFormat="1">
      <c r="A1193" s="217">
        <v>22</v>
      </c>
      <c r="B1193" s="10" t="s">
        <v>2052</v>
      </c>
      <c r="C1193" s="11" t="s">
        <v>900</v>
      </c>
      <c r="D1193" s="217">
        <f>IF(A1193=B1157,"New Revenue Adjustments",IF(AND(C1193=D1157,A1193&lt;B1157),"Attrition Necessary",0))</f>
        <v>0</v>
      </c>
      <c r="E1193" s="522">
        <f t="shared" si="700"/>
        <v>0</v>
      </c>
      <c r="F1193" s="522">
        <f t="shared" si="700"/>
        <v>0</v>
      </c>
      <c r="G1193" s="522">
        <f t="shared" si="700"/>
        <v>0</v>
      </c>
      <c r="H1193" s="522">
        <f t="shared" si="700"/>
        <v>0</v>
      </c>
      <c r="I1193" s="522">
        <f t="shared" si="700"/>
        <v>0</v>
      </c>
      <c r="J1193" s="522">
        <f t="shared" si="700"/>
        <v>0</v>
      </c>
      <c r="K1193" s="522">
        <f t="shared" si="700"/>
        <v>0</v>
      </c>
      <c r="L1193" s="522">
        <f t="shared" si="700"/>
        <v>0</v>
      </c>
      <c r="M1193" s="522">
        <f t="shared" si="700"/>
        <v>0</v>
      </c>
      <c r="N1193" s="522">
        <f t="shared" si="700"/>
        <v>0</v>
      </c>
      <c r="O1193" s="410" t="s">
        <v>2491</v>
      </c>
    </row>
    <row r="1194" spans="1:15" s="217" customFormat="1">
      <c r="A1194" s="217">
        <v>23</v>
      </c>
      <c r="B1194" s="10" t="s">
        <v>2052</v>
      </c>
      <c r="C1194" s="11" t="s">
        <v>901</v>
      </c>
      <c r="D1194" s="217">
        <f>IF(A1194=B1157,"New Revenue Adjustments",IF(AND(C1194=D1157,A1194&lt;B1157),"Attrition Necessary",0))</f>
        <v>0</v>
      </c>
      <c r="E1194" s="522">
        <f t="shared" si="700"/>
        <v>0</v>
      </c>
      <c r="F1194" s="522">
        <f t="shared" si="700"/>
        <v>0</v>
      </c>
      <c r="G1194" s="522">
        <f t="shared" si="700"/>
        <v>0</v>
      </c>
      <c r="H1194" s="522">
        <f t="shared" si="700"/>
        <v>0</v>
      </c>
      <c r="I1194" s="522">
        <f t="shared" si="700"/>
        <v>0</v>
      </c>
      <c r="J1194" s="522">
        <f t="shared" si="700"/>
        <v>0</v>
      </c>
      <c r="K1194" s="522">
        <f t="shared" si="700"/>
        <v>0</v>
      </c>
      <c r="L1194" s="522">
        <f t="shared" si="700"/>
        <v>0</v>
      </c>
      <c r="M1194" s="522">
        <f t="shared" si="700"/>
        <v>0</v>
      </c>
      <c r="N1194" s="522">
        <f t="shared" si="700"/>
        <v>0</v>
      </c>
      <c r="O1194" s="410" t="s">
        <v>2492</v>
      </c>
    </row>
    <row r="1195" spans="1:15" s="217" customFormat="1">
      <c r="A1195" s="217">
        <v>24</v>
      </c>
      <c r="B1195" s="10" t="s">
        <v>2052</v>
      </c>
      <c r="C1195" s="11" t="s">
        <v>902</v>
      </c>
      <c r="D1195" s="217">
        <f>IF(A1195=B1157,"New Revenue Adjustments",IF(AND(C1195=D1157,A1195&lt;B1157),"Attrition Necessary",0))</f>
        <v>0</v>
      </c>
      <c r="E1195" s="522">
        <f t="shared" si="700"/>
        <v>0</v>
      </c>
      <c r="F1195" s="522">
        <f t="shared" si="700"/>
        <v>0</v>
      </c>
      <c r="G1195" s="522">
        <f t="shared" si="700"/>
        <v>0</v>
      </c>
      <c r="H1195" s="522">
        <f t="shared" si="700"/>
        <v>0</v>
      </c>
      <c r="I1195" s="522">
        <f t="shared" si="700"/>
        <v>0</v>
      </c>
      <c r="J1195" s="522">
        <f t="shared" si="700"/>
        <v>0</v>
      </c>
      <c r="K1195" s="522">
        <f t="shared" si="700"/>
        <v>0</v>
      </c>
      <c r="L1195" s="522">
        <f t="shared" si="700"/>
        <v>0</v>
      </c>
      <c r="M1195" s="522">
        <f t="shared" si="700"/>
        <v>0</v>
      </c>
      <c r="N1195" s="522">
        <f t="shared" si="700"/>
        <v>0</v>
      </c>
      <c r="O1195" s="410" t="s">
        <v>2493</v>
      </c>
    </row>
    <row r="1196" spans="1:15" s="217" customFormat="1">
      <c r="A1196" s="217">
        <v>25</v>
      </c>
      <c r="B1196" s="10" t="s">
        <v>2408</v>
      </c>
      <c r="C1196" s="11" t="s">
        <v>899</v>
      </c>
      <c r="D1196" s="217">
        <f>IF(A1196=B1157,"New Revenue Adjustments",IF(AND(C1196=D1157,A1196&lt;B1157),"Attrition Necessary",0))</f>
        <v>0</v>
      </c>
      <c r="E1196" s="522">
        <f t="shared" si="700"/>
        <v>0</v>
      </c>
      <c r="F1196" s="522">
        <f t="shared" si="700"/>
        <v>0</v>
      </c>
      <c r="G1196" s="522">
        <f t="shared" si="700"/>
        <v>0</v>
      </c>
      <c r="H1196" s="522">
        <f t="shared" si="700"/>
        <v>0</v>
      </c>
      <c r="I1196" s="522">
        <f t="shared" si="700"/>
        <v>0</v>
      </c>
      <c r="J1196" s="522">
        <f t="shared" si="700"/>
        <v>0</v>
      </c>
      <c r="K1196" s="522">
        <f t="shared" si="700"/>
        <v>0</v>
      </c>
      <c r="L1196" s="522">
        <f t="shared" si="700"/>
        <v>0</v>
      </c>
      <c r="M1196" s="522">
        <f t="shared" si="700"/>
        <v>0</v>
      </c>
      <c r="N1196" s="522">
        <f t="shared" si="700"/>
        <v>0</v>
      </c>
      <c r="O1196" s="410" t="s">
        <v>2494</v>
      </c>
    </row>
    <row r="1197" spans="1:15" s="217" customFormat="1">
      <c r="A1197" s="217">
        <v>26</v>
      </c>
      <c r="B1197" s="10" t="s">
        <v>2408</v>
      </c>
      <c r="C1197" s="11" t="s">
        <v>900</v>
      </c>
      <c r="D1197" s="217">
        <f>IF(A1197=B1157,"New Revenue Adjustments",IF(AND(C1197=D1157,A1197&lt;B1157),"Attrition Necessary",0))</f>
        <v>0</v>
      </c>
      <c r="E1197" s="522">
        <f t="shared" si="700"/>
        <v>0</v>
      </c>
      <c r="F1197" s="522">
        <f t="shared" si="700"/>
        <v>0</v>
      </c>
      <c r="G1197" s="522">
        <f t="shared" si="700"/>
        <v>0</v>
      </c>
      <c r="H1197" s="522">
        <f t="shared" si="700"/>
        <v>0</v>
      </c>
      <c r="I1197" s="522">
        <f t="shared" si="700"/>
        <v>0</v>
      </c>
      <c r="J1197" s="522">
        <f t="shared" si="700"/>
        <v>0</v>
      </c>
      <c r="K1197" s="522">
        <f t="shared" si="700"/>
        <v>0</v>
      </c>
      <c r="L1197" s="522">
        <f t="shared" si="700"/>
        <v>0</v>
      </c>
      <c r="M1197" s="522">
        <f t="shared" si="700"/>
        <v>0</v>
      </c>
      <c r="N1197" s="522">
        <f t="shared" si="700"/>
        <v>0</v>
      </c>
      <c r="O1197" s="410" t="s">
        <v>2495</v>
      </c>
    </row>
    <row r="1198" spans="1:15" s="217" customFormat="1">
      <c r="A1198" s="217">
        <v>27</v>
      </c>
      <c r="B1198" s="10" t="s">
        <v>2408</v>
      </c>
      <c r="C1198" s="11" t="s">
        <v>901</v>
      </c>
      <c r="D1198" s="217">
        <f>IF(A1198=B1157,"New Revenue Adjustments",IF(AND(C1198=D1157,A1198&lt;B1157),"Attrition Necessary",0))</f>
        <v>0</v>
      </c>
      <c r="E1198" s="522">
        <f t="shared" si="700"/>
        <v>0</v>
      </c>
      <c r="F1198" s="522">
        <f t="shared" si="700"/>
        <v>0</v>
      </c>
      <c r="G1198" s="522">
        <f t="shared" si="700"/>
        <v>0</v>
      </c>
      <c r="H1198" s="522">
        <f t="shared" si="700"/>
        <v>0</v>
      </c>
      <c r="I1198" s="522">
        <f t="shared" si="700"/>
        <v>0</v>
      </c>
      <c r="J1198" s="522">
        <f t="shared" si="700"/>
        <v>0</v>
      </c>
      <c r="K1198" s="522">
        <f t="shared" si="700"/>
        <v>0</v>
      </c>
      <c r="L1198" s="522">
        <f t="shared" si="700"/>
        <v>0</v>
      </c>
      <c r="M1198" s="522">
        <f t="shared" si="700"/>
        <v>0</v>
      </c>
      <c r="N1198" s="522">
        <f t="shared" si="700"/>
        <v>0</v>
      </c>
      <c r="O1198" s="410" t="s">
        <v>2496</v>
      </c>
    </row>
    <row r="1199" spans="1:15" s="217" customFormat="1">
      <c r="A1199" s="217">
        <v>28</v>
      </c>
      <c r="B1199" s="10" t="s">
        <v>2408</v>
      </c>
      <c r="C1199" s="11" t="s">
        <v>902</v>
      </c>
      <c r="D1199" s="217">
        <f>IF(A1199=B1157,"New Revenue Adjustments",IF(AND(C1199=D1157,A1199&lt;B1157),"Attrition Necessary",0))</f>
        <v>0</v>
      </c>
      <c r="E1199" s="522">
        <f t="shared" si="700"/>
        <v>0</v>
      </c>
      <c r="F1199" s="522">
        <f t="shared" si="700"/>
        <v>0</v>
      </c>
      <c r="G1199" s="522">
        <f t="shared" si="700"/>
        <v>0</v>
      </c>
      <c r="H1199" s="522">
        <f t="shared" si="700"/>
        <v>0</v>
      </c>
      <c r="I1199" s="522">
        <f t="shared" si="700"/>
        <v>0</v>
      </c>
      <c r="J1199" s="522">
        <f t="shared" si="700"/>
        <v>0</v>
      </c>
      <c r="K1199" s="522">
        <f t="shared" si="700"/>
        <v>0</v>
      </c>
      <c r="L1199" s="522">
        <f t="shared" si="700"/>
        <v>0</v>
      </c>
      <c r="M1199" s="522">
        <f t="shared" si="700"/>
        <v>0</v>
      </c>
      <c r="N1199" s="522">
        <f t="shared" si="700"/>
        <v>0</v>
      </c>
      <c r="O1199" s="410" t="s">
        <v>2497</v>
      </c>
    </row>
    <row r="1200" spans="1:15" s="217" customFormat="1">
      <c r="A1200" s="217">
        <v>29</v>
      </c>
      <c r="B1200" s="10" t="s">
        <v>2413</v>
      </c>
      <c r="C1200" s="11" t="s">
        <v>899</v>
      </c>
      <c r="D1200" s="217">
        <f>IF(A1200=B1157,"New Revenue Adjustments",IF(AND(C1200=D1157,A1200&lt;B1157),"Attrition Necessary",0))</f>
        <v>0</v>
      </c>
      <c r="E1200" s="522">
        <f t="shared" si="700"/>
        <v>0</v>
      </c>
      <c r="F1200" s="522">
        <f t="shared" si="700"/>
        <v>0</v>
      </c>
      <c r="G1200" s="522">
        <f t="shared" si="700"/>
        <v>0</v>
      </c>
      <c r="H1200" s="522">
        <f t="shared" si="700"/>
        <v>0</v>
      </c>
      <c r="I1200" s="522">
        <f t="shared" si="700"/>
        <v>0</v>
      </c>
      <c r="J1200" s="522">
        <f t="shared" si="700"/>
        <v>0</v>
      </c>
      <c r="K1200" s="522">
        <f t="shared" si="700"/>
        <v>0</v>
      </c>
      <c r="L1200" s="522">
        <f t="shared" si="700"/>
        <v>0</v>
      </c>
      <c r="M1200" s="522">
        <f t="shared" si="700"/>
        <v>0</v>
      </c>
      <c r="N1200" s="522">
        <f t="shared" si="700"/>
        <v>0</v>
      </c>
      <c r="O1200" s="410" t="s">
        <v>2498</v>
      </c>
    </row>
    <row r="1201" spans="1:17" s="217" customFormat="1">
      <c r="A1201" s="217">
        <v>30</v>
      </c>
      <c r="B1201" s="10" t="s">
        <v>2413</v>
      </c>
      <c r="C1201" s="11" t="s">
        <v>900</v>
      </c>
      <c r="D1201" s="217">
        <f>IF(A1201=B1157,"New Revenue Adjustments",IF(AND(C1201=D1157,A1201&lt;B1157),"Attrition Necessary",0))</f>
        <v>0</v>
      </c>
      <c r="E1201" s="522">
        <f t="shared" si="700"/>
        <v>0</v>
      </c>
      <c r="F1201" s="522">
        <f t="shared" si="700"/>
        <v>0</v>
      </c>
      <c r="G1201" s="522">
        <f t="shared" si="700"/>
        <v>0</v>
      </c>
      <c r="H1201" s="522">
        <f t="shared" si="700"/>
        <v>0</v>
      </c>
      <c r="I1201" s="522">
        <f t="shared" si="700"/>
        <v>0</v>
      </c>
      <c r="J1201" s="522">
        <f t="shared" si="700"/>
        <v>0</v>
      </c>
      <c r="K1201" s="522">
        <f t="shared" si="700"/>
        <v>0</v>
      </c>
      <c r="L1201" s="522">
        <f t="shared" si="700"/>
        <v>0</v>
      </c>
      <c r="M1201" s="522">
        <f t="shared" si="700"/>
        <v>0</v>
      </c>
      <c r="N1201" s="522">
        <f t="shared" si="700"/>
        <v>0</v>
      </c>
      <c r="O1201" s="410" t="s">
        <v>2499</v>
      </c>
    </row>
    <row r="1202" spans="1:17" s="217" customFormat="1">
      <c r="A1202" s="217">
        <v>31</v>
      </c>
      <c r="B1202" s="10" t="s">
        <v>2413</v>
      </c>
      <c r="C1202" s="11" t="s">
        <v>901</v>
      </c>
      <c r="D1202" s="217">
        <f>IF(A1202=B1157,"New Revenue Adjustments",IF(AND(C1202=D1157,A1202&lt;B1157),"Attrition Necessary",0))</f>
        <v>0</v>
      </c>
      <c r="E1202" s="522">
        <f t="shared" si="700"/>
        <v>0</v>
      </c>
      <c r="F1202" s="522">
        <f t="shared" si="700"/>
        <v>0</v>
      </c>
      <c r="G1202" s="522">
        <f t="shared" si="700"/>
        <v>0</v>
      </c>
      <c r="H1202" s="522">
        <f t="shared" si="700"/>
        <v>0</v>
      </c>
      <c r="I1202" s="522">
        <f t="shared" si="700"/>
        <v>0</v>
      </c>
      <c r="J1202" s="522">
        <f t="shared" si="700"/>
        <v>0</v>
      </c>
      <c r="K1202" s="522">
        <f t="shared" si="700"/>
        <v>0</v>
      </c>
      <c r="L1202" s="522">
        <f t="shared" si="700"/>
        <v>0</v>
      </c>
      <c r="M1202" s="522">
        <f t="shared" si="700"/>
        <v>0</v>
      </c>
      <c r="N1202" s="522">
        <f t="shared" si="700"/>
        <v>0</v>
      </c>
      <c r="O1202" s="410" t="s">
        <v>2500</v>
      </c>
    </row>
    <row r="1203" spans="1:17" s="217" customFormat="1">
      <c r="A1203" s="217">
        <v>32</v>
      </c>
      <c r="B1203" s="10" t="s">
        <v>2413</v>
      </c>
      <c r="C1203" s="11" t="s">
        <v>902</v>
      </c>
      <c r="D1203" s="217">
        <f>IF(A1203=B1157,"New Revenue Adjustments",IF(AND(C1203=D1157,A1203&lt;B1157),"Attrition Necessary",0))</f>
        <v>0</v>
      </c>
      <c r="E1203" s="522">
        <f t="shared" si="700"/>
        <v>0</v>
      </c>
      <c r="F1203" s="522">
        <f t="shared" si="700"/>
        <v>0</v>
      </c>
      <c r="G1203" s="522">
        <f t="shared" si="700"/>
        <v>0</v>
      </c>
      <c r="H1203" s="522">
        <f t="shared" si="700"/>
        <v>0</v>
      </c>
      <c r="I1203" s="522">
        <f t="shared" si="700"/>
        <v>0</v>
      </c>
      <c r="J1203" s="522">
        <f t="shared" si="700"/>
        <v>0</v>
      </c>
      <c r="K1203" s="522">
        <f t="shared" si="700"/>
        <v>0</v>
      </c>
      <c r="L1203" s="522">
        <f t="shared" si="700"/>
        <v>0</v>
      </c>
      <c r="M1203" s="522">
        <f t="shared" si="700"/>
        <v>0</v>
      </c>
      <c r="N1203" s="522">
        <f t="shared" si="700"/>
        <v>0</v>
      </c>
      <c r="O1203" s="410" t="s">
        <v>2501</v>
      </c>
    </row>
    <row r="1204" spans="1:17" s="217" customFormat="1">
      <c r="D1204" s="217" t="s">
        <v>908</v>
      </c>
      <c r="E1204" s="427">
        <f>SUM(E1172:E1203)</f>
        <v>56908390.58385019</v>
      </c>
      <c r="F1204" s="427">
        <f t="shared" ref="F1204:I1204" si="701">SUM(F1172:F1203)</f>
        <v>56908390.58385019</v>
      </c>
      <c r="G1204" s="427">
        <f t="shared" si="701"/>
        <v>56908390.58385019</v>
      </c>
      <c r="H1204" s="427">
        <f t="shared" si="701"/>
        <v>56908390.58385019</v>
      </c>
      <c r="I1204" s="427">
        <f t="shared" si="701"/>
        <v>56908390.58385019</v>
      </c>
      <c r="J1204" s="427">
        <f t="shared" ref="J1204:N1204" si="702">SUM(J1172:J1203)</f>
        <v>56908390.58385019</v>
      </c>
      <c r="K1204" s="427">
        <f t="shared" si="702"/>
        <v>56908390.58385019</v>
      </c>
      <c r="L1204" s="427">
        <f t="shared" si="702"/>
        <v>56908390.58385019</v>
      </c>
      <c r="M1204" s="427">
        <f t="shared" si="702"/>
        <v>56908390.58385019</v>
      </c>
      <c r="N1204" s="427">
        <f t="shared" si="702"/>
        <v>56908390.58385019</v>
      </c>
      <c r="O1204" s="217" t="s">
        <v>1466</v>
      </c>
    </row>
    <row r="1205" spans="1:17" s="217" customFormat="1">
      <c r="E1205" s="409"/>
      <c r="F1205" s="409"/>
      <c r="G1205" s="409"/>
      <c r="H1205" s="409"/>
      <c r="I1205" s="409"/>
      <c r="J1205" s="409"/>
      <c r="K1205" s="409"/>
      <c r="L1205" s="409"/>
      <c r="M1205" s="409"/>
      <c r="N1205" s="409"/>
    </row>
    <row r="1206" spans="1:17">
      <c r="A1206" s="217"/>
      <c r="B1206" s="69">
        <v>20</v>
      </c>
      <c r="C1206" s="217" t="s">
        <v>1279</v>
      </c>
      <c r="D1206" s="217" t="s">
        <v>902</v>
      </c>
    </row>
    <row r="1207" spans="1:17" s="217" customFormat="1">
      <c r="C1207" s="217" t="s">
        <v>1736</v>
      </c>
      <c r="E1207" s="409"/>
      <c r="F1207" s="409"/>
      <c r="G1207" s="409"/>
      <c r="H1207" s="409"/>
      <c r="I1207" s="409"/>
      <c r="J1207" s="409"/>
      <c r="K1207" s="409"/>
      <c r="L1207" s="409"/>
      <c r="M1207" s="409"/>
      <c r="N1207" s="409"/>
    </row>
    <row r="1208" spans="1:17" s="410" customFormat="1">
      <c r="D1208" s="410" t="s">
        <v>1754</v>
      </c>
      <c r="E1208" s="547">
        <f t="shared" ref="E1208:N1208" si="703">FORECAST(calcNPS,datatblNPSAttrition,datatblNPSScore)</f>
        <v>0.14946428571428572</v>
      </c>
      <c r="F1208" s="547">
        <f t="shared" si="703"/>
        <v>0.14946428571428572</v>
      </c>
      <c r="G1208" s="547">
        <f t="shared" si="703"/>
        <v>0.14946428571428572</v>
      </c>
      <c r="H1208" s="547">
        <f t="shared" si="703"/>
        <v>0.14946428571428572</v>
      </c>
      <c r="I1208" s="547">
        <f t="shared" si="703"/>
        <v>0.14946428571428572</v>
      </c>
      <c r="J1208" s="547">
        <f t="shared" si="703"/>
        <v>0.14946428571428572</v>
      </c>
      <c r="K1208" s="547">
        <f t="shared" si="703"/>
        <v>0.14946428571428572</v>
      </c>
      <c r="L1208" s="547">
        <f t="shared" si="703"/>
        <v>0.14946428571428572</v>
      </c>
      <c r="M1208" s="547">
        <f t="shared" si="703"/>
        <v>0.14946428571428572</v>
      </c>
      <c r="N1208" s="547">
        <f t="shared" si="703"/>
        <v>0.14946428571428572</v>
      </c>
    </row>
    <row r="1209" spans="1:17" s="410" customFormat="1">
      <c r="D1209" s="410" t="s">
        <v>1753</v>
      </c>
      <c r="E1209" s="547">
        <f>Data!$D$277</f>
        <v>0.1515124491492886</v>
      </c>
      <c r="F1209" s="547">
        <f>Data!$D$277</f>
        <v>0.1515124491492886</v>
      </c>
      <c r="G1209" s="547">
        <f>Data!$D$277</f>
        <v>0.1515124491492886</v>
      </c>
      <c r="H1209" s="547">
        <f>Data!$D$277</f>
        <v>0.1515124491492886</v>
      </c>
      <c r="I1209" s="547">
        <f>Data!$D$277</f>
        <v>0.1515124491492886</v>
      </c>
      <c r="J1209" s="547">
        <f>Data!$D$277</f>
        <v>0.1515124491492886</v>
      </c>
      <c r="K1209" s="547">
        <f>Data!$D$277</f>
        <v>0.1515124491492886</v>
      </c>
      <c r="L1209" s="547">
        <f>Data!$D$277</f>
        <v>0.1515124491492886</v>
      </c>
      <c r="M1209" s="547">
        <f>Data!$D$277</f>
        <v>0.1515124491492886</v>
      </c>
      <c r="N1209" s="547">
        <f>Data!$D$277</f>
        <v>0.1515124491492886</v>
      </c>
    </row>
    <row r="1210" spans="1:17" s="217" customFormat="1">
      <c r="D1210" s="217" t="s">
        <v>1755</v>
      </c>
      <c r="E1210" s="411">
        <f>E1208-E1209</f>
        <v>-2.0481634350028866E-3</v>
      </c>
      <c r="F1210" s="411">
        <f t="shared" ref="F1210" si="704">F1208-F1209</f>
        <v>-2.0481634350028866E-3</v>
      </c>
      <c r="G1210" s="411">
        <f t="shared" ref="G1210" si="705">G1208-G1209</f>
        <v>-2.0481634350028866E-3</v>
      </c>
      <c r="H1210" s="411">
        <f t="shared" ref="H1210" si="706">H1208-H1209</f>
        <v>-2.0481634350028866E-3</v>
      </c>
      <c r="I1210" s="411">
        <f t="shared" ref="I1210:N1210" si="707">I1208-I1209</f>
        <v>-2.0481634350028866E-3</v>
      </c>
      <c r="J1210" s="411">
        <f t="shared" si="707"/>
        <v>-2.0481634350028866E-3</v>
      </c>
      <c r="K1210" s="411">
        <f t="shared" si="707"/>
        <v>-2.0481634350028866E-3</v>
      </c>
      <c r="L1210" s="411">
        <f t="shared" si="707"/>
        <v>-2.0481634350028866E-3</v>
      </c>
      <c r="M1210" s="411">
        <f t="shared" si="707"/>
        <v>-2.0481634350028866E-3</v>
      </c>
      <c r="N1210" s="411">
        <f t="shared" si="707"/>
        <v>-2.0481634350028866E-3</v>
      </c>
      <c r="O1210" s="217" t="s">
        <v>1773</v>
      </c>
    </row>
    <row r="1211" spans="1:17" s="217" customFormat="1">
      <c r="C1211" s="217" t="s">
        <v>1757</v>
      </c>
      <c r="E1211" s="411"/>
      <c r="F1211" s="411"/>
      <c r="G1211" s="411"/>
      <c r="H1211" s="411"/>
      <c r="I1211" s="411"/>
      <c r="J1211" s="411"/>
      <c r="K1211" s="411"/>
      <c r="L1211" s="411"/>
      <c r="M1211" s="411"/>
      <c r="N1211" s="411"/>
    </row>
    <row r="1212" spans="1:17">
      <c r="D1212" s="69" t="s">
        <v>1151</v>
      </c>
      <c r="E1212" s="425">
        <f>IF(calcOrg62Timeline&lt;=$Q1212,INDEX(datatblOrg62Timeline,MATCH(decGTMOrg62Timeline,Data!$C$106:$C$111,0),2),0)*paramOrg62Impacts</f>
        <v>0</v>
      </c>
      <c r="F1212" s="425">
        <f>IF(calcOrg62Timeline&lt;=$Q1212,INDEX(datatblOrg62Timeline,MATCH(decGTMOrg62Timeline,Data!$C$106:$C$111,0),2),0)*paramOrg62Impacts</f>
        <v>0</v>
      </c>
      <c r="G1212" s="425">
        <f>IF(calcOrg62Timeline&lt;=$Q1212,INDEX(datatblOrg62Timeline,MATCH(decGTMOrg62Timeline,Data!$C$106:$C$111,0),2),0)*paramOrg62Impacts</f>
        <v>0</v>
      </c>
      <c r="H1212" s="425">
        <f>IF(calcOrg62Timeline&lt;=$Q1212,INDEX(datatblOrg62Timeline,MATCH(decGTMOrg62Timeline,Data!$C$106:$C$111,0),2),0)*paramOrg62Impacts</f>
        <v>0</v>
      </c>
      <c r="I1212" s="425">
        <f>IF(calcOrg62Timeline&lt;=$Q1212,INDEX(datatblOrg62Timeline,MATCH(decGTMOrg62Timeline,Data!$C$106:$C$111,0),2),0)*paramOrg62Impacts</f>
        <v>0</v>
      </c>
      <c r="J1212" s="425">
        <f>IF(calcOrg62Timeline&lt;=$Q1212,INDEX(datatblOrg62Timeline,MATCH(decGTMOrg62Timeline,Data!$C$106:$C$111,0),2),0)*paramOrg62Impacts</f>
        <v>0</v>
      </c>
      <c r="K1212" s="425">
        <f>IF(calcOrg62Timeline&lt;=$Q1212,INDEX(datatblOrg62Timeline,MATCH(decGTMOrg62Timeline,Data!$C$106:$C$111,0),2),0)*paramOrg62Impacts</f>
        <v>0</v>
      </c>
      <c r="L1212" s="425">
        <f>IF(calcOrg62Timeline&lt;=$Q1212,INDEX(datatblOrg62Timeline,MATCH(decGTMOrg62Timeline,Data!$C$106:$C$111,0),2),0)*paramOrg62Impacts</f>
        <v>0</v>
      </c>
      <c r="M1212" s="425">
        <f>IF(calcOrg62Timeline&lt;=$Q1212,INDEX(datatblOrg62Timeline,MATCH(decGTMOrg62Timeline,Data!$C$106:$C$111,0),2),0)*paramOrg62Impacts</f>
        <v>0</v>
      </c>
      <c r="N1212" s="425">
        <f>IF(calcOrg62Timeline&lt;=$Q1212,INDEX(datatblOrg62Timeline,MATCH(decGTMOrg62Timeline,Data!$C$106:$C$111,0),2),0)*paramOrg62Impacts</f>
        <v>0</v>
      </c>
      <c r="Q1212" s="69">
        <v>24</v>
      </c>
    </row>
    <row r="1213" spans="1:17">
      <c r="D1213" s="69" t="s">
        <v>507</v>
      </c>
      <c r="E1213" s="425">
        <f>IF(calcProductTimeline&lt;=$Q1213,INDEX(datatblStackFocusImpact,MATCH(decProductStackFocus,Data!$C$96:$C$101,0),2),0)+paramACVGrowthStack</f>
        <v>0</v>
      </c>
      <c r="F1213" s="425">
        <f>IF(calcProductTimeline&lt;=$Q1213,INDEX(datatblStackFocusImpact,MATCH(decProductStackFocus,Data!$C$96:$C$101,0),2),0)+paramACVGrowthStack</f>
        <v>0</v>
      </c>
      <c r="G1213" s="425">
        <f>IF(calcProductTimeline&lt;=$Q1213,INDEX(datatblStackFocusImpact,MATCH(decProductStackFocus,Data!$C$96:$C$101,0),2),0)+paramACVGrowthStack</f>
        <v>0</v>
      </c>
      <c r="H1213" s="425">
        <f>IF(calcProductTimeline&lt;=$Q1213,INDEX(datatblStackFocusImpact,MATCH(decProductStackFocus,Data!$C$96:$C$101,0),2),0)+paramACVGrowthStack</f>
        <v>0</v>
      </c>
      <c r="I1213" s="425">
        <f>IF(calcProductTimeline&lt;=$Q1213,INDEX(datatblStackFocusImpact,MATCH(decProductStackFocus,Data!$C$96:$C$101,0),2),0)+paramACVGrowthStack</f>
        <v>0</v>
      </c>
      <c r="J1213" s="425">
        <f>IF(calcProductTimeline&lt;=$Q1213,INDEX(datatblStackFocusImpact,MATCH(decProductStackFocus,Data!$C$96:$C$101,0),2),0)+paramACVGrowthStack</f>
        <v>0</v>
      </c>
      <c r="K1213" s="425">
        <f>IF(calcProductTimeline&lt;=$Q1213,INDEX(datatblStackFocusImpact,MATCH(decProductStackFocus,Data!$C$96:$C$101,0),2),0)+paramACVGrowthStack</f>
        <v>0</v>
      </c>
      <c r="L1213" s="425">
        <f>IF(calcProductTimeline&lt;=$Q1213,INDEX(datatblStackFocusImpact,MATCH(decProductStackFocus,Data!$C$96:$C$101,0),2),0)+paramACVGrowthStack</f>
        <v>0</v>
      </c>
      <c r="M1213" s="425">
        <f>IF(calcProductTimeline&lt;=$Q1213,INDEX(datatblStackFocusImpact,MATCH(decProductStackFocus,Data!$C$96:$C$101,0),2),0)+paramACVGrowthStack</f>
        <v>0</v>
      </c>
      <c r="N1213" s="425">
        <f>IF(calcProductTimeline&lt;=$Q1213,INDEX(datatblStackFocusImpact,MATCH(decProductStackFocus,Data!$C$96:$C$101,0),2),0)+paramACVGrowthStack</f>
        <v>0</v>
      </c>
      <c r="Q1213" s="69">
        <f>Q1212</f>
        <v>24</v>
      </c>
    </row>
    <row r="1214" spans="1:17">
      <c r="D1214" s="69" t="s">
        <v>2237</v>
      </c>
      <c r="E1214" s="425">
        <f>IF(calcExternalSalesTimeline&lt;=$Q1214,INDEX(datatblExternalSalesImpact,MATCH(decGTMExternalSales,Data!$C$85:$C$90,0),2),0)</f>
        <v>0</v>
      </c>
      <c r="F1214" s="425">
        <f>IF(calcExternalSalesTimeline&lt;=$Q1214,INDEX(datatblExternalSalesImpact,MATCH(decGTMExternalSales,Data!$C$85:$C$90,0),2),0)</f>
        <v>0</v>
      </c>
      <c r="G1214" s="425">
        <f>IF(calcExternalSalesTimeline&lt;=$Q1214,INDEX(datatblExternalSalesImpact,MATCH(decGTMExternalSales,Data!$C$85:$C$90,0),2),0)</f>
        <v>0</v>
      </c>
      <c r="H1214" s="425">
        <f>IF(calcExternalSalesTimeline&lt;=$Q1214,INDEX(datatblExternalSalesImpact,MATCH(decGTMExternalSales,Data!$C$85:$C$90,0),2),0)</f>
        <v>0</v>
      </c>
      <c r="I1214" s="425">
        <f>IF(calcExternalSalesTimeline&lt;=$Q1214,INDEX(datatblExternalSalesImpact,MATCH(decGTMExternalSales,Data!$C$85:$C$90,0),2),0)</f>
        <v>0</v>
      </c>
      <c r="J1214" s="425">
        <f>IF(calcExternalSalesTimeline&lt;=$Q1214,INDEX(datatblExternalSalesImpact,MATCH(decGTMExternalSales,Data!$C$85:$C$90,0),2),0)</f>
        <v>0</v>
      </c>
      <c r="K1214" s="425">
        <f>IF(calcExternalSalesTimeline&lt;=$Q1214,INDEX(datatblExternalSalesImpact,MATCH(decGTMExternalSales,Data!$C$85:$C$90,0),2),0)</f>
        <v>0</v>
      </c>
      <c r="L1214" s="425">
        <f>IF(calcExternalSalesTimeline&lt;=$Q1214,INDEX(datatblExternalSalesImpact,MATCH(decGTMExternalSales,Data!$C$85:$C$90,0),2),0)</f>
        <v>0</v>
      </c>
      <c r="M1214" s="425">
        <f>IF(calcExternalSalesTimeline&lt;=$Q1214,INDEX(datatblExternalSalesImpact,MATCH(decGTMExternalSales,Data!$C$85:$C$90,0),2),0)</f>
        <v>0</v>
      </c>
      <c r="N1214" s="425">
        <f>IF(calcExternalSalesTimeline&lt;=$Q1214,INDEX(datatblExternalSalesImpact,MATCH(decGTMExternalSales,Data!$C$85:$C$90,0),2),0)</f>
        <v>0</v>
      </c>
      <c r="O1214" s="482"/>
      <c r="P1214" s="482"/>
      <c r="Q1214" s="69">
        <f>Q1213</f>
        <v>24</v>
      </c>
    </row>
    <row r="1215" spans="1:17">
      <c r="D1215" s="69" t="s">
        <v>2284</v>
      </c>
      <c r="E1215" s="425">
        <f>IF(calcCSGTimeline&lt;=$Q1215,INDEX(datatblCSGPostSales,MATCH(decGTMCSGPostSales,Data!$C$204:$C$209,0),3),0)</f>
        <v>0</v>
      </c>
      <c r="F1215" s="425">
        <f>IF(calcCSGTimeline&lt;=$Q1215,INDEX(datatblCSGPostSales,MATCH(decGTMCSGPostSales,Data!$C$204:$C$209,0),3),0)</f>
        <v>0</v>
      </c>
      <c r="G1215" s="425">
        <f>IF(calcCSGTimeline&lt;=$Q1215,INDEX(datatblCSGPostSales,MATCH(decGTMCSGPostSales,Data!$C$204:$C$209,0),3),0)</f>
        <v>0</v>
      </c>
      <c r="H1215" s="425">
        <f>IF(calcCSGTimeline&lt;=$Q1215,INDEX(datatblCSGPostSales,MATCH(decGTMCSGPostSales,Data!$C$204:$C$209,0),3),0)</f>
        <v>0</v>
      </c>
      <c r="I1215" s="425">
        <f>IF(calcCSGTimeline&lt;=$Q1215,INDEX(datatblCSGPostSales,MATCH(decGTMCSGPostSales,Data!$C$204:$C$209,0),3),0)</f>
        <v>0</v>
      </c>
      <c r="J1215" s="425">
        <f>IF(calcCSGTimeline&lt;=$Q1215,INDEX(datatblCSGPostSales,MATCH(decGTMCSGPostSales,Data!$C$204:$C$209,0),3),0)</f>
        <v>0</v>
      </c>
      <c r="K1215" s="425">
        <f>IF(calcCSGTimeline&lt;=$Q1215,INDEX(datatblCSGPostSales,MATCH(decGTMCSGPostSales,Data!$C$204:$C$209,0),3),0)</f>
        <v>0</v>
      </c>
      <c r="L1215" s="425">
        <f>IF(calcCSGTimeline&lt;=$Q1215,INDEX(datatblCSGPostSales,MATCH(decGTMCSGPostSales,Data!$C$204:$C$209,0),3),0)</f>
        <v>0</v>
      </c>
      <c r="M1215" s="425">
        <f>IF(calcCSGTimeline&lt;=$Q1215,INDEX(datatblCSGPostSales,MATCH(decGTMCSGPostSales,Data!$C$204:$C$209,0),3),0)</f>
        <v>0</v>
      </c>
      <c r="N1215" s="425">
        <f>IF(calcCSGTimeline&lt;=$Q1215,INDEX(datatblCSGPostSales,MATCH(decGTMCSGPostSales,Data!$C$204:$C$209,0),3),0)</f>
        <v>0</v>
      </c>
      <c r="O1215" s="482"/>
      <c r="P1215" s="482"/>
      <c r="Q1215" s="69">
        <f>Q1214</f>
        <v>24</v>
      </c>
    </row>
    <row r="1216" spans="1:17">
      <c r="D1216" s="69" t="s">
        <v>3079</v>
      </c>
      <c r="E1216" s="425">
        <f>IF(calcBrandIntegrationTimeline&lt;=$Q1216,INDEX(datatblBrandIntegration,MATCH(decGTMBrandIntegration,Data!$C$220:$C$226,0),3),0)</f>
        <v>0</v>
      </c>
      <c r="F1216" s="425">
        <f>IF(calcBrandIntegrationTimeline&lt;=$Q1216,INDEX(datatblBrandIntegration,MATCH(decGTMBrandIntegration,Data!$C$220:$C$226,0),3),0)</f>
        <v>0</v>
      </c>
      <c r="G1216" s="425">
        <f>IF(calcBrandIntegrationTimeline&lt;=$Q1216,INDEX(datatblBrandIntegration,MATCH(decGTMBrandIntegration,Data!$C$220:$C$226,0),3),0)</f>
        <v>0</v>
      </c>
      <c r="H1216" s="425">
        <f>IF(calcBrandIntegrationTimeline&lt;=$Q1216,INDEX(datatblBrandIntegration,MATCH(decGTMBrandIntegration,Data!$C$220:$C$226,0),3),0)</f>
        <v>0</v>
      </c>
      <c r="I1216" s="425">
        <f>IF(calcBrandIntegrationTimeline&lt;=$Q1216,INDEX(datatblBrandIntegration,MATCH(decGTMBrandIntegration,Data!$C$220:$C$226,0),3),0)</f>
        <v>0</v>
      </c>
      <c r="J1216" s="425">
        <f>IF(calcBrandIntegrationTimeline&lt;=$Q1216,INDEX(datatblBrandIntegration,MATCH(decGTMBrandIntegration,Data!$C$220:$C$226,0),3),0)</f>
        <v>0</v>
      </c>
      <c r="K1216" s="425">
        <f>IF(calcBrandIntegrationTimeline&lt;=$Q1216,INDEX(datatblBrandIntegration,MATCH(decGTMBrandIntegration,Data!$C$220:$C$226,0),3),0)</f>
        <v>0</v>
      </c>
      <c r="L1216" s="425">
        <f>IF(calcBrandIntegrationTimeline&lt;=$Q1216,INDEX(datatblBrandIntegration,MATCH(decGTMBrandIntegration,Data!$C$220:$C$226,0),3),0)</f>
        <v>0</v>
      </c>
      <c r="M1216" s="425">
        <f>IF(calcBrandIntegrationTimeline&lt;=$Q1216,INDEX(datatblBrandIntegration,MATCH(decGTMBrandIntegration,Data!$C$220:$C$226,0),3),0)</f>
        <v>0</v>
      </c>
      <c r="N1216" s="425">
        <f>IF(calcBrandIntegrationTimeline&lt;=$Q1216,INDEX(datatblBrandIntegration,MATCH(decGTMBrandIntegration,Data!$C$220:$C$226,0),3),0)</f>
        <v>0</v>
      </c>
      <c r="O1216" s="482"/>
      <c r="P1216" s="482"/>
      <c r="Q1216" s="69">
        <f>Q1215</f>
        <v>24</v>
      </c>
    </row>
    <row r="1217" spans="1:18">
      <c r="D1217" s="69" t="s">
        <v>2277</v>
      </c>
      <c r="E1217" s="425">
        <f>IF(decGTMOrg62Timeline="choose",0,IF(E1212=0,INDEX(datatblLeadPass,MATCH(decGTMLeadPass,Data!$C$212:$C$217,0),3),0))</f>
        <v>0</v>
      </c>
      <c r="F1217" s="425">
        <f>IF(decGTMOrg62Timeline="choose",0,IF(F1212=0,INDEX(datatblLeadPass,MATCH(decGTMLeadPass,Data!$C$212:$C$217,0),3),0))</f>
        <v>0</v>
      </c>
      <c r="G1217" s="425">
        <f>IF(decGTMOrg62Timeline="choose",0,IF(G1212=0,INDEX(datatblLeadPass,MATCH(decGTMLeadPass,Data!$C$212:$C$217,0),3),0))</f>
        <v>0</v>
      </c>
      <c r="H1217" s="425">
        <f>IF(decGTMOrg62Timeline="choose",0,IF(H1212=0,INDEX(datatblLeadPass,MATCH(decGTMLeadPass,Data!$C$212:$C$217,0),3),0))</f>
        <v>0</v>
      </c>
      <c r="I1217" s="425">
        <f>IF(decGTMOrg62Timeline="choose",0,IF(I1212=0,INDEX(datatblLeadPass,MATCH(decGTMLeadPass,Data!$C$212:$C$217,0),3),0))</f>
        <v>0</v>
      </c>
      <c r="J1217" s="425">
        <f>IF(decGTMOrg62Timeline="choose",0,IF(J1212=0,INDEX(datatblLeadPass,MATCH(decGTMLeadPass,Data!$C$212:$C$217,0),3),0))</f>
        <v>0</v>
      </c>
      <c r="K1217" s="425">
        <f>IF(decGTMOrg62Timeline="choose",0,IF(K1212=0,INDEX(datatblLeadPass,MATCH(decGTMLeadPass,Data!$C$212:$C$217,0),3),0))</f>
        <v>0</v>
      </c>
      <c r="L1217" s="425">
        <f>IF(decGTMOrg62Timeline="choose",0,IF(L1212=0,INDEX(datatblLeadPass,MATCH(decGTMLeadPass,Data!$C$212:$C$217,0),3),0))</f>
        <v>0</v>
      </c>
      <c r="M1217" s="425">
        <f>IF(decGTMOrg62Timeline="choose",0,IF(M1212=0,INDEX(datatblLeadPass,MATCH(decGTMLeadPass,Data!$C$212:$C$217,0),3),0))</f>
        <v>0</v>
      </c>
      <c r="N1217" s="425">
        <f>IF(decGTMOrg62Timeline="choose",0,IF(N1212=0,INDEX(datatblLeadPass,MATCH(decGTMLeadPass,Data!$C$212:$C$217,0),3),0))</f>
        <v>0</v>
      </c>
      <c r="O1217" s="482"/>
      <c r="P1217" s="482"/>
    </row>
    <row r="1218" spans="1:18">
      <c r="D1218" s="69" t="s">
        <v>1032</v>
      </c>
      <c r="E1218" s="425">
        <f>IF(decSecurityProductRestrictions="Yes",$Q1218,IF(decSecurityProductRestrictions="No",$R1218,$S1218))</f>
        <v>0</v>
      </c>
      <c r="F1218" s="425">
        <f t="shared" ref="F1218:N1218" si="708">IF(decSecurityProductRestrictions="Yes",$Q1218,IF(decSecurityProductRestrictions="No",$R1218,$S1218))</f>
        <v>0</v>
      </c>
      <c r="G1218" s="425">
        <f t="shared" si="708"/>
        <v>0</v>
      </c>
      <c r="H1218" s="425">
        <f t="shared" si="708"/>
        <v>0</v>
      </c>
      <c r="I1218" s="425">
        <f t="shared" si="708"/>
        <v>0</v>
      </c>
      <c r="J1218" s="425">
        <f t="shared" si="708"/>
        <v>0</v>
      </c>
      <c r="K1218" s="425">
        <f t="shared" si="708"/>
        <v>0</v>
      </c>
      <c r="L1218" s="425">
        <f t="shared" si="708"/>
        <v>0</v>
      </c>
      <c r="M1218" s="425">
        <f t="shared" si="708"/>
        <v>0</v>
      </c>
      <c r="N1218" s="425">
        <f t="shared" si="708"/>
        <v>0</v>
      </c>
      <c r="Q1218" s="482">
        <f>xxProductRestrictionACVHit</f>
        <v>-0.02</v>
      </c>
      <c r="R1218" s="482">
        <f>xxProductRestrictionACVIncrease</f>
        <v>0.02</v>
      </c>
    </row>
    <row r="1219" spans="1:18" s="217" customFormat="1">
      <c r="D1219" s="217" t="s">
        <v>1758</v>
      </c>
      <c r="E1219" s="411">
        <f t="shared" ref="E1219:N1219" si="709">SUM(E1212:E1218)+paramACVGrowthBaseline</f>
        <v>0</v>
      </c>
      <c r="F1219" s="411">
        <f t="shared" si="709"/>
        <v>0</v>
      </c>
      <c r="G1219" s="411">
        <f t="shared" si="709"/>
        <v>0</v>
      </c>
      <c r="H1219" s="411">
        <f t="shared" si="709"/>
        <v>0</v>
      </c>
      <c r="I1219" s="411">
        <f t="shared" si="709"/>
        <v>0</v>
      </c>
      <c r="J1219" s="411">
        <f t="shared" si="709"/>
        <v>0</v>
      </c>
      <c r="K1219" s="411">
        <f t="shared" si="709"/>
        <v>0</v>
      </c>
      <c r="L1219" s="411">
        <f t="shared" si="709"/>
        <v>0</v>
      </c>
      <c r="M1219" s="411">
        <f t="shared" si="709"/>
        <v>0</v>
      </c>
      <c r="N1219" s="411">
        <f t="shared" si="709"/>
        <v>0</v>
      </c>
      <c r="O1219" s="217" t="s">
        <v>1774</v>
      </c>
    </row>
    <row r="1220" spans="1:18" s="217" customFormat="1">
      <c r="E1220" s="411"/>
      <c r="F1220" s="411"/>
      <c r="G1220" s="411"/>
      <c r="H1220" s="411"/>
      <c r="I1220" s="411"/>
      <c r="J1220" s="411"/>
      <c r="K1220" s="411"/>
      <c r="L1220" s="411"/>
      <c r="M1220" s="411"/>
      <c r="N1220" s="411"/>
    </row>
    <row r="1221" spans="1:18" s="217" customFormat="1">
      <c r="A1221" s="217">
        <v>1</v>
      </c>
      <c r="B1221" s="10" t="s">
        <v>1735</v>
      </c>
      <c r="C1221" s="11" t="s">
        <v>899</v>
      </c>
      <c r="D1221" s="217">
        <f>IF(A1221=B1206,"New Revenue Adjustments",IF(AND(C1221=D1206,A1221&lt;B1206),"Attrition Necessary",0))</f>
        <v>0</v>
      </c>
      <c r="E1221" s="522">
        <f t="shared" ref="E1221:N1230" si="710">IF($B$1206&gt;$A1221,INDEX(calcY2Q3RevFlow,$A1221,calcTeamNum)*(IF($D1221="Attrition Necessary",1-calcQ2AttritionDifference,1)*(IF($D1221="New Revenue Adjustments",1+calcY2Q4RevenueAdjustment,1))),INDEX(dataY2Q4Rev,$A1221,)*(IF($D1221="Attrition Necessary",1-calcQ2AttritionDifference,1))*(IF($D1221="New Revenue Adjustments",1+calcY2Q4RevenueAdjustment,1)))</f>
        <v>921676.10199142725</v>
      </c>
      <c r="F1221" s="522">
        <f t="shared" si="710"/>
        <v>921676.10199142725</v>
      </c>
      <c r="G1221" s="522">
        <f t="shared" si="710"/>
        <v>921676.10199142725</v>
      </c>
      <c r="H1221" s="522">
        <f t="shared" si="710"/>
        <v>921676.10199142725</v>
      </c>
      <c r="I1221" s="522">
        <f t="shared" si="710"/>
        <v>921676.10199142725</v>
      </c>
      <c r="J1221" s="522">
        <f t="shared" si="710"/>
        <v>921676.10199142725</v>
      </c>
      <c r="K1221" s="522">
        <f t="shared" si="710"/>
        <v>921676.10199142725</v>
      </c>
      <c r="L1221" s="522">
        <f t="shared" si="710"/>
        <v>921676.10199142725</v>
      </c>
      <c r="M1221" s="522">
        <f t="shared" si="710"/>
        <v>921676.10199142725</v>
      </c>
      <c r="N1221" s="522">
        <f t="shared" si="710"/>
        <v>921676.10199142725</v>
      </c>
      <c r="O1221" s="410" t="s">
        <v>1915</v>
      </c>
    </row>
    <row r="1222" spans="1:18" s="217" customFormat="1">
      <c r="A1222" s="217">
        <v>2</v>
      </c>
      <c r="B1222" s="10" t="s">
        <v>1735</v>
      </c>
      <c r="C1222" s="11" t="s">
        <v>900</v>
      </c>
      <c r="D1222" s="217">
        <f>IF(A1222=B1206,"New Revenue Adjustments",IF(AND(C1222=D1206,A1222&lt;B1206),"Attrition Necessary",0))</f>
        <v>0</v>
      </c>
      <c r="E1222" s="522">
        <f t="shared" si="710"/>
        <v>1626487.2388084012</v>
      </c>
      <c r="F1222" s="522">
        <f t="shared" si="710"/>
        <v>1626487.2388084012</v>
      </c>
      <c r="G1222" s="522">
        <f t="shared" si="710"/>
        <v>1626487.2388084012</v>
      </c>
      <c r="H1222" s="522">
        <f t="shared" si="710"/>
        <v>1626487.2388084012</v>
      </c>
      <c r="I1222" s="522">
        <f t="shared" si="710"/>
        <v>1626487.2388084012</v>
      </c>
      <c r="J1222" s="522">
        <f t="shared" si="710"/>
        <v>1626487.2388084012</v>
      </c>
      <c r="K1222" s="522">
        <f t="shared" si="710"/>
        <v>1626487.2388084012</v>
      </c>
      <c r="L1222" s="522">
        <f t="shared" si="710"/>
        <v>1626487.2388084012</v>
      </c>
      <c r="M1222" s="522">
        <f t="shared" si="710"/>
        <v>1626487.2388084012</v>
      </c>
      <c r="N1222" s="522">
        <f t="shared" si="710"/>
        <v>1626487.2388084012</v>
      </c>
      <c r="O1222" s="410" t="s">
        <v>1916</v>
      </c>
    </row>
    <row r="1223" spans="1:18" s="217" customFormat="1">
      <c r="A1223" s="217">
        <v>3</v>
      </c>
      <c r="B1223" s="10" t="s">
        <v>1735</v>
      </c>
      <c r="C1223" s="11" t="s">
        <v>901</v>
      </c>
      <c r="D1223" s="217">
        <f>IF(A1223=B1206,"New Revenue Adjustments",IF(AND(C1223=D1206,A1223&lt;B1206),"Attrition Necessary",0))</f>
        <v>0</v>
      </c>
      <c r="E1223" s="522">
        <f t="shared" si="710"/>
        <v>2168649.6517445347</v>
      </c>
      <c r="F1223" s="522">
        <f t="shared" si="710"/>
        <v>2168649.6517445347</v>
      </c>
      <c r="G1223" s="522">
        <f t="shared" si="710"/>
        <v>2168649.6517445347</v>
      </c>
      <c r="H1223" s="522">
        <f t="shared" si="710"/>
        <v>2168649.6517445347</v>
      </c>
      <c r="I1223" s="522">
        <f t="shared" si="710"/>
        <v>2168649.6517445347</v>
      </c>
      <c r="J1223" s="522">
        <f t="shared" si="710"/>
        <v>2168649.6517445347</v>
      </c>
      <c r="K1223" s="522">
        <f t="shared" si="710"/>
        <v>2168649.6517445347</v>
      </c>
      <c r="L1223" s="522">
        <f t="shared" si="710"/>
        <v>2168649.6517445347</v>
      </c>
      <c r="M1223" s="522">
        <f t="shared" si="710"/>
        <v>2168649.6517445347</v>
      </c>
      <c r="N1223" s="522">
        <f t="shared" si="710"/>
        <v>2168649.6517445347</v>
      </c>
      <c r="O1223" s="410" t="s">
        <v>1917</v>
      </c>
    </row>
    <row r="1224" spans="1:18" s="217" customFormat="1">
      <c r="A1224" s="217">
        <v>4</v>
      </c>
      <c r="B1224" s="10" t="s">
        <v>1735</v>
      </c>
      <c r="C1224" s="11" t="s">
        <v>902</v>
      </c>
      <c r="D1224" s="217" t="str">
        <f>IF(A1224=B1206,"New Revenue Adjustments",IF(AND(C1224=D1206,A1224&lt;B1206),"Attrition Necessary",0))</f>
        <v>Attrition Necessary</v>
      </c>
      <c r="E1224" s="522">
        <f t="shared" si="710"/>
        <v>2710812.0646806685</v>
      </c>
      <c r="F1224" s="522">
        <f t="shared" si="710"/>
        <v>2710812.0646806685</v>
      </c>
      <c r="G1224" s="522">
        <f t="shared" si="710"/>
        <v>2710812.0646806685</v>
      </c>
      <c r="H1224" s="522">
        <f t="shared" si="710"/>
        <v>2710812.0646806685</v>
      </c>
      <c r="I1224" s="522">
        <f t="shared" si="710"/>
        <v>2710812.0646806685</v>
      </c>
      <c r="J1224" s="522">
        <f t="shared" si="710"/>
        <v>2710812.0646806685</v>
      </c>
      <c r="K1224" s="522">
        <f t="shared" si="710"/>
        <v>2710812.0646806685</v>
      </c>
      <c r="L1224" s="522">
        <f t="shared" si="710"/>
        <v>2710812.0646806685</v>
      </c>
      <c r="M1224" s="522">
        <f t="shared" si="710"/>
        <v>2710812.0646806685</v>
      </c>
      <c r="N1224" s="522">
        <f t="shared" si="710"/>
        <v>2710812.0646806685</v>
      </c>
      <c r="O1224" s="410" t="s">
        <v>1918</v>
      </c>
    </row>
    <row r="1225" spans="1:18" s="217" customFormat="1">
      <c r="A1225" s="217">
        <v>5</v>
      </c>
      <c r="B1225" s="10" t="s">
        <v>1729</v>
      </c>
      <c r="C1225" s="11" t="s">
        <v>899</v>
      </c>
      <c r="D1225" s="217">
        <f>IF(A1225=B1206,"New Revenue Adjustments",IF(AND(C1225=D1206,A1225&lt;B1206),"Attrition Necessary",0))</f>
        <v>0</v>
      </c>
      <c r="E1225" s="522">
        <f t="shared" si="710"/>
        <v>1084324.8258722674</v>
      </c>
      <c r="F1225" s="522">
        <f t="shared" si="710"/>
        <v>1084324.8258722674</v>
      </c>
      <c r="G1225" s="522">
        <f t="shared" si="710"/>
        <v>1084324.8258722674</v>
      </c>
      <c r="H1225" s="522">
        <f t="shared" si="710"/>
        <v>1084324.8258722674</v>
      </c>
      <c r="I1225" s="522">
        <f t="shared" si="710"/>
        <v>1084324.8258722674</v>
      </c>
      <c r="J1225" s="522">
        <f t="shared" si="710"/>
        <v>1084324.8258722674</v>
      </c>
      <c r="K1225" s="522">
        <f t="shared" si="710"/>
        <v>1084324.8258722674</v>
      </c>
      <c r="L1225" s="522">
        <f t="shared" si="710"/>
        <v>1084324.8258722674</v>
      </c>
      <c r="M1225" s="522">
        <f t="shared" si="710"/>
        <v>1084324.8258722674</v>
      </c>
      <c r="N1225" s="522">
        <f t="shared" si="710"/>
        <v>1084324.8258722674</v>
      </c>
      <c r="O1225" s="410" t="s">
        <v>1919</v>
      </c>
    </row>
    <row r="1226" spans="1:18" s="217" customFormat="1">
      <c r="A1226" s="217">
        <v>6</v>
      </c>
      <c r="B1226" s="10" t="s">
        <v>1729</v>
      </c>
      <c r="C1226" s="11" t="s">
        <v>900</v>
      </c>
      <c r="D1226" s="217">
        <f>IF(A1226=B1206,"New Revenue Adjustments",IF(AND(C1226=D1206,A1226&lt;B1206),"Attrition Necessary",0))</f>
        <v>0</v>
      </c>
      <c r="E1226" s="522">
        <f t="shared" si="710"/>
        <v>1561939.1197426142</v>
      </c>
      <c r="F1226" s="522">
        <f t="shared" si="710"/>
        <v>1561939.1197426142</v>
      </c>
      <c r="G1226" s="522">
        <f t="shared" si="710"/>
        <v>1561939.1197426142</v>
      </c>
      <c r="H1226" s="522">
        <f t="shared" si="710"/>
        <v>1561939.1197426142</v>
      </c>
      <c r="I1226" s="522">
        <f t="shared" si="710"/>
        <v>1561939.1197426142</v>
      </c>
      <c r="J1226" s="522">
        <f t="shared" si="710"/>
        <v>1561939.1197426142</v>
      </c>
      <c r="K1226" s="522">
        <f t="shared" si="710"/>
        <v>1561939.1197426142</v>
      </c>
      <c r="L1226" s="522">
        <f t="shared" si="710"/>
        <v>1561939.1197426142</v>
      </c>
      <c r="M1226" s="522">
        <f t="shared" si="710"/>
        <v>1561939.1197426142</v>
      </c>
      <c r="N1226" s="522">
        <f t="shared" si="710"/>
        <v>1561939.1197426142</v>
      </c>
      <c r="O1226" s="410" t="s">
        <v>1920</v>
      </c>
    </row>
    <row r="1227" spans="1:18" s="217" customFormat="1">
      <c r="A1227" s="217">
        <v>7</v>
      </c>
      <c r="B1227" s="10" t="s">
        <v>1729</v>
      </c>
      <c r="C1227" s="11" t="s">
        <v>901</v>
      </c>
      <c r="D1227" s="217">
        <f>IF(A1227=B1206,"New Revenue Adjustments",IF(AND(C1227=D1206,A1227&lt;B1206),"Attrition Necessary",0))</f>
        <v>0</v>
      </c>
      <c r="E1227" s="522">
        <f t="shared" si="710"/>
        <v>2413905.912329495</v>
      </c>
      <c r="F1227" s="522">
        <f t="shared" si="710"/>
        <v>2413905.912329495</v>
      </c>
      <c r="G1227" s="522">
        <f t="shared" si="710"/>
        <v>2413905.912329495</v>
      </c>
      <c r="H1227" s="522">
        <f t="shared" si="710"/>
        <v>2413905.912329495</v>
      </c>
      <c r="I1227" s="522">
        <f t="shared" si="710"/>
        <v>2413905.912329495</v>
      </c>
      <c r="J1227" s="522">
        <f t="shared" si="710"/>
        <v>2413905.912329495</v>
      </c>
      <c r="K1227" s="522">
        <f t="shared" si="710"/>
        <v>2413905.912329495</v>
      </c>
      <c r="L1227" s="522">
        <f t="shared" si="710"/>
        <v>2413905.912329495</v>
      </c>
      <c r="M1227" s="522">
        <f t="shared" si="710"/>
        <v>2413905.912329495</v>
      </c>
      <c r="N1227" s="522">
        <f t="shared" si="710"/>
        <v>2413905.912329495</v>
      </c>
      <c r="O1227" s="410" t="s">
        <v>1921</v>
      </c>
    </row>
    <row r="1228" spans="1:18" s="217" customFormat="1">
      <c r="A1228" s="217">
        <v>8</v>
      </c>
      <c r="B1228" s="10" t="s">
        <v>1729</v>
      </c>
      <c r="C1228" s="11" t="s">
        <v>902</v>
      </c>
      <c r="D1228" s="217" t="str">
        <f>IF(A1228=B1206,"New Revenue Adjustments",IF(AND(C1228=D1206,A1228&lt;B1206),"Attrition Necessary",0))</f>
        <v>Attrition Necessary</v>
      </c>
      <c r="E1228" s="522">
        <f t="shared" si="710"/>
        <v>3549861.6357786688</v>
      </c>
      <c r="F1228" s="522">
        <f t="shared" si="710"/>
        <v>3549861.6357786688</v>
      </c>
      <c r="G1228" s="522">
        <f t="shared" si="710"/>
        <v>3549861.6357786688</v>
      </c>
      <c r="H1228" s="522">
        <f t="shared" si="710"/>
        <v>3549861.6357786688</v>
      </c>
      <c r="I1228" s="522">
        <f t="shared" si="710"/>
        <v>3549861.6357786688</v>
      </c>
      <c r="J1228" s="522">
        <f t="shared" si="710"/>
        <v>3549861.6357786688</v>
      </c>
      <c r="K1228" s="522">
        <f t="shared" si="710"/>
        <v>3549861.6357786688</v>
      </c>
      <c r="L1228" s="522">
        <f t="shared" si="710"/>
        <v>3549861.6357786688</v>
      </c>
      <c r="M1228" s="522">
        <f t="shared" si="710"/>
        <v>3549861.6357786688</v>
      </c>
      <c r="N1228" s="522">
        <f t="shared" si="710"/>
        <v>3549861.6357786688</v>
      </c>
      <c r="O1228" s="410" t="s">
        <v>1922</v>
      </c>
    </row>
    <row r="1229" spans="1:18" s="217" customFormat="1">
      <c r="A1229" s="217">
        <v>9</v>
      </c>
      <c r="B1229" s="10" t="s">
        <v>405</v>
      </c>
      <c r="C1229" s="11" t="s">
        <v>899</v>
      </c>
      <c r="D1229" s="217">
        <f>IF(A1229=B1206,"New Revenue Adjustments",IF(AND(C1229=D1206,A1229&lt;B1206),"Attrition Necessary",0))</f>
        <v>0</v>
      </c>
      <c r="E1229" s="522">
        <f t="shared" si="710"/>
        <v>1597437.736100401</v>
      </c>
      <c r="F1229" s="522">
        <f t="shared" si="710"/>
        <v>1597437.736100401</v>
      </c>
      <c r="G1229" s="522">
        <f t="shared" si="710"/>
        <v>1597437.736100401</v>
      </c>
      <c r="H1229" s="522">
        <f t="shared" si="710"/>
        <v>1597437.736100401</v>
      </c>
      <c r="I1229" s="522">
        <f t="shared" si="710"/>
        <v>1597437.736100401</v>
      </c>
      <c r="J1229" s="522">
        <f t="shared" si="710"/>
        <v>1597437.736100401</v>
      </c>
      <c r="K1229" s="522">
        <f t="shared" si="710"/>
        <v>1597437.736100401</v>
      </c>
      <c r="L1229" s="522">
        <f t="shared" si="710"/>
        <v>1597437.736100401</v>
      </c>
      <c r="M1229" s="522">
        <f t="shared" si="710"/>
        <v>1597437.736100401</v>
      </c>
      <c r="N1229" s="522">
        <f t="shared" si="710"/>
        <v>1597437.736100401</v>
      </c>
      <c r="O1229" s="410" t="s">
        <v>1923</v>
      </c>
    </row>
    <row r="1230" spans="1:18" s="217" customFormat="1">
      <c r="A1230" s="217">
        <v>10</v>
      </c>
      <c r="B1230" s="10" t="s">
        <v>405</v>
      </c>
      <c r="C1230" s="11" t="s">
        <v>900</v>
      </c>
      <c r="D1230" s="217">
        <f>IF(A1230=B1206,"New Revenue Adjustments",IF(AND(C1230=D1206,A1230&lt;B1206),"Attrition Necessary",0))</f>
        <v>0</v>
      </c>
      <c r="E1230" s="522">
        <f t="shared" si="710"/>
        <v>2301063.6958912676</v>
      </c>
      <c r="F1230" s="522">
        <f t="shared" si="710"/>
        <v>2301063.6958912676</v>
      </c>
      <c r="G1230" s="522">
        <f t="shared" si="710"/>
        <v>2301063.6958912676</v>
      </c>
      <c r="H1230" s="522">
        <f t="shared" si="710"/>
        <v>2301063.6958912676</v>
      </c>
      <c r="I1230" s="522">
        <f t="shared" si="710"/>
        <v>2301063.6958912676</v>
      </c>
      <c r="J1230" s="522">
        <f t="shared" si="710"/>
        <v>2301063.6958912676</v>
      </c>
      <c r="K1230" s="522">
        <f t="shared" si="710"/>
        <v>2301063.6958912676</v>
      </c>
      <c r="L1230" s="522">
        <f t="shared" si="710"/>
        <v>2301063.6958912676</v>
      </c>
      <c r="M1230" s="522">
        <f t="shared" si="710"/>
        <v>2301063.6958912676</v>
      </c>
      <c r="N1230" s="522">
        <f t="shared" si="710"/>
        <v>2301063.6958912676</v>
      </c>
      <c r="O1230" s="410" t="s">
        <v>1924</v>
      </c>
    </row>
    <row r="1231" spans="1:18" s="217" customFormat="1">
      <c r="A1231" s="217">
        <v>11</v>
      </c>
      <c r="B1231" s="10" t="s">
        <v>405</v>
      </c>
      <c r="C1231" s="11" t="s">
        <v>901</v>
      </c>
      <c r="D1231" s="217">
        <f>IF(A1231=B1206,"New Revenue Adjustments",IF(AND(C1231=D1206,A1231&lt;B1206),"Attrition Necessary",0))</f>
        <v>0</v>
      </c>
      <c r="E1231" s="522">
        <f t="shared" ref="E1231:N1240" si="711">IF($B$1206&gt;$A1231,INDEX(calcY2Q3RevFlow,$A1231,calcTeamNum)*(IF($D1231="Attrition Necessary",1-calcQ2AttritionDifference,1)*(IF($D1231="New Revenue Adjustments",1+calcY2Q4RevenueAdjustment,1))),INDEX(dataY2Q4Rev,$A1231,)*(IF($D1231="Attrition Necessary",1-calcQ2AttritionDifference,1))*(IF($D1231="New Revenue Adjustments",1+calcY2Q4RevenueAdjustment,1)))</f>
        <v>3556189.3481955961</v>
      </c>
      <c r="F1231" s="522">
        <f t="shared" si="711"/>
        <v>3556189.3481955961</v>
      </c>
      <c r="G1231" s="522">
        <f t="shared" si="711"/>
        <v>3556189.3481955961</v>
      </c>
      <c r="H1231" s="522">
        <f t="shared" si="711"/>
        <v>3556189.3481955961</v>
      </c>
      <c r="I1231" s="522">
        <f t="shared" si="711"/>
        <v>3556189.3481955961</v>
      </c>
      <c r="J1231" s="522">
        <f t="shared" si="711"/>
        <v>3556189.3481955961</v>
      </c>
      <c r="K1231" s="522">
        <f t="shared" si="711"/>
        <v>3556189.3481955961</v>
      </c>
      <c r="L1231" s="522">
        <f t="shared" si="711"/>
        <v>3556189.3481955961</v>
      </c>
      <c r="M1231" s="522">
        <f t="shared" si="711"/>
        <v>3556189.3481955961</v>
      </c>
      <c r="N1231" s="522">
        <f t="shared" si="711"/>
        <v>3556189.3481955961</v>
      </c>
      <c r="O1231" s="410" t="s">
        <v>1925</v>
      </c>
    </row>
    <row r="1232" spans="1:18" s="217" customFormat="1">
      <c r="A1232" s="217">
        <v>12</v>
      </c>
      <c r="B1232" s="10" t="s">
        <v>405</v>
      </c>
      <c r="C1232" s="11" t="s">
        <v>902</v>
      </c>
      <c r="D1232" s="217" t="str">
        <f>IF(A1232=B1206,"New Revenue Adjustments",IF(AND(C1232=D1206,A1232&lt;B1206),"Attrition Necessary",0))</f>
        <v>Attrition Necessary</v>
      </c>
      <c r="E1232" s="522">
        <f t="shared" si="711"/>
        <v>5229690.2179346997</v>
      </c>
      <c r="F1232" s="522">
        <f t="shared" si="711"/>
        <v>5229690.2179346997</v>
      </c>
      <c r="G1232" s="522">
        <f t="shared" si="711"/>
        <v>5229690.2179346997</v>
      </c>
      <c r="H1232" s="522">
        <f t="shared" si="711"/>
        <v>5229690.2179346997</v>
      </c>
      <c r="I1232" s="522">
        <f t="shared" si="711"/>
        <v>5229690.2179346997</v>
      </c>
      <c r="J1232" s="522">
        <f t="shared" si="711"/>
        <v>5229690.2179346997</v>
      </c>
      <c r="K1232" s="522">
        <f t="shared" si="711"/>
        <v>5229690.2179346997</v>
      </c>
      <c r="L1232" s="522">
        <f t="shared" si="711"/>
        <v>5229690.2179346997</v>
      </c>
      <c r="M1232" s="522">
        <f t="shared" si="711"/>
        <v>5229690.2179346997</v>
      </c>
      <c r="N1232" s="522">
        <f t="shared" si="711"/>
        <v>5229690.2179346997</v>
      </c>
      <c r="O1232" s="410" t="s">
        <v>1926</v>
      </c>
    </row>
    <row r="1233" spans="1:15" s="217" customFormat="1">
      <c r="A1233" s="217">
        <v>13</v>
      </c>
      <c r="B1233" s="10" t="s">
        <v>1278</v>
      </c>
      <c r="C1233" s="11" t="s">
        <v>899</v>
      </c>
      <c r="D1233" s="217">
        <f>IF(A1233=B1206,"New Revenue Adjustments",IF(AND(C1233=D1206,A1233&lt;B1206),"Attrition Necessary",0))</f>
        <v>0</v>
      </c>
      <c r="E1233" s="522">
        <f t="shared" si="711"/>
        <v>2348550.3830507882</v>
      </c>
      <c r="F1233" s="522">
        <f t="shared" si="711"/>
        <v>2348550.3830507882</v>
      </c>
      <c r="G1233" s="522">
        <f t="shared" si="711"/>
        <v>2348550.3830507882</v>
      </c>
      <c r="H1233" s="522">
        <f t="shared" si="711"/>
        <v>2348550.3830507882</v>
      </c>
      <c r="I1233" s="522">
        <f t="shared" si="711"/>
        <v>2348550.3830507882</v>
      </c>
      <c r="J1233" s="522">
        <f t="shared" si="711"/>
        <v>2348550.3830507882</v>
      </c>
      <c r="K1233" s="522">
        <f t="shared" si="711"/>
        <v>2348550.3830507882</v>
      </c>
      <c r="L1233" s="522">
        <f t="shared" si="711"/>
        <v>2348550.3830507882</v>
      </c>
      <c r="M1233" s="522">
        <f t="shared" si="711"/>
        <v>2348550.3830507882</v>
      </c>
      <c r="N1233" s="522">
        <f t="shared" si="711"/>
        <v>2348550.3830507882</v>
      </c>
      <c r="O1233" s="410" t="s">
        <v>1927</v>
      </c>
    </row>
    <row r="1234" spans="1:15" s="217" customFormat="1">
      <c r="A1234" s="217">
        <v>14</v>
      </c>
      <c r="B1234" s="10" t="s">
        <v>1278</v>
      </c>
      <c r="C1234" s="11" t="s">
        <v>900</v>
      </c>
      <c r="D1234" s="217">
        <f>IF(A1234=B1206,"New Revenue Adjustments",IF(AND(C1234=D1206,A1234&lt;B1206),"Attrition Necessary",0))</f>
        <v>0</v>
      </c>
      <c r="E1234" s="522">
        <f t="shared" si="711"/>
        <v>2870450.4681731849</v>
      </c>
      <c r="F1234" s="522">
        <f t="shared" si="711"/>
        <v>2870450.4681731849</v>
      </c>
      <c r="G1234" s="522">
        <f t="shared" si="711"/>
        <v>2870450.4681731849</v>
      </c>
      <c r="H1234" s="522">
        <f t="shared" si="711"/>
        <v>2870450.4681731849</v>
      </c>
      <c r="I1234" s="522">
        <f t="shared" si="711"/>
        <v>2870450.4681731849</v>
      </c>
      <c r="J1234" s="522">
        <f t="shared" si="711"/>
        <v>2870450.4681731849</v>
      </c>
      <c r="K1234" s="522">
        <f t="shared" si="711"/>
        <v>2870450.4681731849</v>
      </c>
      <c r="L1234" s="522">
        <f t="shared" si="711"/>
        <v>2870450.4681731849</v>
      </c>
      <c r="M1234" s="522">
        <f t="shared" si="711"/>
        <v>2870450.4681731849</v>
      </c>
      <c r="N1234" s="522">
        <f t="shared" si="711"/>
        <v>2870450.4681731849</v>
      </c>
      <c r="O1234" s="410" t="s">
        <v>1928</v>
      </c>
    </row>
    <row r="1235" spans="1:15" s="217" customFormat="1">
      <c r="A1235" s="217">
        <v>15</v>
      </c>
      <c r="B1235" s="10" t="s">
        <v>1278</v>
      </c>
      <c r="C1235" s="11" t="s">
        <v>901</v>
      </c>
      <c r="D1235" s="217">
        <f>IF(A1235=B1206,"New Revenue Adjustments",IF(AND(C1235=D1206,A1235&lt;B1206),"Attrition Necessary",0))</f>
        <v>0</v>
      </c>
      <c r="E1235" s="522">
        <f t="shared" si="711"/>
        <v>4436150.7235403778</v>
      </c>
      <c r="F1235" s="522">
        <f t="shared" si="711"/>
        <v>4436150.7235403778</v>
      </c>
      <c r="G1235" s="522">
        <f t="shared" si="711"/>
        <v>4436150.7235403778</v>
      </c>
      <c r="H1235" s="522">
        <f t="shared" si="711"/>
        <v>4436150.7235403778</v>
      </c>
      <c r="I1235" s="522">
        <f t="shared" si="711"/>
        <v>4436150.7235403778</v>
      </c>
      <c r="J1235" s="522">
        <f t="shared" si="711"/>
        <v>4436150.7235403778</v>
      </c>
      <c r="K1235" s="522">
        <f t="shared" si="711"/>
        <v>4436150.7235403778</v>
      </c>
      <c r="L1235" s="522">
        <f t="shared" si="711"/>
        <v>4436150.7235403778</v>
      </c>
      <c r="M1235" s="522">
        <f t="shared" si="711"/>
        <v>4436150.7235403778</v>
      </c>
      <c r="N1235" s="522">
        <f t="shared" si="711"/>
        <v>4436150.7235403778</v>
      </c>
      <c r="O1235" s="410" t="s">
        <v>1929</v>
      </c>
    </row>
    <row r="1236" spans="1:15" s="217" customFormat="1">
      <c r="A1236" s="217">
        <v>16</v>
      </c>
      <c r="B1236" s="10" t="s">
        <v>1278</v>
      </c>
      <c r="C1236" s="11" t="s">
        <v>902</v>
      </c>
      <c r="D1236" s="217" t="str">
        <f>IF(A1236=B1206,"New Revenue Adjustments",IF(AND(C1236=D1206,A1236&lt;B1206),"Attrition Necessary",0))</f>
        <v>Attrition Necessary</v>
      </c>
      <c r="E1236" s="522">
        <f t="shared" si="711"/>
        <v>6523751.0640299665</v>
      </c>
      <c r="F1236" s="522">
        <f t="shared" si="711"/>
        <v>6523751.0640299665</v>
      </c>
      <c r="G1236" s="522">
        <f t="shared" si="711"/>
        <v>6523751.0640299665</v>
      </c>
      <c r="H1236" s="522">
        <f t="shared" si="711"/>
        <v>6523751.0640299665</v>
      </c>
      <c r="I1236" s="522">
        <f t="shared" si="711"/>
        <v>6523751.0640299665</v>
      </c>
      <c r="J1236" s="522">
        <f t="shared" si="711"/>
        <v>6523751.0640299665</v>
      </c>
      <c r="K1236" s="522">
        <f t="shared" si="711"/>
        <v>6523751.0640299665</v>
      </c>
      <c r="L1236" s="522">
        <f t="shared" si="711"/>
        <v>6523751.0640299665</v>
      </c>
      <c r="M1236" s="522">
        <f t="shared" si="711"/>
        <v>6523751.0640299665</v>
      </c>
      <c r="N1236" s="522">
        <f t="shared" si="711"/>
        <v>6523751.0640299665</v>
      </c>
      <c r="O1236" s="410" t="s">
        <v>1930</v>
      </c>
    </row>
    <row r="1237" spans="1:15" s="217" customFormat="1">
      <c r="A1237" s="217">
        <v>17</v>
      </c>
      <c r="B1237" s="10" t="s">
        <v>1279</v>
      </c>
      <c r="C1237" s="11" t="s">
        <v>899</v>
      </c>
      <c r="D1237" s="217">
        <f>IF(A1237=B1206,"New Revenue Adjustments",IF(AND(C1237=D1206,A1237&lt;B1206),"Attrition Necessary",0))</f>
        <v>0</v>
      </c>
      <c r="E1237" s="522">
        <f t="shared" si="711"/>
        <v>2929687.5</v>
      </c>
      <c r="F1237" s="522">
        <f t="shared" si="711"/>
        <v>2929687.5</v>
      </c>
      <c r="G1237" s="522">
        <f t="shared" si="711"/>
        <v>2929687.5</v>
      </c>
      <c r="H1237" s="522">
        <f t="shared" si="711"/>
        <v>2929687.5</v>
      </c>
      <c r="I1237" s="522">
        <f t="shared" si="711"/>
        <v>2929687.5</v>
      </c>
      <c r="J1237" s="522">
        <f t="shared" si="711"/>
        <v>2929687.5</v>
      </c>
      <c r="K1237" s="522">
        <f t="shared" si="711"/>
        <v>2929687.5</v>
      </c>
      <c r="L1237" s="522">
        <f t="shared" si="711"/>
        <v>2929687.5</v>
      </c>
      <c r="M1237" s="522">
        <f t="shared" si="711"/>
        <v>2929687.5</v>
      </c>
      <c r="N1237" s="522">
        <f t="shared" si="711"/>
        <v>2929687.5</v>
      </c>
      <c r="O1237" s="410" t="s">
        <v>1931</v>
      </c>
    </row>
    <row r="1238" spans="1:15" s="217" customFormat="1">
      <c r="A1238" s="217">
        <v>18</v>
      </c>
      <c r="B1238" s="10" t="s">
        <v>1279</v>
      </c>
      <c r="C1238" s="11" t="s">
        <v>900</v>
      </c>
      <c r="D1238" s="217">
        <f>IF(A1238=B1206,"New Revenue Adjustments",IF(AND(C1238=D1206,A1238&lt;B1206),"Attrition Necessary",0))</f>
        <v>0</v>
      </c>
      <c r="E1238" s="522">
        <f t="shared" si="711"/>
        <v>3580729.166666666</v>
      </c>
      <c r="F1238" s="522">
        <f t="shared" si="711"/>
        <v>3580729.166666666</v>
      </c>
      <c r="G1238" s="522">
        <f t="shared" si="711"/>
        <v>3580729.166666666</v>
      </c>
      <c r="H1238" s="522">
        <f t="shared" si="711"/>
        <v>3580729.166666666</v>
      </c>
      <c r="I1238" s="522">
        <f t="shared" si="711"/>
        <v>3580729.166666666</v>
      </c>
      <c r="J1238" s="522">
        <f t="shared" si="711"/>
        <v>3580729.166666666</v>
      </c>
      <c r="K1238" s="522">
        <f t="shared" si="711"/>
        <v>3580729.166666666</v>
      </c>
      <c r="L1238" s="522">
        <f t="shared" si="711"/>
        <v>3580729.166666666</v>
      </c>
      <c r="M1238" s="522">
        <f t="shared" si="711"/>
        <v>3580729.166666666</v>
      </c>
      <c r="N1238" s="522">
        <f t="shared" si="711"/>
        <v>3580729.166666666</v>
      </c>
      <c r="O1238" s="410" t="s">
        <v>1932</v>
      </c>
    </row>
    <row r="1239" spans="1:15" s="217" customFormat="1">
      <c r="A1239" s="217">
        <v>19</v>
      </c>
      <c r="B1239" s="10" t="s">
        <v>1279</v>
      </c>
      <c r="C1239" s="11" t="s">
        <v>901</v>
      </c>
      <c r="D1239" s="217">
        <f>IF(A1239=B1206,"New Revenue Adjustments",IF(AND(C1239=D1206,A1239&lt;B1206),"Attrition Necessary",0))</f>
        <v>0</v>
      </c>
      <c r="E1239" s="522">
        <f t="shared" si="711"/>
        <v>5533854.1666666679</v>
      </c>
      <c r="F1239" s="522">
        <f t="shared" si="711"/>
        <v>5533854.1666666679</v>
      </c>
      <c r="G1239" s="522">
        <f t="shared" si="711"/>
        <v>5533854.1666666679</v>
      </c>
      <c r="H1239" s="522">
        <f t="shared" si="711"/>
        <v>5533854.1666666679</v>
      </c>
      <c r="I1239" s="522">
        <f t="shared" si="711"/>
        <v>5533854.1666666679</v>
      </c>
      <c r="J1239" s="522">
        <f t="shared" si="711"/>
        <v>5533854.1666666679</v>
      </c>
      <c r="K1239" s="522">
        <f t="shared" si="711"/>
        <v>5533854.1666666679</v>
      </c>
      <c r="L1239" s="522">
        <f t="shared" si="711"/>
        <v>5533854.1666666679</v>
      </c>
      <c r="M1239" s="522">
        <f t="shared" si="711"/>
        <v>5533854.1666666679</v>
      </c>
      <c r="N1239" s="522">
        <f t="shared" si="711"/>
        <v>5533854.1666666679</v>
      </c>
      <c r="O1239" s="410" t="s">
        <v>1933</v>
      </c>
    </row>
    <row r="1240" spans="1:15" s="217" customFormat="1">
      <c r="A1240" s="217">
        <v>20</v>
      </c>
      <c r="B1240" s="10" t="s">
        <v>1279</v>
      </c>
      <c r="C1240" s="11" t="s">
        <v>902</v>
      </c>
      <c r="D1240" s="217" t="str">
        <f>IF(A1240=B1206,"New Revenue Adjustments",IF(AND(C1240=D1206,A1240&lt;B1206),"Attrition Necessary",0))</f>
        <v>New Revenue Adjustments</v>
      </c>
      <c r="E1240" s="522">
        <f t="shared" si="711"/>
        <v>8138020.8333333321</v>
      </c>
      <c r="F1240" s="522">
        <f t="shared" si="711"/>
        <v>8138020.8333333321</v>
      </c>
      <c r="G1240" s="522">
        <f t="shared" si="711"/>
        <v>8138020.8333333321</v>
      </c>
      <c r="H1240" s="522">
        <f t="shared" si="711"/>
        <v>8138020.8333333321</v>
      </c>
      <c r="I1240" s="522">
        <f t="shared" si="711"/>
        <v>8138020.8333333321</v>
      </c>
      <c r="J1240" s="522">
        <f t="shared" si="711"/>
        <v>8138020.8333333321</v>
      </c>
      <c r="K1240" s="522">
        <f t="shared" si="711"/>
        <v>8138020.8333333321</v>
      </c>
      <c r="L1240" s="522">
        <f t="shared" si="711"/>
        <v>8138020.8333333321</v>
      </c>
      <c r="M1240" s="522">
        <f t="shared" si="711"/>
        <v>8138020.8333333321</v>
      </c>
      <c r="N1240" s="522">
        <f t="shared" si="711"/>
        <v>8138020.8333333321</v>
      </c>
      <c r="O1240" s="410" t="s">
        <v>1934</v>
      </c>
    </row>
    <row r="1241" spans="1:15" s="217" customFormat="1">
      <c r="A1241" s="217">
        <v>21</v>
      </c>
      <c r="B1241" s="10" t="s">
        <v>2052</v>
      </c>
      <c r="C1241" s="11" t="s">
        <v>899</v>
      </c>
      <c r="D1241" s="217">
        <f>IF(A1241=B1206,"New Revenue Adjustments",IF(AND(C1241=D1206,A1241&lt;B1206),"Attrition Necessary",0))</f>
        <v>0</v>
      </c>
      <c r="E1241" s="522">
        <f t="shared" ref="E1241:N1252" si="712">IF($B$1206&gt;$A1241,INDEX(calcY2Q3RevFlow,$A1241,calcTeamNum)*(IF($D1241="Attrition Necessary",1-calcQ2AttritionDifference,1)*(IF($D1241="New Revenue Adjustments",1+calcY2Q4RevenueAdjustment,1))),INDEX(dataY2Q4Rev,$A1241,)*(IF($D1241="Attrition Necessary",1-calcQ2AttritionDifference,1))*(IF($D1241="New Revenue Adjustments",1+calcY2Q4RevenueAdjustment,1)))</f>
        <v>0</v>
      </c>
      <c r="F1241" s="522">
        <f t="shared" si="712"/>
        <v>0</v>
      </c>
      <c r="G1241" s="522">
        <f t="shared" si="712"/>
        <v>0</v>
      </c>
      <c r="H1241" s="522">
        <f t="shared" si="712"/>
        <v>0</v>
      </c>
      <c r="I1241" s="522">
        <f t="shared" si="712"/>
        <v>0</v>
      </c>
      <c r="J1241" s="522">
        <f t="shared" si="712"/>
        <v>0</v>
      </c>
      <c r="K1241" s="522">
        <f t="shared" si="712"/>
        <v>0</v>
      </c>
      <c r="L1241" s="522">
        <f t="shared" si="712"/>
        <v>0</v>
      </c>
      <c r="M1241" s="522">
        <f t="shared" si="712"/>
        <v>0</v>
      </c>
      <c r="N1241" s="522">
        <f t="shared" si="712"/>
        <v>0</v>
      </c>
      <c r="O1241" s="410" t="s">
        <v>2502</v>
      </c>
    </row>
    <row r="1242" spans="1:15" s="217" customFormat="1">
      <c r="A1242" s="217">
        <v>22</v>
      </c>
      <c r="B1242" s="10" t="s">
        <v>2052</v>
      </c>
      <c r="C1242" s="11" t="s">
        <v>900</v>
      </c>
      <c r="D1242" s="217">
        <f>IF(A1242=B1206,"New Revenue Adjustments",IF(AND(C1242=D1206,A1242&lt;B1206),"Attrition Necessary",0))</f>
        <v>0</v>
      </c>
      <c r="E1242" s="522">
        <f t="shared" si="712"/>
        <v>0</v>
      </c>
      <c r="F1242" s="522">
        <f t="shared" si="712"/>
        <v>0</v>
      </c>
      <c r="G1242" s="522">
        <f t="shared" si="712"/>
        <v>0</v>
      </c>
      <c r="H1242" s="522">
        <f t="shared" si="712"/>
        <v>0</v>
      </c>
      <c r="I1242" s="522">
        <f t="shared" si="712"/>
        <v>0</v>
      </c>
      <c r="J1242" s="522">
        <f t="shared" si="712"/>
        <v>0</v>
      </c>
      <c r="K1242" s="522">
        <f t="shared" si="712"/>
        <v>0</v>
      </c>
      <c r="L1242" s="522">
        <f t="shared" si="712"/>
        <v>0</v>
      </c>
      <c r="M1242" s="522">
        <f t="shared" si="712"/>
        <v>0</v>
      </c>
      <c r="N1242" s="522">
        <f t="shared" si="712"/>
        <v>0</v>
      </c>
      <c r="O1242" s="410" t="s">
        <v>2503</v>
      </c>
    </row>
    <row r="1243" spans="1:15" s="217" customFormat="1">
      <c r="A1243" s="217">
        <v>23</v>
      </c>
      <c r="B1243" s="10" t="s">
        <v>2052</v>
      </c>
      <c r="C1243" s="11" t="s">
        <v>901</v>
      </c>
      <c r="D1243" s="217">
        <f>IF(A1243=B1206,"New Revenue Adjustments",IF(AND(C1243=D1206,A1243&lt;B1206),"Attrition Necessary",0))</f>
        <v>0</v>
      </c>
      <c r="E1243" s="522">
        <f t="shared" si="712"/>
        <v>0</v>
      </c>
      <c r="F1243" s="522">
        <f t="shared" si="712"/>
        <v>0</v>
      </c>
      <c r="G1243" s="522">
        <f t="shared" si="712"/>
        <v>0</v>
      </c>
      <c r="H1243" s="522">
        <f t="shared" si="712"/>
        <v>0</v>
      </c>
      <c r="I1243" s="522">
        <f t="shared" si="712"/>
        <v>0</v>
      </c>
      <c r="J1243" s="522">
        <f t="shared" si="712"/>
        <v>0</v>
      </c>
      <c r="K1243" s="522">
        <f t="shared" si="712"/>
        <v>0</v>
      </c>
      <c r="L1243" s="522">
        <f t="shared" si="712"/>
        <v>0</v>
      </c>
      <c r="M1243" s="522">
        <f t="shared" si="712"/>
        <v>0</v>
      </c>
      <c r="N1243" s="522">
        <f t="shared" si="712"/>
        <v>0</v>
      </c>
      <c r="O1243" s="410" t="s">
        <v>2504</v>
      </c>
    </row>
    <row r="1244" spans="1:15" s="217" customFormat="1">
      <c r="A1244" s="217">
        <v>24</v>
      </c>
      <c r="B1244" s="10" t="s">
        <v>2052</v>
      </c>
      <c r="C1244" s="11" t="s">
        <v>902</v>
      </c>
      <c r="D1244" s="217">
        <f>IF(A1244=B1206,"New Revenue Adjustments",IF(AND(C1244=D1206,A1244&lt;B1206),"Attrition Necessary",0))</f>
        <v>0</v>
      </c>
      <c r="E1244" s="522">
        <f t="shared" si="712"/>
        <v>0</v>
      </c>
      <c r="F1244" s="522">
        <f t="shared" si="712"/>
        <v>0</v>
      </c>
      <c r="G1244" s="522">
        <f t="shared" si="712"/>
        <v>0</v>
      </c>
      <c r="H1244" s="522">
        <f t="shared" si="712"/>
        <v>0</v>
      </c>
      <c r="I1244" s="522">
        <f t="shared" si="712"/>
        <v>0</v>
      </c>
      <c r="J1244" s="522">
        <f t="shared" si="712"/>
        <v>0</v>
      </c>
      <c r="K1244" s="522">
        <f t="shared" si="712"/>
        <v>0</v>
      </c>
      <c r="L1244" s="522">
        <f t="shared" si="712"/>
        <v>0</v>
      </c>
      <c r="M1244" s="522">
        <f t="shared" si="712"/>
        <v>0</v>
      </c>
      <c r="N1244" s="522">
        <f t="shared" si="712"/>
        <v>0</v>
      </c>
      <c r="O1244" s="410" t="s">
        <v>2505</v>
      </c>
    </row>
    <row r="1245" spans="1:15" s="217" customFormat="1">
      <c r="A1245" s="217">
        <v>25</v>
      </c>
      <c r="B1245" s="10" t="s">
        <v>2408</v>
      </c>
      <c r="C1245" s="11" t="s">
        <v>899</v>
      </c>
      <c r="D1245" s="217">
        <f>IF(A1245=B1206,"New Revenue Adjustments",IF(AND(C1245=D1206,A1245&lt;B1206),"Attrition Necessary",0))</f>
        <v>0</v>
      </c>
      <c r="E1245" s="522">
        <f t="shared" si="712"/>
        <v>0</v>
      </c>
      <c r="F1245" s="522">
        <f t="shared" si="712"/>
        <v>0</v>
      </c>
      <c r="G1245" s="522">
        <f t="shared" si="712"/>
        <v>0</v>
      </c>
      <c r="H1245" s="522">
        <f t="shared" si="712"/>
        <v>0</v>
      </c>
      <c r="I1245" s="522">
        <f t="shared" si="712"/>
        <v>0</v>
      </c>
      <c r="J1245" s="522">
        <f t="shared" si="712"/>
        <v>0</v>
      </c>
      <c r="K1245" s="522">
        <f t="shared" si="712"/>
        <v>0</v>
      </c>
      <c r="L1245" s="522">
        <f t="shared" si="712"/>
        <v>0</v>
      </c>
      <c r="M1245" s="522">
        <f t="shared" si="712"/>
        <v>0</v>
      </c>
      <c r="N1245" s="522">
        <f t="shared" si="712"/>
        <v>0</v>
      </c>
      <c r="O1245" s="410" t="s">
        <v>2506</v>
      </c>
    </row>
    <row r="1246" spans="1:15" s="217" customFormat="1">
      <c r="A1246" s="217">
        <v>26</v>
      </c>
      <c r="B1246" s="10" t="s">
        <v>2408</v>
      </c>
      <c r="C1246" s="11" t="s">
        <v>900</v>
      </c>
      <c r="D1246" s="217">
        <f>IF(A1246=B1206,"New Revenue Adjustments",IF(AND(C1246=D1206,A1246&lt;B1206),"Attrition Necessary",0))</f>
        <v>0</v>
      </c>
      <c r="E1246" s="522">
        <f t="shared" si="712"/>
        <v>0</v>
      </c>
      <c r="F1246" s="522">
        <f t="shared" si="712"/>
        <v>0</v>
      </c>
      <c r="G1246" s="522">
        <f t="shared" si="712"/>
        <v>0</v>
      </c>
      <c r="H1246" s="522">
        <f t="shared" si="712"/>
        <v>0</v>
      </c>
      <c r="I1246" s="522">
        <f t="shared" si="712"/>
        <v>0</v>
      </c>
      <c r="J1246" s="522">
        <f t="shared" si="712"/>
        <v>0</v>
      </c>
      <c r="K1246" s="522">
        <f t="shared" si="712"/>
        <v>0</v>
      </c>
      <c r="L1246" s="522">
        <f t="shared" si="712"/>
        <v>0</v>
      </c>
      <c r="M1246" s="522">
        <f t="shared" si="712"/>
        <v>0</v>
      </c>
      <c r="N1246" s="522">
        <f t="shared" si="712"/>
        <v>0</v>
      </c>
      <c r="O1246" s="410" t="s">
        <v>2507</v>
      </c>
    </row>
    <row r="1247" spans="1:15" s="217" customFormat="1">
      <c r="A1247" s="217">
        <v>27</v>
      </c>
      <c r="B1247" s="10" t="s">
        <v>2408</v>
      </c>
      <c r="C1247" s="11" t="s">
        <v>901</v>
      </c>
      <c r="D1247" s="217">
        <f>IF(A1247=B1206,"New Revenue Adjustments",IF(AND(C1247=D1206,A1247&lt;B1206),"Attrition Necessary",0))</f>
        <v>0</v>
      </c>
      <c r="E1247" s="522">
        <f t="shared" si="712"/>
        <v>0</v>
      </c>
      <c r="F1247" s="522">
        <f t="shared" si="712"/>
        <v>0</v>
      </c>
      <c r="G1247" s="522">
        <f t="shared" si="712"/>
        <v>0</v>
      </c>
      <c r="H1247" s="522">
        <f t="shared" si="712"/>
        <v>0</v>
      </c>
      <c r="I1247" s="522">
        <f t="shared" si="712"/>
        <v>0</v>
      </c>
      <c r="J1247" s="522">
        <f t="shared" si="712"/>
        <v>0</v>
      </c>
      <c r="K1247" s="522">
        <f t="shared" si="712"/>
        <v>0</v>
      </c>
      <c r="L1247" s="522">
        <f t="shared" si="712"/>
        <v>0</v>
      </c>
      <c r="M1247" s="522">
        <f t="shared" si="712"/>
        <v>0</v>
      </c>
      <c r="N1247" s="522">
        <f t="shared" si="712"/>
        <v>0</v>
      </c>
      <c r="O1247" s="410" t="s">
        <v>2508</v>
      </c>
    </row>
    <row r="1248" spans="1:15" s="217" customFormat="1">
      <c r="A1248" s="217">
        <v>28</v>
      </c>
      <c r="B1248" s="10" t="s">
        <v>2408</v>
      </c>
      <c r="C1248" s="11" t="s">
        <v>902</v>
      </c>
      <c r="D1248" s="217">
        <f>IF(A1248=B1206,"New Revenue Adjustments",IF(AND(C1248=D1206,A1248&lt;B1206),"Attrition Necessary",0))</f>
        <v>0</v>
      </c>
      <c r="E1248" s="522">
        <f t="shared" si="712"/>
        <v>0</v>
      </c>
      <c r="F1248" s="522">
        <f t="shared" si="712"/>
        <v>0</v>
      </c>
      <c r="G1248" s="522">
        <f t="shared" si="712"/>
        <v>0</v>
      </c>
      <c r="H1248" s="522">
        <f t="shared" si="712"/>
        <v>0</v>
      </c>
      <c r="I1248" s="522">
        <f t="shared" si="712"/>
        <v>0</v>
      </c>
      <c r="J1248" s="522">
        <f t="shared" si="712"/>
        <v>0</v>
      </c>
      <c r="K1248" s="522">
        <f t="shared" si="712"/>
        <v>0</v>
      </c>
      <c r="L1248" s="522">
        <f t="shared" si="712"/>
        <v>0</v>
      </c>
      <c r="M1248" s="522">
        <f t="shared" si="712"/>
        <v>0</v>
      </c>
      <c r="N1248" s="522">
        <f t="shared" si="712"/>
        <v>0</v>
      </c>
      <c r="O1248" s="410" t="s">
        <v>2509</v>
      </c>
    </row>
    <row r="1249" spans="1:15" s="217" customFormat="1">
      <c r="A1249" s="217">
        <v>29</v>
      </c>
      <c r="B1249" s="10" t="s">
        <v>2413</v>
      </c>
      <c r="C1249" s="11" t="s">
        <v>899</v>
      </c>
      <c r="D1249" s="217">
        <f>IF(A1249=B1206,"New Revenue Adjustments",IF(AND(C1249=D1206,A1249&lt;B1206),"Attrition Necessary",0))</f>
        <v>0</v>
      </c>
      <c r="E1249" s="522">
        <f t="shared" si="712"/>
        <v>0</v>
      </c>
      <c r="F1249" s="522">
        <f t="shared" si="712"/>
        <v>0</v>
      </c>
      <c r="G1249" s="522">
        <f t="shared" si="712"/>
        <v>0</v>
      </c>
      <c r="H1249" s="522">
        <f t="shared" si="712"/>
        <v>0</v>
      </c>
      <c r="I1249" s="522">
        <f t="shared" si="712"/>
        <v>0</v>
      </c>
      <c r="J1249" s="522">
        <f t="shared" si="712"/>
        <v>0</v>
      </c>
      <c r="K1249" s="522">
        <f t="shared" si="712"/>
        <v>0</v>
      </c>
      <c r="L1249" s="522">
        <f t="shared" si="712"/>
        <v>0</v>
      </c>
      <c r="M1249" s="522">
        <f t="shared" si="712"/>
        <v>0</v>
      </c>
      <c r="N1249" s="522">
        <f t="shared" si="712"/>
        <v>0</v>
      </c>
      <c r="O1249" s="410" t="s">
        <v>2510</v>
      </c>
    </row>
    <row r="1250" spans="1:15" s="217" customFormat="1">
      <c r="A1250" s="217">
        <v>30</v>
      </c>
      <c r="B1250" s="10" t="s">
        <v>2413</v>
      </c>
      <c r="C1250" s="11" t="s">
        <v>900</v>
      </c>
      <c r="D1250" s="217">
        <f>IF(A1250=B1206,"New Revenue Adjustments",IF(AND(C1250=D1206,A1250&lt;B1206),"Attrition Necessary",0))</f>
        <v>0</v>
      </c>
      <c r="E1250" s="522">
        <f t="shared" si="712"/>
        <v>0</v>
      </c>
      <c r="F1250" s="522">
        <f t="shared" si="712"/>
        <v>0</v>
      </c>
      <c r="G1250" s="522">
        <f t="shared" si="712"/>
        <v>0</v>
      </c>
      <c r="H1250" s="522">
        <f t="shared" si="712"/>
        <v>0</v>
      </c>
      <c r="I1250" s="522">
        <f t="shared" si="712"/>
        <v>0</v>
      </c>
      <c r="J1250" s="522">
        <f t="shared" si="712"/>
        <v>0</v>
      </c>
      <c r="K1250" s="522">
        <f t="shared" si="712"/>
        <v>0</v>
      </c>
      <c r="L1250" s="522">
        <f t="shared" si="712"/>
        <v>0</v>
      </c>
      <c r="M1250" s="522">
        <f t="shared" si="712"/>
        <v>0</v>
      </c>
      <c r="N1250" s="522">
        <f t="shared" si="712"/>
        <v>0</v>
      </c>
      <c r="O1250" s="410" t="s">
        <v>2511</v>
      </c>
    </row>
    <row r="1251" spans="1:15" s="217" customFormat="1">
      <c r="A1251" s="217">
        <v>31</v>
      </c>
      <c r="B1251" s="10" t="s">
        <v>2413</v>
      </c>
      <c r="C1251" s="11" t="s">
        <v>901</v>
      </c>
      <c r="D1251" s="217">
        <f>IF(A1251=B1206,"New Revenue Adjustments",IF(AND(C1251=D1206,A1251&lt;B1206),"Attrition Necessary",0))</f>
        <v>0</v>
      </c>
      <c r="E1251" s="522">
        <f t="shared" si="712"/>
        <v>0</v>
      </c>
      <c r="F1251" s="522">
        <f t="shared" si="712"/>
        <v>0</v>
      </c>
      <c r="G1251" s="522">
        <f t="shared" si="712"/>
        <v>0</v>
      </c>
      <c r="H1251" s="522">
        <f t="shared" si="712"/>
        <v>0</v>
      </c>
      <c r="I1251" s="522">
        <f t="shared" si="712"/>
        <v>0</v>
      </c>
      <c r="J1251" s="522">
        <f t="shared" si="712"/>
        <v>0</v>
      </c>
      <c r="K1251" s="522">
        <f t="shared" si="712"/>
        <v>0</v>
      </c>
      <c r="L1251" s="522">
        <f t="shared" si="712"/>
        <v>0</v>
      </c>
      <c r="M1251" s="522">
        <f t="shared" si="712"/>
        <v>0</v>
      </c>
      <c r="N1251" s="522">
        <f t="shared" si="712"/>
        <v>0</v>
      </c>
      <c r="O1251" s="410" t="s">
        <v>2512</v>
      </c>
    </row>
    <row r="1252" spans="1:15" s="217" customFormat="1">
      <c r="A1252" s="217">
        <v>32</v>
      </c>
      <c r="B1252" s="10" t="s">
        <v>2413</v>
      </c>
      <c r="C1252" s="11" t="s">
        <v>902</v>
      </c>
      <c r="D1252" s="217">
        <f>IF(A1252=B1206,"New Revenue Adjustments",IF(AND(C1252=D1206,A1252&lt;B1206),"Attrition Necessary",0))</f>
        <v>0</v>
      </c>
      <c r="E1252" s="522">
        <f t="shared" si="712"/>
        <v>0</v>
      </c>
      <c r="F1252" s="522">
        <f t="shared" si="712"/>
        <v>0</v>
      </c>
      <c r="G1252" s="522">
        <f t="shared" si="712"/>
        <v>0</v>
      </c>
      <c r="H1252" s="522">
        <f t="shared" si="712"/>
        <v>0</v>
      </c>
      <c r="I1252" s="522">
        <f t="shared" si="712"/>
        <v>0</v>
      </c>
      <c r="J1252" s="522">
        <f t="shared" si="712"/>
        <v>0</v>
      </c>
      <c r="K1252" s="522">
        <f t="shared" si="712"/>
        <v>0</v>
      </c>
      <c r="L1252" s="522">
        <f t="shared" si="712"/>
        <v>0</v>
      </c>
      <c r="M1252" s="522">
        <f t="shared" si="712"/>
        <v>0</v>
      </c>
      <c r="N1252" s="522">
        <f t="shared" si="712"/>
        <v>0</v>
      </c>
      <c r="O1252" s="410" t="s">
        <v>2513</v>
      </c>
    </row>
    <row r="1253" spans="1:15" s="217" customFormat="1">
      <c r="D1253" s="217" t="s">
        <v>910</v>
      </c>
      <c r="E1253" s="427">
        <f>SUM(E1221:E1252)</f>
        <v>65083231.854531035</v>
      </c>
      <c r="F1253" s="427">
        <f t="shared" ref="F1253:I1253" si="713">SUM(F1221:F1252)</f>
        <v>65083231.854531035</v>
      </c>
      <c r="G1253" s="427">
        <f t="shared" si="713"/>
        <v>65083231.854531035</v>
      </c>
      <c r="H1253" s="427">
        <f t="shared" si="713"/>
        <v>65083231.854531035</v>
      </c>
      <c r="I1253" s="427">
        <f t="shared" si="713"/>
        <v>65083231.854531035</v>
      </c>
      <c r="J1253" s="427">
        <f t="shared" ref="J1253:N1253" si="714">SUM(J1221:J1252)</f>
        <v>65083231.854531035</v>
      </c>
      <c r="K1253" s="427">
        <f t="shared" si="714"/>
        <v>65083231.854531035</v>
      </c>
      <c r="L1253" s="427">
        <f t="shared" si="714"/>
        <v>65083231.854531035</v>
      </c>
      <c r="M1253" s="427">
        <f t="shared" si="714"/>
        <v>65083231.854531035</v>
      </c>
      <c r="N1253" s="427">
        <f t="shared" si="714"/>
        <v>65083231.854531035</v>
      </c>
      <c r="O1253" s="217" t="s">
        <v>1500</v>
      </c>
    </row>
    <row r="1271" spans="1:17" s="473" customFormat="1">
      <c r="A1271" s="473" t="s">
        <v>2052</v>
      </c>
    </row>
    <row r="1272" spans="1:17">
      <c r="E1272" s="357"/>
      <c r="F1272" s="357"/>
      <c r="G1272" s="357"/>
      <c r="H1272" s="357"/>
      <c r="I1272" s="357"/>
      <c r="J1272" s="357"/>
      <c r="K1272" s="357"/>
      <c r="L1272" s="357"/>
      <c r="M1272" s="357"/>
      <c r="N1272" s="357"/>
    </row>
    <row r="1273" spans="1:17">
      <c r="A1273" s="217"/>
      <c r="B1273" s="69">
        <v>21</v>
      </c>
      <c r="C1273" s="217" t="s">
        <v>2052</v>
      </c>
      <c r="D1273" s="217" t="s">
        <v>899</v>
      </c>
    </row>
    <row r="1274" spans="1:17" s="217" customFormat="1">
      <c r="C1274" s="217" t="s">
        <v>1736</v>
      </c>
      <c r="E1274" s="409"/>
      <c r="F1274" s="409"/>
      <c r="G1274" s="409"/>
      <c r="H1274" s="409"/>
      <c r="I1274" s="409"/>
      <c r="J1274" s="409"/>
      <c r="K1274" s="409"/>
      <c r="L1274" s="409"/>
      <c r="M1274" s="409"/>
      <c r="N1274" s="409"/>
    </row>
    <row r="1275" spans="1:17" s="410" customFormat="1">
      <c r="D1275" s="410" t="s">
        <v>1754</v>
      </c>
      <c r="E1275" s="547">
        <f t="shared" ref="E1275:N1275" si="715">FORECAST(calcNPS,datatblNPSAttrition,datatblNPSScore)</f>
        <v>0.14946428571428572</v>
      </c>
      <c r="F1275" s="547">
        <f t="shared" si="715"/>
        <v>0.14946428571428572</v>
      </c>
      <c r="G1275" s="547">
        <f t="shared" si="715"/>
        <v>0.14946428571428572</v>
      </c>
      <c r="H1275" s="547">
        <f t="shared" si="715"/>
        <v>0.14946428571428572</v>
      </c>
      <c r="I1275" s="547">
        <f t="shared" si="715"/>
        <v>0.14946428571428572</v>
      </c>
      <c r="J1275" s="547">
        <f t="shared" si="715"/>
        <v>0.14946428571428572</v>
      </c>
      <c r="K1275" s="547">
        <f t="shared" si="715"/>
        <v>0.14946428571428572</v>
      </c>
      <c r="L1275" s="547">
        <f t="shared" si="715"/>
        <v>0.14946428571428572</v>
      </c>
      <c r="M1275" s="547">
        <f t="shared" si="715"/>
        <v>0.14946428571428572</v>
      </c>
      <c r="N1275" s="547">
        <f t="shared" si="715"/>
        <v>0.14946428571428572</v>
      </c>
    </row>
    <row r="1276" spans="1:17" s="410" customFormat="1">
      <c r="D1276" s="410" t="s">
        <v>1753</v>
      </c>
      <c r="E1276" s="547">
        <f>Data!$D$277</f>
        <v>0.1515124491492886</v>
      </c>
      <c r="F1276" s="547">
        <f>Data!$D$277</f>
        <v>0.1515124491492886</v>
      </c>
      <c r="G1276" s="547">
        <f>Data!$D$277</f>
        <v>0.1515124491492886</v>
      </c>
      <c r="H1276" s="547">
        <f>Data!$D$277</f>
        <v>0.1515124491492886</v>
      </c>
      <c r="I1276" s="547">
        <f>Data!$D$277</f>
        <v>0.1515124491492886</v>
      </c>
      <c r="J1276" s="547">
        <f>Data!$D$277</f>
        <v>0.1515124491492886</v>
      </c>
      <c r="K1276" s="547">
        <f>Data!$D$277</f>
        <v>0.1515124491492886</v>
      </c>
      <c r="L1276" s="547">
        <f>Data!$D$277</f>
        <v>0.1515124491492886</v>
      </c>
      <c r="M1276" s="547">
        <f>Data!$D$277</f>
        <v>0.1515124491492886</v>
      </c>
      <c r="N1276" s="547">
        <f>Data!$D$277</f>
        <v>0.1515124491492886</v>
      </c>
    </row>
    <row r="1277" spans="1:17" s="217" customFormat="1">
      <c r="D1277" s="217" t="s">
        <v>1755</v>
      </c>
      <c r="E1277" s="411">
        <f>E1275-E1276</f>
        <v>-2.0481634350028866E-3</v>
      </c>
      <c r="F1277" s="411">
        <f t="shared" ref="F1277" si="716">F1275-F1276</f>
        <v>-2.0481634350028866E-3</v>
      </c>
      <c r="G1277" s="411">
        <f t="shared" ref="G1277" si="717">G1275-G1276</f>
        <v>-2.0481634350028866E-3</v>
      </c>
      <c r="H1277" s="411">
        <f t="shared" ref="H1277" si="718">H1275-H1276</f>
        <v>-2.0481634350028866E-3</v>
      </c>
      <c r="I1277" s="411">
        <f t="shared" ref="I1277:N1277" si="719">I1275-I1276</f>
        <v>-2.0481634350028866E-3</v>
      </c>
      <c r="J1277" s="411">
        <f t="shared" si="719"/>
        <v>-2.0481634350028866E-3</v>
      </c>
      <c r="K1277" s="411">
        <f t="shared" si="719"/>
        <v>-2.0481634350028866E-3</v>
      </c>
      <c r="L1277" s="411">
        <f t="shared" si="719"/>
        <v>-2.0481634350028866E-3</v>
      </c>
      <c r="M1277" s="411">
        <f t="shared" si="719"/>
        <v>-2.0481634350028866E-3</v>
      </c>
      <c r="N1277" s="411">
        <f t="shared" si="719"/>
        <v>-2.0481634350028866E-3</v>
      </c>
      <c r="O1277" s="217" t="s">
        <v>2515</v>
      </c>
    </row>
    <row r="1278" spans="1:17" s="217" customFormat="1">
      <c r="C1278" s="217" t="s">
        <v>1757</v>
      </c>
      <c r="E1278" s="411"/>
      <c r="F1278" s="411"/>
      <c r="G1278" s="411"/>
      <c r="H1278" s="411"/>
      <c r="I1278" s="411"/>
      <c r="J1278" s="411"/>
      <c r="K1278" s="411"/>
      <c r="L1278" s="411"/>
      <c r="M1278" s="411"/>
      <c r="N1278" s="411"/>
    </row>
    <row r="1279" spans="1:17">
      <c r="D1279" s="69" t="s">
        <v>1151</v>
      </c>
      <c r="E1279" s="425">
        <f>IF(calcOrg62Timeline&lt;=$Q1279,INDEX(datatblOrg62Timeline,MATCH(decGTMOrg62Timeline,Data!$C$106:$C$111,0),2),0)*paramOrg62Impacts</f>
        <v>0</v>
      </c>
      <c r="F1279" s="425">
        <f>IF(calcOrg62Timeline&lt;=$Q1279,INDEX(datatblOrg62Timeline,MATCH(decGTMOrg62Timeline,Data!$C$106:$C$111,0),2),0)*paramOrg62Impacts</f>
        <v>0</v>
      </c>
      <c r="G1279" s="425">
        <f>IF(calcOrg62Timeline&lt;=$Q1279,INDEX(datatblOrg62Timeline,MATCH(decGTMOrg62Timeline,Data!$C$106:$C$111,0),2),0)*paramOrg62Impacts</f>
        <v>0</v>
      </c>
      <c r="H1279" s="425">
        <f>IF(calcOrg62Timeline&lt;=$Q1279,INDEX(datatblOrg62Timeline,MATCH(decGTMOrg62Timeline,Data!$C$106:$C$111,0),2),0)*paramOrg62Impacts</f>
        <v>0</v>
      </c>
      <c r="I1279" s="425">
        <f>IF(calcOrg62Timeline&lt;=$Q1279,INDEX(datatblOrg62Timeline,MATCH(decGTMOrg62Timeline,Data!$C$106:$C$111,0),2),0)*paramOrg62Impacts</f>
        <v>0</v>
      </c>
      <c r="J1279" s="425">
        <f>IF(calcOrg62Timeline&lt;=$Q1279,INDEX(datatblOrg62Timeline,MATCH(decGTMOrg62Timeline,Data!$C$106:$C$111,0),2),0)*paramOrg62Impacts</f>
        <v>0</v>
      </c>
      <c r="K1279" s="425">
        <f>IF(calcOrg62Timeline&lt;=$Q1279,INDEX(datatblOrg62Timeline,MATCH(decGTMOrg62Timeline,Data!$C$106:$C$111,0),2),0)*paramOrg62Impacts</f>
        <v>0</v>
      </c>
      <c r="L1279" s="425">
        <f>IF(calcOrg62Timeline&lt;=$Q1279,INDEX(datatblOrg62Timeline,MATCH(decGTMOrg62Timeline,Data!$C$106:$C$111,0),2),0)*paramOrg62Impacts</f>
        <v>0</v>
      </c>
      <c r="M1279" s="425">
        <f>IF(calcOrg62Timeline&lt;=$Q1279,INDEX(datatblOrg62Timeline,MATCH(decGTMOrg62Timeline,Data!$C$106:$C$111,0),2),0)*paramOrg62Impacts</f>
        <v>0</v>
      </c>
      <c r="N1279" s="425">
        <f>IF(calcOrg62Timeline&lt;=$Q1279,INDEX(datatblOrg62Timeline,MATCH(decGTMOrg62Timeline,Data!$C$106:$C$111,0),2),0)*paramOrg62Impacts</f>
        <v>0</v>
      </c>
      <c r="Q1279" s="69">
        <v>24</v>
      </c>
    </row>
    <row r="1280" spans="1:17">
      <c r="D1280" s="69" t="s">
        <v>507</v>
      </c>
      <c r="E1280" s="425">
        <f>IF(calcProductTimeline&lt;=$Q1280,INDEX(datatblStackFocusImpact,MATCH(decProductStackFocus,Data!$C$96:$C$101,0),2),0)+paramACVGrowthStack</f>
        <v>0</v>
      </c>
      <c r="F1280" s="425">
        <f>IF(calcProductTimeline&lt;=$Q1280,INDEX(datatblStackFocusImpact,MATCH(decProductStackFocus,Data!$C$96:$C$101,0),2),0)+paramACVGrowthStack</f>
        <v>0</v>
      </c>
      <c r="G1280" s="425">
        <f>IF(calcProductTimeline&lt;=$Q1280,INDEX(datatblStackFocusImpact,MATCH(decProductStackFocus,Data!$C$96:$C$101,0),2),0)+paramACVGrowthStack</f>
        <v>0</v>
      </c>
      <c r="H1280" s="425">
        <f>IF(calcProductTimeline&lt;=$Q1280,INDEX(datatblStackFocusImpact,MATCH(decProductStackFocus,Data!$C$96:$C$101,0),2),0)+paramACVGrowthStack</f>
        <v>0</v>
      </c>
      <c r="I1280" s="425">
        <f>IF(calcProductTimeline&lt;=$Q1280,INDEX(datatblStackFocusImpact,MATCH(decProductStackFocus,Data!$C$96:$C$101,0),2),0)+paramACVGrowthStack</f>
        <v>0</v>
      </c>
      <c r="J1280" s="425">
        <f>IF(calcProductTimeline&lt;=$Q1280,INDEX(datatblStackFocusImpact,MATCH(decProductStackFocus,Data!$C$96:$C$101,0),2),0)+paramACVGrowthStack</f>
        <v>0</v>
      </c>
      <c r="K1280" s="425">
        <f>IF(calcProductTimeline&lt;=$Q1280,INDEX(datatblStackFocusImpact,MATCH(decProductStackFocus,Data!$C$96:$C$101,0),2),0)+paramACVGrowthStack</f>
        <v>0</v>
      </c>
      <c r="L1280" s="425">
        <f>IF(calcProductTimeline&lt;=$Q1280,INDEX(datatblStackFocusImpact,MATCH(decProductStackFocus,Data!$C$96:$C$101,0),2),0)+paramACVGrowthStack</f>
        <v>0</v>
      </c>
      <c r="M1280" s="425">
        <f>IF(calcProductTimeline&lt;=$Q1280,INDEX(datatblStackFocusImpact,MATCH(decProductStackFocus,Data!$C$96:$C$101,0),2),0)+paramACVGrowthStack</f>
        <v>0</v>
      </c>
      <c r="N1280" s="425">
        <f>IF(calcProductTimeline&lt;=$Q1280,INDEX(datatblStackFocusImpact,MATCH(decProductStackFocus,Data!$C$96:$C$101,0),2),0)+paramACVGrowthStack</f>
        <v>0</v>
      </c>
      <c r="Q1280" s="69">
        <f>Q1279</f>
        <v>24</v>
      </c>
    </row>
    <row r="1281" spans="1:18">
      <c r="D1281" s="69" t="s">
        <v>2237</v>
      </c>
      <c r="E1281" s="425">
        <f>IF(calcExternalSalesTimeline&lt;=$Q1281,INDEX(datatblExternalSalesImpact,MATCH(decGTMExternalSales,Data!$C$85:$C$90,0),2),0)</f>
        <v>0</v>
      </c>
      <c r="F1281" s="425">
        <f>IF(calcExternalSalesTimeline&lt;=$Q1281,INDEX(datatblExternalSalesImpact,MATCH(decGTMExternalSales,Data!$C$85:$C$90,0),2),0)</f>
        <v>0</v>
      </c>
      <c r="G1281" s="425">
        <f>IF(calcExternalSalesTimeline&lt;=$Q1281,INDEX(datatblExternalSalesImpact,MATCH(decGTMExternalSales,Data!$C$85:$C$90,0),2),0)</f>
        <v>0</v>
      </c>
      <c r="H1281" s="425">
        <f>IF(calcExternalSalesTimeline&lt;=$Q1281,INDEX(datatblExternalSalesImpact,MATCH(decGTMExternalSales,Data!$C$85:$C$90,0),2),0)</f>
        <v>0</v>
      </c>
      <c r="I1281" s="425">
        <f>IF(calcExternalSalesTimeline&lt;=$Q1281,INDEX(datatblExternalSalesImpact,MATCH(decGTMExternalSales,Data!$C$85:$C$90,0),2),0)</f>
        <v>0</v>
      </c>
      <c r="J1281" s="425">
        <f>IF(calcExternalSalesTimeline&lt;=$Q1281,INDEX(datatblExternalSalesImpact,MATCH(decGTMExternalSales,Data!$C$85:$C$90,0),2),0)</f>
        <v>0</v>
      </c>
      <c r="K1281" s="425">
        <f>IF(calcExternalSalesTimeline&lt;=$Q1281,INDEX(datatblExternalSalesImpact,MATCH(decGTMExternalSales,Data!$C$85:$C$90,0),2),0)</f>
        <v>0</v>
      </c>
      <c r="L1281" s="425">
        <f>IF(calcExternalSalesTimeline&lt;=$Q1281,INDEX(datatblExternalSalesImpact,MATCH(decGTMExternalSales,Data!$C$85:$C$90,0),2),0)</f>
        <v>0</v>
      </c>
      <c r="M1281" s="425">
        <f>IF(calcExternalSalesTimeline&lt;=$Q1281,INDEX(datatblExternalSalesImpact,MATCH(decGTMExternalSales,Data!$C$85:$C$90,0),2),0)</f>
        <v>0</v>
      </c>
      <c r="N1281" s="425">
        <f>IF(calcExternalSalesTimeline&lt;=$Q1281,INDEX(datatblExternalSalesImpact,MATCH(decGTMExternalSales,Data!$C$85:$C$90,0),2),0)</f>
        <v>0</v>
      </c>
      <c r="O1281" s="482">
        <v>0.05</v>
      </c>
      <c r="P1281" s="482">
        <v>-0.05</v>
      </c>
      <c r="Q1281" s="69">
        <f>Q1280</f>
        <v>24</v>
      </c>
    </row>
    <row r="1282" spans="1:18">
      <c r="D1282" s="69" t="s">
        <v>2284</v>
      </c>
      <c r="E1282" s="425">
        <f>IF(calcCSGTimeline&lt;=$Q1282,INDEX(datatblCSGPostSales,MATCH(decGTMCSGPostSales,Data!$C$204:$C$209,0),3),0)</f>
        <v>0</v>
      </c>
      <c r="F1282" s="425">
        <f>IF(calcCSGTimeline&lt;=$Q1282,INDEX(datatblCSGPostSales,MATCH(decGTMCSGPostSales,Data!$C$204:$C$209,0),3),0)</f>
        <v>0</v>
      </c>
      <c r="G1282" s="425">
        <f>IF(calcCSGTimeline&lt;=$Q1282,INDEX(datatblCSGPostSales,MATCH(decGTMCSGPostSales,Data!$C$204:$C$209,0),3),0)</f>
        <v>0</v>
      </c>
      <c r="H1282" s="425">
        <f>IF(calcCSGTimeline&lt;=$Q1282,INDEX(datatblCSGPostSales,MATCH(decGTMCSGPostSales,Data!$C$204:$C$209,0),3),0)</f>
        <v>0</v>
      </c>
      <c r="I1282" s="425">
        <f>IF(calcCSGTimeline&lt;=$Q1282,INDEX(datatblCSGPostSales,MATCH(decGTMCSGPostSales,Data!$C$204:$C$209,0),3),0)</f>
        <v>0</v>
      </c>
      <c r="J1282" s="425">
        <f>IF(calcCSGTimeline&lt;=$Q1282,INDEX(datatblCSGPostSales,MATCH(decGTMCSGPostSales,Data!$C$204:$C$209,0),3),0)</f>
        <v>0</v>
      </c>
      <c r="K1282" s="425">
        <f>IF(calcCSGTimeline&lt;=$Q1282,INDEX(datatblCSGPostSales,MATCH(decGTMCSGPostSales,Data!$C$204:$C$209,0),3),0)</f>
        <v>0</v>
      </c>
      <c r="L1282" s="425">
        <f>IF(calcCSGTimeline&lt;=$Q1282,INDEX(datatblCSGPostSales,MATCH(decGTMCSGPostSales,Data!$C$204:$C$209,0),3),0)</f>
        <v>0</v>
      </c>
      <c r="M1282" s="425">
        <f>IF(calcCSGTimeline&lt;=$Q1282,INDEX(datatblCSGPostSales,MATCH(decGTMCSGPostSales,Data!$C$204:$C$209,0),3),0)</f>
        <v>0</v>
      </c>
      <c r="N1282" s="425">
        <f>IF(calcCSGTimeline&lt;=$Q1282,INDEX(datatblCSGPostSales,MATCH(decGTMCSGPostSales,Data!$C$204:$C$209,0),3),0)</f>
        <v>0</v>
      </c>
      <c r="O1282" s="482"/>
      <c r="P1282" s="482"/>
      <c r="Q1282" s="69">
        <f>Q1281</f>
        <v>24</v>
      </c>
    </row>
    <row r="1283" spans="1:18">
      <c r="D1283" s="69" t="s">
        <v>3079</v>
      </c>
      <c r="E1283" s="425">
        <f>IF(calcBrandIntegrationTimeline&lt;=$Q1283,INDEX(datatblBrandIntegration,MATCH(decGTMBrandIntegration,Data!$C$220:$C$226,0),3),0)</f>
        <v>0</v>
      </c>
      <c r="F1283" s="425">
        <f>IF(calcBrandIntegrationTimeline&lt;=$Q1283,INDEX(datatblBrandIntegration,MATCH(decGTMBrandIntegration,Data!$C$220:$C$226,0),3),0)</f>
        <v>0</v>
      </c>
      <c r="G1283" s="425">
        <f>IF(calcBrandIntegrationTimeline&lt;=$Q1283,INDEX(datatblBrandIntegration,MATCH(decGTMBrandIntegration,Data!$C$220:$C$226,0),3),0)</f>
        <v>0</v>
      </c>
      <c r="H1283" s="425">
        <f>IF(calcBrandIntegrationTimeline&lt;=$Q1283,INDEX(datatblBrandIntegration,MATCH(decGTMBrandIntegration,Data!$C$220:$C$226,0),3),0)</f>
        <v>0</v>
      </c>
      <c r="I1283" s="425">
        <f>IF(calcBrandIntegrationTimeline&lt;=$Q1283,INDEX(datatblBrandIntegration,MATCH(decGTMBrandIntegration,Data!$C$220:$C$226,0),3),0)</f>
        <v>0</v>
      </c>
      <c r="J1283" s="425">
        <f>IF(calcBrandIntegrationTimeline&lt;=$Q1283,INDEX(datatblBrandIntegration,MATCH(decGTMBrandIntegration,Data!$C$220:$C$226,0),3),0)</f>
        <v>0</v>
      </c>
      <c r="K1283" s="425">
        <f>IF(calcBrandIntegrationTimeline&lt;=$Q1283,INDEX(datatblBrandIntegration,MATCH(decGTMBrandIntegration,Data!$C$220:$C$226,0),3),0)</f>
        <v>0</v>
      </c>
      <c r="L1283" s="425">
        <f>IF(calcBrandIntegrationTimeline&lt;=$Q1283,INDEX(datatblBrandIntegration,MATCH(decGTMBrandIntegration,Data!$C$220:$C$226,0),3),0)</f>
        <v>0</v>
      </c>
      <c r="M1283" s="425">
        <f>IF(calcBrandIntegrationTimeline&lt;=$Q1283,INDEX(datatblBrandIntegration,MATCH(decGTMBrandIntegration,Data!$C$220:$C$226,0),3),0)</f>
        <v>0</v>
      </c>
      <c r="N1283" s="425">
        <f>IF(calcBrandIntegrationTimeline&lt;=$Q1283,INDEX(datatblBrandIntegration,MATCH(decGTMBrandIntegration,Data!$C$220:$C$226,0),3),0)</f>
        <v>0</v>
      </c>
      <c r="O1283" s="482"/>
      <c r="P1283" s="482"/>
      <c r="Q1283" s="69">
        <f>Q1282</f>
        <v>24</v>
      </c>
    </row>
    <row r="1284" spans="1:18">
      <c r="D1284" s="69" t="s">
        <v>2277</v>
      </c>
      <c r="E1284" s="425">
        <f>IF(decGTMOrg62Timeline="choose",0,IF(E1279=0,INDEX(datatblLeadPass,MATCH(decGTMLeadPass,Data!$C$212:$C$217,0),3),0))</f>
        <v>0</v>
      </c>
      <c r="F1284" s="425">
        <f>IF(decGTMOrg62Timeline="choose",0,IF(F1279=0,INDEX(datatblLeadPass,MATCH(decGTMLeadPass,Data!$C$212:$C$217,0),3),0))</f>
        <v>0</v>
      </c>
      <c r="G1284" s="425">
        <f>IF(decGTMOrg62Timeline="choose",0,IF(G1279=0,INDEX(datatblLeadPass,MATCH(decGTMLeadPass,Data!$C$212:$C$217,0),3),0))</f>
        <v>0</v>
      </c>
      <c r="H1284" s="425">
        <f>IF(decGTMOrg62Timeline="choose",0,IF(H1279=0,INDEX(datatblLeadPass,MATCH(decGTMLeadPass,Data!$C$212:$C$217,0),3),0))</f>
        <v>0</v>
      </c>
      <c r="I1284" s="425">
        <f>IF(decGTMOrg62Timeline="choose",0,IF(I1279=0,INDEX(datatblLeadPass,MATCH(decGTMLeadPass,Data!$C$212:$C$217,0),3),0))</f>
        <v>0</v>
      </c>
      <c r="J1284" s="425">
        <f>IF(decGTMOrg62Timeline="choose",0,IF(J1279=0,INDEX(datatblLeadPass,MATCH(decGTMLeadPass,Data!$C$212:$C$217,0),3),0))</f>
        <v>0</v>
      </c>
      <c r="K1284" s="425">
        <f>IF(decGTMOrg62Timeline="choose",0,IF(K1279=0,INDEX(datatblLeadPass,MATCH(decGTMLeadPass,Data!$C$212:$C$217,0),3),0))</f>
        <v>0</v>
      </c>
      <c r="L1284" s="425">
        <f>IF(decGTMOrg62Timeline="choose",0,IF(L1279=0,INDEX(datatblLeadPass,MATCH(decGTMLeadPass,Data!$C$212:$C$217,0),3),0))</f>
        <v>0</v>
      </c>
      <c r="M1284" s="425">
        <f>IF(decGTMOrg62Timeline="choose",0,IF(M1279=0,INDEX(datatblLeadPass,MATCH(decGTMLeadPass,Data!$C$212:$C$217,0),3),0))</f>
        <v>0</v>
      </c>
      <c r="N1284" s="425">
        <f>IF(decGTMOrg62Timeline="choose",0,IF(N1279=0,INDEX(datatblLeadPass,MATCH(decGTMLeadPass,Data!$C$212:$C$217,0),3),0))</f>
        <v>0</v>
      </c>
      <c r="O1284" s="482"/>
      <c r="P1284" s="482"/>
    </row>
    <row r="1285" spans="1:18">
      <c r="D1285" s="69" t="s">
        <v>1032</v>
      </c>
      <c r="E1285" s="425">
        <f>IF(decSecurityProductRestrictions="Yes",$Q1285,IF(decSecurityProductRestrictions="No",$R1285,$S1285))</f>
        <v>0</v>
      </c>
      <c r="F1285" s="425">
        <f t="shared" ref="F1285:N1285" si="720">IF(decSecurityProductRestrictions="Yes",$Q1285,IF(decSecurityProductRestrictions="No",$R1285,$S1285))</f>
        <v>0</v>
      </c>
      <c r="G1285" s="425">
        <f t="shared" si="720"/>
        <v>0</v>
      </c>
      <c r="H1285" s="425">
        <f t="shared" si="720"/>
        <v>0</v>
      </c>
      <c r="I1285" s="425">
        <f t="shared" si="720"/>
        <v>0</v>
      </c>
      <c r="J1285" s="425">
        <f t="shared" si="720"/>
        <v>0</v>
      </c>
      <c r="K1285" s="425">
        <f t="shared" si="720"/>
        <v>0</v>
      </c>
      <c r="L1285" s="425">
        <f t="shared" si="720"/>
        <v>0</v>
      </c>
      <c r="M1285" s="425">
        <f t="shared" si="720"/>
        <v>0</v>
      </c>
      <c r="N1285" s="425">
        <f t="shared" si="720"/>
        <v>0</v>
      </c>
      <c r="Q1285" s="482">
        <f>xxProductRestrictionACVHit</f>
        <v>-0.02</v>
      </c>
      <c r="R1285" s="482">
        <f>xxProductRestrictionACVIncrease</f>
        <v>0.02</v>
      </c>
    </row>
    <row r="1286" spans="1:18" s="217" customFormat="1">
      <c r="D1286" s="217" t="s">
        <v>1758</v>
      </c>
      <c r="E1286" s="411">
        <f t="shared" ref="E1286:N1286" si="721">SUM(E1279:E1285)+paramACVGrowthBaseline</f>
        <v>0</v>
      </c>
      <c r="F1286" s="411">
        <f t="shared" si="721"/>
        <v>0</v>
      </c>
      <c r="G1286" s="411">
        <f t="shared" si="721"/>
        <v>0</v>
      </c>
      <c r="H1286" s="411">
        <f t="shared" si="721"/>
        <v>0</v>
      </c>
      <c r="I1286" s="411">
        <f t="shared" si="721"/>
        <v>0</v>
      </c>
      <c r="J1286" s="411">
        <f t="shared" si="721"/>
        <v>0</v>
      </c>
      <c r="K1286" s="411">
        <f t="shared" si="721"/>
        <v>0</v>
      </c>
      <c r="L1286" s="411">
        <f t="shared" si="721"/>
        <v>0</v>
      </c>
      <c r="M1286" s="411">
        <f t="shared" si="721"/>
        <v>0</v>
      </c>
      <c r="N1286" s="411">
        <f t="shared" si="721"/>
        <v>0</v>
      </c>
      <c r="O1286" s="217" t="s">
        <v>2516</v>
      </c>
    </row>
    <row r="1287" spans="1:18" s="217" customFormat="1">
      <c r="E1287" s="411"/>
      <c r="F1287" s="411"/>
      <c r="G1287" s="411"/>
      <c r="H1287" s="411"/>
      <c r="I1287" s="411"/>
      <c r="J1287" s="411"/>
      <c r="K1287" s="411"/>
      <c r="L1287" s="411"/>
      <c r="M1287" s="411"/>
      <c r="N1287" s="411"/>
    </row>
    <row r="1288" spans="1:18" s="217" customFormat="1">
      <c r="A1288" s="217">
        <v>1</v>
      </c>
      <c r="B1288" s="10" t="s">
        <v>1735</v>
      </c>
      <c r="C1288" s="11" t="s">
        <v>899</v>
      </c>
      <c r="D1288" s="217" t="str">
        <f>IF(A1288=B1273,"New Revenue Adjustments",IF(AND(C1288=D1273,A1288&lt;B1273),"Attrition Necessary",0))</f>
        <v>Attrition Necessary</v>
      </c>
      <c r="E1288" s="522">
        <f t="shared" ref="E1288:E1319" si="722">IF($B$1273&gt;$A1288,INDEX(calcY2Q4RevFlow,$A1288,calcTeamNum)*(IF($D1288="Attrition Necessary",1-calcQ2AttritionDifference,1)*(IF($D1288="New Revenue Adjustments",1+calcY3Q1RevenueAdjustment,1))),INDEX(dataY3Q1Rev,$A1288,)*(IF($D1288="Attrition Necessary",1-calcQ2AttritionDifference,1))*(IF($D1288="New Revenue Adjustments",1+calcY3Q1RevenueAdjustment,1)))</f>
        <v>923563.84528244205</v>
      </c>
      <c r="F1288" s="522">
        <f t="shared" ref="F1288:N1297" si="723">IF($B$1273&gt;$A1288,INDEX(calcY2Q4RevFlow,$A1288,calcTeamNum)*(IF($D1288="Attrition Necessary",1-calcQ2AttritionDifference,1)*(IF($D1288="New Revenue Adjustments",1+calcY3Q1RevenueAdjustment,1))),INDEX(dataY3Q1Rev,$A1288,)*(IF($D1288="Attrition Necessary",1-calcQ2AttritionDifference,1))*(IF($D1288="New Revenue Adjustments",1+calcY3Q1RevenueAdjustment,1)))</f>
        <v>923563.84528244205</v>
      </c>
      <c r="G1288" s="522">
        <f t="shared" si="723"/>
        <v>923563.84528244205</v>
      </c>
      <c r="H1288" s="522">
        <f t="shared" si="723"/>
        <v>923563.84528244205</v>
      </c>
      <c r="I1288" s="522">
        <f t="shared" si="723"/>
        <v>923563.84528244205</v>
      </c>
      <c r="J1288" s="522">
        <f t="shared" si="723"/>
        <v>923563.84528244205</v>
      </c>
      <c r="K1288" s="522">
        <f t="shared" si="723"/>
        <v>923563.84528244205</v>
      </c>
      <c r="L1288" s="522">
        <f t="shared" si="723"/>
        <v>923563.84528244205</v>
      </c>
      <c r="M1288" s="522">
        <f t="shared" si="723"/>
        <v>923563.84528244205</v>
      </c>
      <c r="N1288" s="522">
        <f t="shared" si="723"/>
        <v>923563.84528244205</v>
      </c>
      <c r="O1288" s="410" t="s">
        <v>2517</v>
      </c>
    </row>
    <row r="1289" spans="1:18" s="217" customFormat="1">
      <c r="A1289" s="217">
        <v>2</v>
      </c>
      <c r="B1289" s="10" t="s">
        <v>1735</v>
      </c>
      <c r="C1289" s="11" t="s">
        <v>900</v>
      </c>
      <c r="D1289" s="217">
        <f>IF(A1289=B1273,"New Revenue Adjustments",IF(AND(C1289=D1273,A1289&lt;B1273),"Attrition Necessary",0))</f>
        <v>0</v>
      </c>
      <c r="E1289" s="522">
        <f t="shared" si="722"/>
        <v>1626487.2388084012</v>
      </c>
      <c r="F1289" s="522">
        <f t="shared" si="723"/>
        <v>1626487.2388084012</v>
      </c>
      <c r="G1289" s="522">
        <f t="shared" si="723"/>
        <v>1626487.2388084012</v>
      </c>
      <c r="H1289" s="522">
        <f t="shared" si="723"/>
        <v>1626487.2388084012</v>
      </c>
      <c r="I1289" s="522">
        <f t="shared" si="723"/>
        <v>1626487.2388084012</v>
      </c>
      <c r="J1289" s="522">
        <f t="shared" si="723"/>
        <v>1626487.2388084012</v>
      </c>
      <c r="K1289" s="522">
        <f t="shared" si="723"/>
        <v>1626487.2388084012</v>
      </c>
      <c r="L1289" s="522">
        <f t="shared" si="723"/>
        <v>1626487.2388084012</v>
      </c>
      <c r="M1289" s="522">
        <f t="shared" si="723"/>
        <v>1626487.2388084012</v>
      </c>
      <c r="N1289" s="522">
        <f t="shared" si="723"/>
        <v>1626487.2388084012</v>
      </c>
      <c r="O1289" s="410" t="s">
        <v>2518</v>
      </c>
    </row>
    <row r="1290" spans="1:18" s="217" customFormat="1">
      <c r="A1290" s="217">
        <v>3</v>
      </c>
      <c r="B1290" s="10" t="s">
        <v>1735</v>
      </c>
      <c r="C1290" s="11" t="s">
        <v>901</v>
      </c>
      <c r="D1290" s="217">
        <f>IF(A1290=B1273,"New Revenue Adjustments",IF(AND(C1290=D1273,A1290&lt;B1273),"Attrition Necessary",0))</f>
        <v>0</v>
      </c>
      <c r="E1290" s="522">
        <f t="shared" si="722"/>
        <v>2168649.6517445347</v>
      </c>
      <c r="F1290" s="522">
        <f t="shared" si="723"/>
        <v>2168649.6517445347</v>
      </c>
      <c r="G1290" s="522">
        <f t="shared" si="723"/>
        <v>2168649.6517445347</v>
      </c>
      <c r="H1290" s="522">
        <f t="shared" si="723"/>
        <v>2168649.6517445347</v>
      </c>
      <c r="I1290" s="522">
        <f t="shared" si="723"/>
        <v>2168649.6517445347</v>
      </c>
      <c r="J1290" s="522">
        <f t="shared" si="723"/>
        <v>2168649.6517445347</v>
      </c>
      <c r="K1290" s="522">
        <f t="shared" si="723"/>
        <v>2168649.6517445347</v>
      </c>
      <c r="L1290" s="522">
        <f t="shared" si="723"/>
        <v>2168649.6517445347</v>
      </c>
      <c r="M1290" s="522">
        <f t="shared" si="723"/>
        <v>2168649.6517445347</v>
      </c>
      <c r="N1290" s="522">
        <f t="shared" si="723"/>
        <v>2168649.6517445347</v>
      </c>
      <c r="O1290" s="410" t="s">
        <v>2519</v>
      </c>
    </row>
    <row r="1291" spans="1:18" s="217" customFormat="1">
      <c r="A1291" s="217">
        <v>4</v>
      </c>
      <c r="B1291" s="10" t="s">
        <v>1735</v>
      </c>
      <c r="C1291" s="11" t="s">
        <v>902</v>
      </c>
      <c r="D1291" s="217">
        <f>IF(A1291=B1273,"New Revenue Adjustments",IF(AND(C1291=D1273,A1291&lt;B1273),"Attrition Necessary",0))</f>
        <v>0</v>
      </c>
      <c r="E1291" s="522">
        <f t="shared" si="722"/>
        <v>2710812.0646806685</v>
      </c>
      <c r="F1291" s="522">
        <f t="shared" si="723"/>
        <v>2710812.0646806685</v>
      </c>
      <c r="G1291" s="522">
        <f t="shared" si="723"/>
        <v>2710812.0646806685</v>
      </c>
      <c r="H1291" s="522">
        <f t="shared" si="723"/>
        <v>2710812.0646806685</v>
      </c>
      <c r="I1291" s="522">
        <f t="shared" si="723"/>
        <v>2710812.0646806685</v>
      </c>
      <c r="J1291" s="522">
        <f t="shared" si="723"/>
        <v>2710812.0646806685</v>
      </c>
      <c r="K1291" s="522">
        <f t="shared" si="723"/>
        <v>2710812.0646806685</v>
      </c>
      <c r="L1291" s="522">
        <f t="shared" si="723"/>
        <v>2710812.0646806685</v>
      </c>
      <c r="M1291" s="522">
        <f t="shared" si="723"/>
        <v>2710812.0646806685</v>
      </c>
      <c r="N1291" s="522">
        <f t="shared" si="723"/>
        <v>2710812.0646806685</v>
      </c>
      <c r="O1291" s="410" t="s">
        <v>2520</v>
      </c>
    </row>
    <row r="1292" spans="1:18" s="217" customFormat="1">
      <c r="A1292" s="217">
        <v>5</v>
      </c>
      <c r="B1292" s="10" t="s">
        <v>1729</v>
      </c>
      <c r="C1292" s="11" t="s">
        <v>899</v>
      </c>
      <c r="D1292" s="217" t="str">
        <f>IF(A1292=B1273,"New Revenue Adjustments",IF(AND(C1292=D1273,A1292&lt;B1273),"Attrition Necessary",0))</f>
        <v>Attrition Necessary</v>
      </c>
      <c r="E1292" s="522">
        <f t="shared" si="722"/>
        <v>1086545.7003322849</v>
      </c>
      <c r="F1292" s="522">
        <f t="shared" si="723"/>
        <v>1086545.7003322849</v>
      </c>
      <c r="G1292" s="522">
        <f t="shared" si="723"/>
        <v>1086545.7003322849</v>
      </c>
      <c r="H1292" s="522">
        <f t="shared" si="723"/>
        <v>1086545.7003322849</v>
      </c>
      <c r="I1292" s="522">
        <f t="shared" si="723"/>
        <v>1086545.7003322849</v>
      </c>
      <c r="J1292" s="522">
        <f t="shared" si="723"/>
        <v>1086545.7003322849</v>
      </c>
      <c r="K1292" s="522">
        <f t="shared" si="723"/>
        <v>1086545.7003322849</v>
      </c>
      <c r="L1292" s="522">
        <f t="shared" si="723"/>
        <v>1086545.7003322849</v>
      </c>
      <c r="M1292" s="522">
        <f t="shared" si="723"/>
        <v>1086545.7003322849</v>
      </c>
      <c r="N1292" s="522">
        <f t="shared" si="723"/>
        <v>1086545.7003322849</v>
      </c>
      <c r="O1292" s="410" t="s">
        <v>2521</v>
      </c>
    </row>
    <row r="1293" spans="1:18" s="217" customFormat="1">
      <c r="A1293" s="217">
        <v>6</v>
      </c>
      <c r="B1293" s="10" t="s">
        <v>1729</v>
      </c>
      <c r="C1293" s="11" t="s">
        <v>900</v>
      </c>
      <c r="D1293" s="217">
        <f>IF(A1293=B1273,"New Revenue Adjustments",IF(AND(C1293=D1273,A1293&lt;B1273),"Attrition Necessary",0))</f>
        <v>0</v>
      </c>
      <c r="E1293" s="522">
        <f t="shared" si="722"/>
        <v>1561939.1197426142</v>
      </c>
      <c r="F1293" s="522">
        <f t="shared" si="723"/>
        <v>1561939.1197426142</v>
      </c>
      <c r="G1293" s="522">
        <f t="shared" si="723"/>
        <v>1561939.1197426142</v>
      </c>
      <c r="H1293" s="522">
        <f t="shared" si="723"/>
        <v>1561939.1197426142</v>
      </c>
      <c r="I1293" s="522">
        <f t="shared" si="723"/>
        <v>1561939.1197426142</v>
      </c>
      <c r="J1293" s="522">
        <f t="shared" si="723"/>
        <v>1561939.1197426142</v>
      </c>
      <c r="K1293" s="522">
        <f t="shared" si="723"/>
        <v>1561939.1197426142</v>
      </c>
      <c r="L1293" s="522">
        <f t="shared" si="723"/>
        <v>1561939.1197426142</v>
      </c>
      <c r="M1293" s="522">
        <f t="shared" si="723"/>
        <v>1561939.1197426142</v>
      </c>
      <c r="N1293" s="522">
        <f t="shared" si="723"/>
        <v>1561939.1197426142</v>
      </c>
      <c r="O1293" s="410" t="s">
        <v>2522</v>
      </c>
    </row>
    <row r="1294" spans="1:18" s="217" customFormat="1">
      <c r="A1294" s="217">
        <v>7</v>
      </c>
      <c r="B1294" s="10" t="s">
        <v>1729</v>
      </c>
      <c r="C1294" s="11" t="s">
        <v>901</v>
      </c>
      <c r="D1294" s="217">
        <f>IF(A1294=B1273,"New Revenue Adjustments",IF(AND(C1294=D1273,A1294&lt;B1273),"Attrition Necessary",0))</f>
        <v>0</v>
      </c>
      <c r="E1294" s="522">
        <f t="shared" si="722"/>
        <v>2413905.912329495</v>
      </c>
      <c r="F1294" s="522">
        <f t="shared" si="723"/>
        <v>2413905.912329495</v>
      </c>
      <c r="G1294" s="522">
        <f t="shared" si="723"/>
        <v>2413905.912329495</v>
      </c>
      <c r="H1294" s="522">
        <f t="shared" si="723"/>
        <v>2413905.912329495</v>
      </c>
      <c r="I1294" s="522">
        <f t="shared" si="723"/>
        <v>2413905.912329495</v>
      </c>
      <c r="J1294" s="522">
        <f t="shared" si="723"/>
        <v>2413905.912329495</v>
      </c>
      <c r="K1294" s="522">
        <f t="shared" si="723"/>
        <v>2413905.912329495</v>
      </c>
      <c r="L1294" s="522">
        <f t="shared" si="723"/>
        <v>2413905.912329495</v>
      </c>
      <c r="M1294" s="522">
        <f t="shared" si="723"/>
        <v>2413905.912329495</v>
      </c>
      <c r="N1294" s="522">
        <f t="shared" si="723"/>
        <v>2413905.912329495</v>
      </c>
      <c r="O1294" s="410" t="s">
        <v>2523</v>
      </c>
    </row>
    <row r="1295" spans="1:18" s="217" customFormat="1">
      <c r="A1295" s="217">
        <v>8</v>
      </c>
      <c r="B1295" s="10" t="s">
        <v>1729</v>
      </c>
      <c r="C1295" s="11" t="s">
        <v>902</v>
      </c>
      <c r="D1295" s="217">
        <f>IF(A1295=B1273,"New Revenue Adjustments",IF(AND(C1295=D1273,A1295&lt;B1273),"Attrition Necessary",0))</f>
        <v>0</v>
      </c>
      <c r="E1295" s="522">
        <f t="shared" si="722"/>
        <v>3549861.6357786688</v>
      </c>
      <c r="F1295" s="522">
        <f t="shared" si="723"/>
        <v>3549861.6357786688</v>
      </c>
      <c r="G1295" s="522">
        <f t="shared" si="723"/>
        <v>3549861.6357786688</v>
      </c>
      <c r="H1295" s="522">
        <f t="shared" si="723"/>
        <v>3549861.6357786688</v>
      </c>
      <c r="I1295" s="522">
        <f t="shared" si="723"/>
        <v>3549861.6357786688</v>
      </c>
      <c r="J1295" s="522">
        <f t="shared" si="723"/>
        <v>3549861.6357786688</v>
      </c>
      <c r="K1295" s="522">
        <f t="shared" si="723"/>
        <v>3549861.6357786688</v>
      </c>
      <c r="L1295" s="522">
        <f t="shared" si="723"/>
        <v>3549861.6357786688</v>
      </c>
      <c r="M1295" s="522">
        <f t="shared" si="723"/>
        <v>3549861.6357786688</v>
      </c>
      <c r="N1295" s="522">
        <f t="shared" si="723"/>
        <v>3549861.6357786688</v>
      </c>
      <c r="O1295" s="410" t="s">
        <v>2524</v>
      </c>
    </row>
    <row r="1296" spans="1:18" s="217" customFormat="1">
      <c r="A1296" s="217">
        <v>9</v>
      </c>
      <c r="B1296" s="10" t="s">
        <v>405</v>
      </c>
      <c r="C1296" s="11" t="s">
        <v>899</v>
      </c>
      <c r="D1296" s="217" t="str">
        <f>IF(A1296=B1273,"New Revenue Adjustments",IF(AND(C1296=D1273,A1296&lt;B1273),"Attrition Necessary",0))</f>
        <v>Attrition Necessary</v>
      </c>
      <c r="E1296" s="522">
        <f t="shared" si="722"/>
        <v>1600709.5496611758</v>
      </c>
      <c r="F1296" s="522">
        <f t="shared" si="723"/>
        <v>1600709.5496611758</v>
      </c>
      <c r="G1296" s="522">
        <f t="shared" si="723"/>
        <v>1600709.5496611758</v>
      </c>
      <c r="H1296" s="522">
        <f t="shared" si="723"/>
        <v>1600709.5496611758</v>
      </c>
      <c r="I1296" s="522">
        <f t="shared" si="723"/>
        <v>1600709.5496611758</v>
      </c>
      <c r="J1296" s="522">
        <f t="shared" si="723"/>
        <v>1600709.5496611758</v>
      </c>
      <c r="K1296" s="522">
        <f t="shared" si="723"/>
        <v>1600709.5496611758</v>
      </c>
      <c r="L1296" s="522">
        <f t="shared" si="723"/>
        <v>1600709.5496611758</v>
      </c>
      <c r="M1296" s="522">
        <f t="shared" si="723"/>
        <v>1600709.5496611758</v>
      </c>
      <c r="N1296" s="522">
        <f t="shared" si="723"/>
        <v>1600709.5496611758</v>
      </c>
      <c r="O1296" s="410" t="s">
        <v>2525</v>
      </c>
    </row>
    <row r="1297" spans="1:15" s="217" customFormat="1">
      <c r="A1297" s="217">
        <v>10</v>
      </c>
      <c r="B1297" s="10" t="s">
        <v>405</v>
      </c>
      <c r="C1297" s="11" t="s">
        <v>900</v>
      </c>
      <c r="D1297" s="217">
        <f>IF(A1297=B1273,"New Revenue Adjustments",IF(AND(C1297=D1273,A1297&lt;B1273),"Attrition Necessary",0))</f>
        <v>0</v>
      </c>
      <c r="E1297" s="522">
        <f t="shared" si="722"/>
        <v>2301063.6958912676</v>
      </c>
      <c r="F1297" s="522">
        <f t="shared" si="723"/>
        <v>2301063.6958912676</v>
      </c>
      <c r="G1297" s="522">
        <f t="shared" si="723"/>
        <v>2301063.6958912676</v>
      </c>
      <c r="H1297" s="522">
        <f t="shared" si="723"/>
        <v>2301063.6958912676</v>
      </c>
      <c r="I1297" s="522">
        <f t="shared" si="723"/>
        <v>2301063.6958912676</v>
      </c>
      <c r="J1297" s="522">
        <f t="shared" si="723"/>
        <v>2301063.6958912676</v>
      </c>
      <c r="K1297" s="522">
        <f t="shared" si="723"/>
        <v>2301063.6958912676</v>
      </c>
      <c r="L1297" s="522">
        <f t="shared" si="723"/>
        <v>2301063.6958912676</v>
      </c>
      <c r="M1297" s="522">
        <f t="shared" si="723"/>
        <v>2301063.6958912676</v>
      </c>
      <c r="N1297" s="522">
        <f t="shared" si="723"/>
        <v>2301063.6958912676</v>
      </c>
      <c r="O1297" s="410" t="s">
        <v>2526</v>
      </c>
    </row>
    <row r="1298" spans="1:15" s="217" customFormat="1">
      <c r="A1298" s="217">
        <v>11</v>
      </c>
      <c r="B1298" s="10" t="s">
        <v>405</v>
      </c>
      <c r="C1298" s="11" t="s">
        <v>901</v>
      </c>
      <c r="D1298" s="217">
        <f>IF(A1298=B1273,"New Revenue Adjustments",IF(AND(C1298=D1273,A1298&lt;B1273),"Attrition Necessary",0))</f>
        <v>0</v>
      </c>
      <c r="E1298" s="522">
        <f t="shared" si="722"/>
        <v>3556189.3481955961</v>
      </c>
      <c r="F1298" s="522">
        <f t="shared" ref="F1298:N1307" si="724">IF($B$1273&gt;$A1298,INDEX(calcY2Q4RevFlow,$A1298,calcTeamNum)*(IF($D1298="Attrition Necessary",1-calcQ2AttritionDifference,1)*(IF($D1298="New Revenue Adjustments",1+calcY3Q1RevenueAdjustment,1))),INDEX(dataY3Q1Rev,$A1298,)*(IF($D1298="Attrition Necessary",1-calcQ2AttritionDifference,1))*(IF($D1298="New Revenue Adjustments",1+calcY3Q1RevenueAdjustment,1)))</f>
        <v>3556189.3481955961</v>
      </c>
      <c r="G1298" s="522">
        <f t="shared" si="724"/>
        <v>3556189.3481955961</v>
      </c>
      <c r="H1298" s="522">
        <f t="shared" si="724"/>
        <v>3556189.3481955961</v>
      </c>
      <c r="I1298" s="522">
        <f t="shared" si="724"/>
        <v>3556189.3481955961</v>
      </c>
      <c r="J1298" s="522">
        <f t="shared" si="724"/>
        <v>3556189.3481955961</v>
      </c>
      <c r="K1298" s="522">
        <f t="shared" si="724"/>
        <v>3556189.3481955961</v>
      </c>
      <c r="L1298" s="522">
        <f t="shared" si="724"/>
        <v>3556189.3481955961</v>
      </c>
      <c r="M1298" s="522">
        <f t="shared" si="724"/>
        <v>3556189.3481955961</v>
      </c>
      <c r="N1298" s="522">
        <f t="shared" si="724"/>
        <v>3556189.3481955961</v>
      </c>
      <c r="O1298" s="410" t="s">
        <v>2527</v>
      </c>
    </row>
    <row r="1299" spans="1:15" s="217" customFormat="1">
      <c r="A1299" s="217">
        <v>12</v>
      </c>
      <c r="B1299" s="10" t="s">
        <v>405</v>
      </c>
      <c r="C1299" s="11" t="s">
        <v>902</v>
      </c>
      <c r="D1299" s="217">
        <f>IF(A1299=B1273,"New Revenue Adjustments",IF(AND(C1299=D1273,A1299&lt;B1273),"Attrition Necessary",0))</f>
        <v>0</v>
      </c>
      <c r="E1299" s="522">
        <f t="shared" si="722"/>
        <v>5229690.2179346997</v>
      </c>
      <c r="F1299" s="522">
        <f t="shared" si="724"/>
        <v>5229690.2179346997</v>
      </c>
      <c r="G1299" s="522">
        <f t="shared" si="724"/>
        <v>5229690.2179346997</v>
      </c>
      <c r="H1299" s="522">
        <f t="shared" si="724"/>
        <v>5229690.2179346997</v>
      </c>
      <c r="I1299" s="522">
        <f t="shared" si="724"/>
        <v>5229690.2179346997</v>
      </c>
      <c r="J1299" s="522">
        <f t="shared" si="724"/>
        <v>5229690.2179346997</v>
      </c>
      <c r="K1299" s="522">
        <f t="shared" si="724"/>
        <v>5229690.2179346997</v>
      </c>
      <c r="L1299" s="522">
        <f t="shared" si="724"/>
        <v>5229690.2179346997</v>
      </c>
      <c r="M1299" s="522">
        <f t="shared" si="724"/>
        <v>5229690.2179346997</v>
      </c>
      <c r="N1299" s="522">
        <f t="shared" si="724"/>
        <v>5229690.2179346997</v>
      </c>
      <c r="O1299" s="410" t="s">
        <v>2528</v>
      </c>
    </row>
    <row r="1300" spans="1:15" s="217" customFormat="1">
      <c r="A1300" s="217">
        <v>13</v>
      </c>
      <c r="B1300" s="10" t="s">
        <v>1278</v>
      </c>
      <c r="C1300" s="11" t="s">
        <v>899</v>
      </c>
      <c r="D1300" s="217" t="str">
        <f>IF(A1300=B1273,"New Revenue Adjustments",IF(AND(C1300=D1273,A1300&lt;B1273),"Attrition Necessary",0))</f>
        <v>Attrition Necessary</v>
      </c>
      <c r="E1300" s="522">
        <f t="shared" si="722"/>
        <v>2353360.598070615</v>
      </c>
      <c r="F1300" s="522">
        <f t="shared" si="724"/>
        <v>2353360.598070615</v>
      </c>
      <c r="G1300" s="522">
        <f t="shared" si="724"/>
        <v>2353360.598070615</v>
      </c>
      <c r="H1300" s="522">
        <f t="shared" si="724"/>
        <v>2353360.598070615</v>
      </c>
      <c r="I1300" s="522">
        <f t="shared" si="724"/>
        <v>2353360.598070615</v>
      </c>
      <c r="J1300" s="522">
        <f t="shared" si="724"/>
        <v>2353360.598070615</v>
      </c>
      <c r="K1300" s="522">
        <f t="shared" si="724"/>
        <v>2353360.598070615</v>
      </c>
      <c r="L1300" s="522">
        <f t="shared" si="724"/>
        <v>2353360.598070615</v>
      </c>
      <c r="M1300" s="522">
        <f t="shared" si="724"/>
        <v>2353360.598070615</v>
      </c>
      <c r="N1300" s="522">
        <f t="shared" si="724"/>
        <v>2353360.598070615</v>
      </c>
      <c r="O1300" s="410" t="s">
        <v>2529</v>
      </c>
    </row>
    <row r="1301" spans="1:15" s="217" customFormat="1">
      <c r="A1301" s="217">
        <v>14</v>
      </c>
      <c r="B1301" s="10" t="s">
        <v>1278</v>
      </c>
      <c r="C1301" s="11" t="s">
        <v>900</v>
      </c>
      <c r="D1301" s="217">
        <f>IF(A1301=B1273,"New Revenue Adjustments",IF(AND(C1301=D1273,A1301&lt;B1273),"Attrition Necessary",0))</f>
        <v>0</v>
      </c>
      <c r="E1301" s="522">
        <f t="shared" si="722"/>
        <v>2870450.4681731849</v>
      </c>
      <c r="F1301" s="522">
        <f t="shared" si="724"/>
        <v>2870450.4681731849</v>
      </c>
      <c r="G1301" s="522">
        <f t="shared" si="724"/>
        <v>2870450.4681731849</v>
      </c>
      <c r="H1301" s="522">
        <f t="shared" si="724"/>
        <v>2870450.4681731849</v>
      </c>
      <c r="I1301" s="522">
        <f t="shared" si="724"/>
        <v>2870450.4681731849</v>
      </c>
      <c r="J1301" s="522">
        <f t="shared" si="724"/>
        <v>2870450.4681731849</v>
      </c>
      <c r="K1301" s="522">
        <f t="shared" si="724"/>
        <v>2870450.4681731849</v>
      </c>
      <c r="L1301" s="522">
        <f t="shared" si="724"/>
        <v>2870450.4681731849</v>
      </c>
      <c r="M1301" s="522">
        <f t="shared" si="724"/>
        <v>2870450.4681731849</v>
      </c>
      <c r="N1301" s="522">
        <f t="shared" si="724"/>
        <v>2870450.4681731849</v>
      </c>
      <c r="O1301" s="410" t="s">
        <v>2530</v>
      </c>
    </row>
    <row r="1302" spans="1:15" s="217" customFormat="1">
      <c r="A1302" s="217">
        <v>15</v>
      </c>
      <c r="B1302" s="10" t="s">
        <v>1278</v>
      </c>
      <c r="C1302" s="11" t="s">
        <v>901</v>
      </c>
      <c r="D1302" s="217">
        <f>IF(A1302=B1273,"New Revenue Adjustments",IF(AND(C1302=D1273,A1302&lt;B1273),"Attrition Necessary",0))</f>
        <v>0</v>
      </c>
      <c r="E1302" s="522">
        <f t="shared" si="722"/>
        <v>4436150.7235403778</v>
      </c>
      <c r="F1302" s="522">
        <f t="shared" si="724"/>
        <v>4436150.7235403778</v>
      </c>
      <c r="G1302" s="522">
        <f t="shared" si="724"/>
        <v>4436150.7235403778</v>
      </c>
      <c r="H1302" s="522">
        <f t="shared" si="724"/>
        <v>4436150.7235403778</v>
      </c>
      <c r="I1302" s="522">
        <f t="shared" si="724"/>
        <v>4436150.7235403778</v>
      </c>
      <c r="J1302" s="522">
        <f t="shared" si="724"/>
        <v>4436150.7235403778</v>
      </c>
      <c r="K1302" s="522">
        <f t="shared" si="724"/>
        <v>4436150.7235403778</v>
      </c>
      <c r="L1302" s="522">
        <f t="shared" si="724"/>
        <v>4436150.7235403778</v>
      </c>
      <c r="M1302" s="522">
        <f t="shared" si="724"/>
        <v>4436150.7235403778</v>
      </c>
      <c r="N1302" s="522">
        <f t="shared" si="724"/>
        <v>4436150.7235403778</v>
      </c>
      <c r="O1302" s="410" t="s">
        <v>2531</v>
      </c>
    </row>
    <row r="1303" spans="1:15" s="217" customFormat="1">
      <c r="A1303" s="217">
        <v>16</v>
      </c>
      <c r="B1303" s="10" t="s">
        <v>1278</v>
      </c>
      <c r="C1303" s="11" t="s">
        <v>902</v>
      </c>
      <c r="D1303" s="217">
        <f>IF(A1303=B1273,"New Revenue Adjustments",IF(AND(C1303=D1273,A1303&lt;B1273),"Attrition Necessary",0))</f>
        <v>0</v>
      </c>
      <c r="E1303" s="522">
        <f t="shared" si="722"/>
        <v>6523751.0640299665</v>
      </c>
      <c r="F1303" s="522">
        <f t="shared" si="724"/>
        <v>6523751.0640299665</v>
      </c>
      <c r="G1303" s="522">
        <f t="shared" si="724"/>
        <v>6523751.0640299665</v>
      </c>
      <c r="H1303" s="522">
        <f t="shared" si="724"/>
        <v>6523751.0640299665</v>
      </c>
      <c r="I1303" s="522">
        <f t="shared" si="724"/>
        <v>6523751.0640299665</v>
      </c>
      <c r="J1303" s="522">
        <f t="shared" si="724"/>
        <v>6523751.0640299665</v>
      </c>
      <c r="K1303" s="522">
        <f t="shared" si="724"/>
        <v>6523751.0640299665</v>
      </c>
      <c r="L1303" s="522">
        <f t="shared" si="724"/>
        <v>6523751.0640299665</v>
      </c>
      <c r="M1303" s="522">
        <f t="shared" si="724"/>
        <v>6523751.0640299665</v>
      </c>
      <c r="N1303" s="522">
        <f t="shared" si="724"/>
        <v>6523751.0640299665</v>
      </c>
      <c r="O1303" s="410" t="s">
        <v>2532</v>
      </c>
    </row>
    <row r="1304" spans="1:15" s="217" customFormat="1">
      <c r="A1304" s="217">
        <v>17</v>
      </c>
      <c r="B1304" s="10" t="s">
        <v>1279</v>
      </c>
      <c r="C1304" s="11" t="s">
        <v>899</v>
      </c>
      <c r="D1304" s="217" t="str">
        <f>IF(A1304=B1273,"New Revenue Adjustments",IF(AND(C1304=D1273,A1304&lt;B1273),"Attrition Necessary",0))</f>
        <v>Attrition Necessary</v>
      </c>
      <c r="E1304" s="522">
        <f t="shared" si="722"/>
        <v>2935687.9788134852</v>
      </c>
      <c r="F1304" s="522">
        <f t="shared" si="724"/>
        <v>2935687.9788134852</v>
      </c>
      <c r="G1304" s="522">
        <f t="shared" si="724"/>
        <v>2935687.9788134852</v>
      </c>
      <c r="H1304" s="522">
        <f t="shared" si="724"/>
        <v>2935687.9788134852</v>
      </c>
      <c r="I1304" s="522">
        <f t="shared" si="724"/>
        <v>2935687.9788134852</v>
      </c>
      <c r="J1304" s="522">
        <f t="shared" si="724"/>
        <v>2935687.9788134852</v>
      </c>
      <c r="K1304" s="522">
        <f t="shared" si="724"/>
        <v>2935687.9788134852</v>
      </c>
      <c r="L1304" s="522">
        <f t="shared" si="724"/>
        <v>2935687.9788134852</v>
      </c>
      <c r="M1304" s="522">
        <f t="shared" si="724"/>
        <v>2935687.9788134852</v>
      </c>
      <c r="N1304" s="522">
        <f t="shared" si="724"/>
        <v>2935687.9788134852</v>
      </c>
      <c r="O1304" s="410" t="s">
        <v>2650</v>
      </c>
    </row>
    <row r="1305" spans="1:15" s="217" customFormat="1">
      <c r="A1305" s="217">
        <v>18</v>
      </c>
      <c r="B1305" s="10" t="s">
        <v>1279</v>
      </c>
      <c r="C1305" s="11" t="s">
        <v>900</v>
      </c>
      <c r="D1305" s="217">
        <f>IF(A1305=B1273,"New Revenue Adjustments",IF(AND(C1305=D1273,A1305&lt;B1273),"Attrition Necessary",0))</f>
        <v>0</v>
      </c>
      <c r="E1305" s="522">
        <f t="shared" si="722"/>
        <v>3580729.166666666</v>
      </c>
      <c r="F1305" s="522">
        <f t="shared" si="724"/>
        <v>3580729.166666666</v>
      </c>
      <c r="G1305" s="522">
        <f t="shared" si="724"/>
        <v>3580729.166666666</v>
      </c>
      <c r="H1305" s="522">
        <f t="shared" si="724"/>
        <v>3580729.166666666</v>
      </c>
      <c r="I1305" s="522">
        <f t="shared" si="724"/>
        <v>3580729.166666666</v>
      </c>
      <c r="J1305" s="522">
        <f t="shared" si="724"/>
        <v>3580729.166666666</v>
      </c>
      <c r="K1305" s="522">
        <f t="shared" si="724"/>
        <v>3580729.166666666</v>
      </c>
      <c r="L1305" s="522">
        <f t="shared" si="724"/>
        <v>3580729.166666666</v>
      </c>
      <c r="M1305" s="522">
        <f t="shared" si="724"/>
        <v>3580729.166666666</v>
      </c>
      <c r="N1305" s="522">
        <f t="shared" si="724"/>
        <v>3580729.166666666</v>
      </c>
      <c r="O1305" s="410" t="s">
        <v>2534</v>
      </c>
    </row>
    <row r="1306" spans="1:15" s="217" customFormat="1">
      <c r="A1306" s="217">
        <v>19</v>
      </c>
      <c r="B1306" s="10" t="s">
        <v>1279</v>
      </c>
      <c r="C1306" s="11" t="s">
        <v>901</v>
      </c>
      <c r="D1306" s="217">
        <f>IF(A1306=B1273,"New Revenue Adjustments",IF(AND(C1306=D1273,A1306&lt;B1273),"Attrition Necessary",0))</f>
        <v>0</v>
      </c>
      <c r="E1306" s="522">
        <f t="shared" si="722"/>
        <v>5533854.1666666679</v>
      </c>
      <c r="F1306" s="522">
        <f t="shared" si="724"/>
        <v>5533854.1666666679</v>
      </c>
      <c r="G1306" s="522">
        <f t="shared" si="724"/>
        <v>5533854.1666666679</v>
      </c>
      <c r="H1306" s="522">
        <f t="shared" si="724"/>
        <v>5533854.1666666679</v>
      </c>
      <c r="I1306" s="522">
        <f t="shared" si="724"/>
        <v>5533854.1666666679</v>
      </c>
      <c r="J1306" s="522">
        <f t="shared" si="724"/>
        <v>5533854.1666666679</v>
      </c>
      <c r="K1306" s="522">
        <f t="shared" si="724"/>
        <v>5533854.1666666679</v>
      </c>
      <c r="L1306" s="522">
        <f t="shared" si="724"/>
        <v>5533854.1666666679</v>
      </c>
      <c r="M1306" s="522">
        <f t="shared" si="724"/>
        <v>5533854.1666666679</v>
      </c>
      <c r="N1306" s="522">
        <f t="shared" si="724"/>
        <v>5533854.1666666679</v>
      </c>
      <c r="O1306" s="410" t="s">
        <v>2535</v>
      </c>
    </row>
    <row r="1307" spans="1:15" s="217" customFormat="1">
      <c r="A1307" s="217">
        <v>20</v>
      </c>
      <c r="B1307" s="10" t="s">
        <v>1279</v>
      </c>
      <c r="C1307" s="11" t="s">
        <v>902</v>
      </c>
      <c r="D1307" s="217">
        <f>IF(A1307=B1273,"New Revenue Adjustments",IF(AND(C1307=D1273,A1307&lt;B1273),"Attrition Necessary",0))</f>
        <v>0</v>
      </c>
      <c r="E1307" s="522">
        <f t="shared" si="722"/>
        <v>8138020.8333333321</v>
      </c>
      <c r="F1307" s="522">
        <f t="shared" si="724"/>
        <v>8138020.8333333321</v>
      </c>
      <c r="G1307" s="522">
        <f t="shared" si="724"/>
        <v>8138020.8333333321</v>
      </c>
      <c r="H1307" s="522">
        <f t="shared" si="724"/>
        <v>8138020.8333333321</v>
      </c>
      <c r="I1307" s="522">
        <f t="shared" si="724"/>
        <v>8138020.8333333321</v>
      </c>
      <c r="J1307" s="522">
        <f t="shared" si="724"/>
        <v>8138020.8333333321</v>
      </c>
      <c r="K1307" s="522">
        <f t="shared" si="724"/>
        <v>8138020.8333333321</v>
      </c>
      <c r="L1307" s="522">
        <f t="shared" si="724"/>
        <v>8138020.8333333321</v>
      </c>
      <c r="M1307" s="522">
        <f t="shared" si="724"/>
        <v>8138020.8333333321</v>
      </c>
      <c r="N1307" s="522">
        <f t="shared" si="724"/>
        <v>8138020.8333333321</v>
      </c>
      <c r="O1307" s="410" t="s">
        <v>2536</v>
      </c>
    </row>
    <row r="1308" spans="1:15" s="217" customFormat="1">
      <c r="A1308" s="217">
        <v>21</v>
      </c>
      <c r="B1308" s="10" t="s">
        <v>2052</v>
      </c>
      <c r="C1308" s="11" t="s">
        <v>899</v>
      </c>
      <c r="D1308" s="217" t="str">
        <f>IF(A1308=B1273,"New Revenue Adjustments",IF(AND(C1308=D1273,A1308&lt;B1273),"Attrition Necessary",0))</f>
        <v>New Revenue Adjustments</v>
      </c>
      <c r="E1308" s="522">
        <f t="shared" si="722"/>
        <v>3222656.2500000005</v>
      </c>
      <c r="F1308" s="522">
        <f t="shared" ref="F1308:N1319" si="725">IF($B$1273&gt;$A1308,INDEX(calcY2Q4RevFlow,$A1308,calcTeamNum)*(IF($D1308="Attrition Necessary",1-calcQ2AttritionDifference,1)*(IF($D1308="New Revenue Adjustments",1+calcY3Q1RevenueAdjustment,1))),INDEX(dataY3Q1Rev,$A1308,)*(IF($D1308="Attrition Necessary",1-calcQ2AttritionDifference,1))*(IF($D1308="New Revenue Adjustments",1+calcY3Q1RevenueAdjustment,1)))</f>
        <v>3222656.2500000005</v>
      </c>
      <c r="G1308" s="522">
        <f t="shared" si="725"/>
        <v>3222656.2500000005</v>
      </c>
      <c r="H1308" s="522">
        <f t="shared" si="725"/>
        <v>3222656.2500000005</v>
      </c>
      <c r="I1308" s="522">
        <f t="shared" si="725"/>
        <v>3222656.2500000005</v>
      </c>
      <c r="J1308" s="522">
        <f t="shared" si="725"/>
        <v>3222656.2500000005</v>
      </c>
      <c r="K1308" s="522">
        <f t="shared" si="725"/>
        <v>3222656.2500000005</v>
      </c>
      <c r="L1308" s="522">
        <f t="shared" si="725"/>
        <v>3222656.2500000005</v>
      </c>
      <c r="M1308" s="522">
        <f t="shared" si="725"/>
        <v>3222656.2500000005</v>
      </c>
      <c r="N1308" s="522">
        <f t="shared" si="725"/>
        <v>3222656.2500000005</v>
      </c>
      <c r="O1308" s="410" t="s">
        <v>2533</v>
      </c>
    </row>
    <row r="1309" spans="1:15" s="217" customFormat="1">
      <c r="A1309" s="217">
        <v>22</v>
      </c>
      <c r="B1309" s="10" t="s">
        <v>2052</v>
      </c>
      <c r="C1309" s="11" t="s">
        <v>900</v>
      </c>
      <c r="D1309" s="217">
        <f>IF(A1309=B1273,"New Revenue Adjustments",IF(AND(C1309=D1273,A1309&lt;B1273),"Attrition Necessary",0))</f>
        <v>0</v>
      </c>
      <c r="E1309" s="522">
        <f t="shared" si="722"/>
        <v>0</v>
      </c>
      <c r="F1309" s="522">
        <f t="shared" si="725"/>
        <v>0</v>
      </c>
      <c r="G1309" s="522">
        <f t="shared" si="725"/>
        <v>0</v>
      </c>
      <c r="H1309" s="522">
        <f t="shared" si="725"/>
        <v>0</v>
      </c>
      <c r="I1309" s="522">
        <f t="shared" si="725"/>
        <v>0</v>
      </c>
      <c r="J1309" s="522">
        <f t="shared" si="725"/>
        <v>0</v>
      </c>
      <c r="K1309" s="522">
        <f t="shared" si="725"/>
        <v>0</v>
      </c>
      <c r="L1309" s="522">
        <f t="shared" si="725"/>
        <v>0</v>
      </c>
      <c r="M1309" s="522">
        <f t="shared" si="725"/>
        <v>0</v>
      </c>
      <c r="N1309" s="522">
        <f t="shared" si="725"/>
        <v>0</v>
      </c>
      <c r="O1309" s="410" t="s">
        <v>2537</v>
      </c>
    </row>
    <row r="1310" spans="1:15" s="217" customFormat="1">
      <c r="A1310" s="217">
        <v>23</v>
      </c>
      <c r="B1310" s="10" t="s">
        <v>2052</v>
      </c>
      <c r="C1310" s="11" t="s">
        <v>901</v>
      </c>
      <c r="D1310" s="217">
        <f>IF(A1310=B1273,"New Revenue Adjustments",IF(AND(C1310=D1273,A1310&lt;B1273),"Attrition Necessary",0))</f>
        <v>0</v>
      </c>
      <c r="E1310" s="522">
        <f t="shared" si="722"/>
        <v>0</v>
      </c>
      <c r="F1310" s="522">
        <f t="shared" si="725"/>
        <v>0</v>
      </c>
      <c r="G1310" s="522">
        <f t="shared" si="725"/>
        <v>0</v>
      </c>
      <c r="H1310" s="522">
        <f t="shared" si="725"/>
        <v>0</v>
      </c>
      <c r="I1310" s="522">
        <f t="shared" si="725"/>
        <v>0</v>
      </c>
      <c r="J1310" s="522">
        <f t="shared" si="725"/>
        <v>0</v>
      </c>
      <c r="K1310" s="522">
        <f t="shared" si="725"/>
        <v>0</v>
      </c>
      <c r="L1310" s="522">
        <f t="shared" si="725"/>
        <v>0</v>
      </c>
      <c r="M1310" s="522">
        <f t="shared" si="725"/>
        <v>0</v>
      </c>
      <c r="N1310" s="522">
        <f t="shared" si="725"/>
        <v>0</v>
      </c>
      <c r="O1310" s="410" t="s">
        <v>2538</v>
      </c>
    </row>
    <row r="1311" spans="1:15" s="217" customFormat="1">
      <c r="A1311" s="217">
        <v>24</v>
      </c>
      <c r="B1311" s="10" t="s">
        <v>2052</v>
      </c>
      <c r="C1311" s="11" t="s">
        <v>902</v>
      </c>
      <c r="D1311" s="217">
        <f>IF(A1311=B1273,"New Revenue Adjustments",IF(AND(C1311=D1273,A1311&lt;B1273),"Attrition Necessary",0))</f>
        <v>0</v>
      </c>
      <c r="E1311" s="522">
        <f t="shared" si="722"/>
        <v>0</v>
      </c>
      <c r="F1311" s="522">
        <f t="shared" si="725"/>
        <v>0</v>
      </c>
      <c r="G1311" s="522">
        <f t="shared" si="725"/>
        <v>0</v>
      </c>
      <c r="H1311" s="522">
        <f t="shared" si="725"/>
        <v>0</v>
      </c>
      <c r="I1311" s="522">
        <f t="shared" si="725"/>
        <v>0</v>
      </c>
      <c r="J1311" s="522">
        <f t="shared" si="725"/>
        <v>0</v>
      </c>
      <c r="K1311" s="522">
        <f t="shared" si="725"/>
        <v>0</v>
      </c>
      <c r="L1311" s="522">
        <f t="shared" si="725"/>
        <v>0</v>
      </c>
      <c r="M1311" s="522">
        <f t="shared" si="725"/>
        <v>0</v>
      </c>
      <c r="N1311" s="522">
        <f t="shared" si="725"/>
        <v>0</v>
      </c>
      <c r="O1311" s="410" t="s">
        <v>2539</v>
      </c>
    </row>
    <row r="1312" spans="1:15" s="217" customFormat="1">
      <c r="A1312" s="217">
        <v>25</v>
      </c>
      <c r="B1312" s="10" t="s">
        <v>2408</v>
      </c>
      <c r="C1312" s="11" t="s">
        <v>899</v>
      </c>
      <c r="D1312" s="217">
        <f>IF(A1312=B1273,"New Revenue Adjustments",IF(AND(C1312=D1273,A1312&lt;B1273),"Attrition Necessary",0))</f>
        <v>0</v>
      </c>
      <c r="E1312" s="522">
        <f t="shared" si="722"/>
        <v>0</v>
      </c>
      <c r="F1312" s="522">
        <f t="shared" si="725"/>
        <v>0</v>
      </c>
      <c r="G1312" s="522">
        <f t="shared" si="725"/>
        <v>0</v>
      </c>
      <c r="H1312" s="522">
        <f t="shared" si="725"/>
        <v>0</v>
      </c>
      <c r="I1312" s="522">
        <f t="shared" si="725"/>
        <v>0</v>
      </c>
      <c r="J1312" s="522">
        <f t="shared" si="725"/>
        <v>0</v>
      </c>
      <c r="K1312" s="522">
        <f t="shared" si="725"/>
        <v>0</v>
      </c>
      <c r="L1312" s="522">
        <f t="shared" si="725"/>
        <v>0</v>
      </c>
      <c r="M1312" s="522">
        <f t="shared" si="725"/>
        <v>0</v>
      </c>
      <c r="N1312" s="522">
        <f t="shared" si="725"/>
        <v>0</v>
      </c>
      <c r="O1312" s="410" t="s">
        <v>2540</v>
      </c>
    </row>
    <row r="1313" spans="1:17" s="217" customFormat="1">
      <c r="A1313" s="217">
        <v>26</v>
      </c>
      <c r="B1313" s="10" t="s">
        <v>2408</v>
      </c>
      <c r="C1313" s="11" t="s">
        <v>900</v>
      </c>
      <c r="D1313" s="217">
        <f>IF(A1313=B1273,"New Revenue Adjustments",IF(AND(C1313=D1273,A1313&lt;B1273),"Attrition Necessary",0))</f>
        <v>0</v>
      </c>
      <c r="E1313" s="522">
        <f t="shared" si="722"/>
        <v>0</v>
      </c>
      <c r="F1313" s="522">
        <f t="shared" si="725"/>
        <v>0</v>
      </c>
      <c r="G1313" s="522">
        <f t="shared" si="725"/>
        <v>0</v>
      </c>
      <c r="H1313" s="522">
        <f t="shared" si="725"/>
        <v>0</v>
      </c>
      <c r="I1313" s="522">
        <f t="shared" si="725"/>
        <v>0</v>
      </c>
      <c r="J1313" s="522">
        <f t="shared" si="725"/>
        <v>0</v>
      </c>
      <c r="K1313" s="522">
        <f t="shared" si="725"/>
        <v>0</v>
      </c>
      <c r="L1313" s="522">
        <f t="shared" si="725"/>
        <v>0</v>
      </c>
      <c r="M1313" s="522">
        <f t="shared" si="725"/>
        <v>0</v>
      </c>
      <c r="N1313" s="522">
        <f t="shared" si="725"/>
        <v>0</v>
      </c>
      <c r="O1313" s="410" t="s">
        <v>2541</v>
      </c>
    </row>
    <row r="1314" spans="1:17" s="217" customFormat="1">
      <c r="A1314" s="217">
        <v>27</v>
      </c>
      <c r="B1314" s="10" t="s">
        <v>2408</v>
      </c>
      <c r="C1314" s="11" t="s">
        <v>901</v>
      </c>
      <c r="D1314" s="217">
        <f>IF(A1314=B1273,"New Revenue Adjustments",IF(AND(C1314=D1273,A1314&lt;B1273),"Attrition Necessary",0))</f>
        <v>0</v>
      </c>
      <c r="E1314" s="522">
        <f t="shared" si="722"/>
        <v>0</v>
      </c>
      <c r="F1314" s="522">
        <f t="shared" si="725"/>
        <v>0</v>
      </c>
      <c r="G1314" s="522">
        <f t="shared" si="725"/>
        <v>0</v>
      </c>
      <c r="H1314" s="522">
        <f t="shared" si="725"/>
        <v>0</v>
      </c>
      <c r="I1314" s="522">
        <f t="shared" si="725"/>
        <v>0</v>
      </c>
      <c r="J1314" s="522">
        <f t="shared" si="725"/>
        <v>0</v>
      </c>
      <c r="K1314" s="522">
        <f t="shared" si="725"/>
        <v>0</v>
      </c>
      <c r="L1314" s="522">
        <f t="shared" si="725"/>
        <v>0</v>
      </c>
      <c r="M1314" s="522">
        <f t="shared" si="725"/>
        <v>0</v>
      </c>
      <c r="N1314" s="522">
        <f t="shared" si="725"/>
        <v>0</v>
      </c>
      <c r="O1314" s="410" t="s">
        <v>2542</v>
      </c>
    </row>
    <row r="1315" spans="1:17" s="217" customFormat="1">
      <c r="A1315" s="217">
        <v>28</v>
      </c>
      <c r="B1315" s="10" t="s">
        <v>2408</v>
      </c>
      <c r="C1315" s="11" t="s">
        <v>902</v>
      </c>
      <c r="D1315" s="217">
        <f>IF(A1315=B1273,"New Revenue Adjustments",IF(AND(C1315=D1273,A1315&lt;B1273),"Attrition Necessary",0))</f>
        <v>0</v>
      </c>
      <c r="E1315" s="522">
        <f t="shared" si="722"/>
        <v>0</v>
      </c>
      <c r="F1315" s="522">
        <f t="shared" si="725"/>
        <v>0</v>
      </c>
      <c r="G1315" s="522">
        <f t="shared" si="725"/>
        <v>0</v>
      </c>
      <c r="H1315" s="522">
        <f t="shared" si="725"/>
        <v>0</v>
      </c>
      <c r="I1315" s="522">
        <f t="shared" si="725"/>
        <v>0</v>
      </c>
      <c r="J1315" s="522">
        <f t="shared" si="725"/>
        <v>0</v>
      </c>
      <c r="K1315" s="522">
        <f t="shared" si="725"/>
        <v>0</v>
      </c>
      <c r="L1315" s="522">
        <f t="shared" si="725"/>
        <v>0</v>
      </c>
      <c r="M1315" s="522">
        <f t="shared" si="725"/>
        <v>0</v>
      </c>
      <c r="N1315" s="522">
        <f t="shared" si="725"/>
        <v>0</v>
      </c>
      <c r="O1315" s="410" t="s">
        <v>2543</v>
      </c>
    </row>
    <row r="1316" spans="1:17" s="217" customFormat="1">
      <c r="A1316" s="217">
        <v>29</v>
      </c>
      <c r="B1316" s="10" t="s">
        <v>2413</v>
      </c>
      <c r="C1316" s="11" t="s">
        <v>899</v>
      </c>
      <c r="D1316" s="217">
        <f>IF(A1316=B1273,"New Revenue Adjustments",IF(AND(C1316=D1273,A1316&lt;B1273),"Attrition Necessary",0))</f>
        <v>0</v>
      </c>
      <c r="E1316" s="522">
        <f t="shared" si="722"/>
        <v>0</v>
      </c>
      <c r="F1316" s="522">
        <f t="shared" si="725"/>
        <v>0</v>
      </c>
      <c r="G1316" s="522">
        <f t="shared" si="725"/>
        <v>0</v>
      </c>
      <c r="H1316" s="522">
        <f t="shared" si="725"/>
        <v>0</v>
      </c>
      <c r="I1316" s="522">
        <f t="shared" si="725"/>
        <v>0</v>
      </c>
      <c r="J1316" s="522">
        <f t="shared" si="725"/>
        <v>0</v>
      </c>
      <c r="K1316" s="522">
        <f t="shared" si="725"/>
        <v>0</v>
      </c>
      <c r="L1316" s="522">
        <f t="shared" si="725"/>
        <v>0</v>
      </c>
      <c r="M1316" s="522">
        <f t="shared" si="725"/>
        <v>0</v>
      </c>
      <c r="N1316" s="522">
        <f t="shared" si="725"/>
        <v>0</v>
      </c>
      <c r="O1316" s="410" t="s">
        <v>2544</v>
      </c>
    </row>
    <row r="1317" spans="1:17" s="217" customFormat="1">
      <c r="A1317" s="217">
        <v>30</v>
      </c>
      <c r="B1317" s="10" t="s">
        <v>2413</v>
      </c>
      <c r="C1317" s="11" t="s">
        <v>900</v>
      </c>
      <c r="D1317" s="217">
        <f>IF(A1317=B1273,"New Revenue Adjustments",IF(AND(C1317=D1273,A1317&lt;B1273),"Attrition Necessary",0))</f>
        <v>0</v>
      </c>
      <c r="E1317" s="522">
        <f t="shared" si="722"/>
        <v>0</v>
      </c>
      <c r="F1317" s="522">
        <f t="shared" si="725"/>
        <v>0</v>
      </c>
      <c r="G1317" s="522">
        <f t="shared" si="725"/>
        <v>0</v>
      </c>
      <c r="H1317" s="522">
        <f t="shared" si="725"/>
        <v>0</v>
      </c>
      <c r="I1317" s="522">
        <f t="shared" si="725"/>
        <v>0</v>
      </c>
      <c r="J1317" s="522">
        <f t="shared" si="725"/>
        <v>0</v>
      </c>
      <c r="K1317" s="522">
        <f t="shared" si="725"/>
        <v>0</v>
      </c>
      <c r="L1317" s="522">
        <f t="shared" si="725"/>
        <v>0</v>
      </c>
      <c r="M1317" s="522">
        <f t="shared" si="725"/>
        <v>0</v>
      </c>
      <c r="N1317" s="522">
        <f t="shared" si="725"/>
        <v>0</v>
      </c>
      <c r="O1317" s="410" t="s">
        <v>2545</v>
      </c>
    </row>
    <row r="1318" spans="1:17" s="217" customFormat="1">
      <c r="A1318" s="217">
        <v>31</v>
      </c>
      <c r="B1318" s="10" t="s">
        <v>2413</v>
      </c>
      <c r="C1318" s="11" t="s">
        <v>901</v>
      </c>
      <c r="D1318" s="217">
        <f>IF(A1318=B1273,"New Revenue Adjustments",IF(AND(C1318=D1273,A1318&lt;B1273),"Attrition Necessary",0))</f>
        <v>0</v>
      </c>
      <c r="E1318" s="522">
        <f t="shared" si="722"/>
        <v>0</v>
      </c>
      <c r="F1318" s="522">
        <f t="shared" si="725"/>
        <v>0</v>
      </c>
      <c r="G1318" s="522">
        <f t="shared" si="725"/>
        <v>0</v>
      </c>
      <c r="H1318" s="522">
        <f t="shared" si="725"/>
        <v>0</v>
      </c>
      <c r="I1318" s="522">
        <f t="shared" si="725"/>
        <v>0</v>
      </c>
      <c r="J1318" s="522">
        <f t="shared" si="725"/>
        <v>0</v>
      </c>
      <c r="K1318" s="522">
        <f t="shared" si="725"/>
        <v>0</v>
      </c>
      <c r="L1318" s="522">
        <f t="shared" si="725"/>
        <v>0</v>
      </c>
      <c r="M1318" s="522">
        <f t="shared" si="725"/>
        <v>0</v>
      </c>
      <c r="N1318" s="522">
        <f t="shared" si="725"/>
        <v>0</v>
      </c>
      <c r="O1318" s="410" t="s">
        <v>2546</v>
      </c>
    </row>
    <row r="1319" spans="1:17" s="217" customFormat="1">
      <c r="A1319" s="217">
        <v>32</v>
      </c>
      <c r="B1319" s="10" t="s">
        <v>2413</v>
      </c>
      <c r="C1319" s="11" t="s">
        <v>902</v>
      </c>
      <c r="D1319" s="217">
        <f>IF(A1319=B1273,"New Revenue Adjustments",IF(AND(C1319=D1273,A1319&lt;B1273),"Attrition Necessary",0))</f>
        <v>0</v>
      </c>
      <c r="E1319" s="522">
        <f t="shared" si="722"/>
        <v>0</v>
      </c>
      <c r="F1319" s="522">
        <f t="shared" si="725"/>
        <v>0</v>
      </c>
      <c r="G1319" s="522">
        <f t="shared" si="725"/>
        <v>0</v>
      </c>
      <c r="H1319" s="522">
        <f t="shared" si="725"/>
        <v>0</v>
      </c>
      <c r="I1319" s="522">
        <f t="shared" si="725"/>
        <v>0</v>
      </c>
      <c r="J1319" s="522">
        <f t="shared" si="725"/>
        <v>0</v>
      </c>
      <c r="K1319" s="522">
        <f t="shared" si="725"/>
        <v>0</v>
      </c>
      <c r="L1319" s="522">
        <f t="shared" si="725"/>
        <v>0</v>
      </c>
      <c r="M1319" s="522">
        <f t="shared" si="725"/>
        <v>0</v>
      </c>
      <c r="N1319" s="522">
        <f t="shared" si="725"/>
        <v>0</v>
      </c>
      <c r="O1319" s="410" t="s">
        <v>2547</v>
      </c>
    </row>
    <row r="1320" spans="1:17" s="217" customFormat="1">
      <c r="D1320" s="217" t="s">
        <v>905</v>
      </c>
      <c r="E1320" s="427">
        <f>SUM(E1288:E1319)</f>
        <v>68324079.229676142</v>
      </c>
      <c r="F1320" s="427">
        <f t="shared" ref="F1320:I1320" si="726">SUM(F1288:F1319)</f>
        <v>68324079.229676142</v>
      </c>
      <c r="G1320" s="427">
        <f t="shared" si="726"/>
        <v>68324079.229676142</v>
      </c>
      <c r="H1320" s="427">
        <f t="shared" si="726"/>
        <v>68324079.229676142</v>
      </c>
      <c r="I1320" s="427">
        <f t="shared" si="726"/>
        <v>68324079.229676142</v>
      </c>
      <c r="J1320" s="427">
        <f t="shared" ref="J1320:N1320" si="727">SUM(J1288:J1319)</f>
        <v>68324079.229676142</v>
      </c>
      <c r="K1320" s="427">
        <f t="shared" si="727"/>
        <v>68324079.229676142</v>
      </c>
      <c r="L1320" s="427">
        <f t="shared" si="727"/>
        <v>68324079.229676142</v>
      </c>
      <c r="M1320" s="427">
        <f t="shared" si="727"/>
        <v>68324079.229676142</v>
      </c>
      <c r="N1320" s="427">
        <f t="shared" si="727"/>
        <v>68324079.229676142</v>
      </c>
      <c r="O1320" s="217" t="s">
        <v>2548</v>
      </c>
    </row>
    <row r="1321" spans="1:17" s="217" customFormat="1">
      <c r="E1321" s="409"/>
      <c r="F1321" s="409"/>
      <c r="G1321" s="409"/>
      <c r="H1321" s="409"/>
      <c r="I1321" s="409"/>
      <c r="J1321" s="409"/>
      <c r="K1321" s="409"/>
      <c r="L1321" s="409"/>
      <c r="M1321" s="409"/>
      <c r="N1321" s="409"/>
    </row>
    <row r="1322" spans="1:17">
      <c r="A1322" s="217"/>
      <c r="B1322" s="69">
        <v>22</v>
      </c>
      <c r="C1322" s="217" t="s">
        <v>2052</v>
      </c>
      <c r="D1322" s="217" t="s">
        <v>900</v>
      </c>
    </row>
    <row r="1323" spans="1:17" s="217" customFormat="1">
      <c r="C1323" s="217" t="s">
        <v>1736</v>
      </c>
      <c r="E1323" s="409"/>
      <c r="F1323" s="409"/>
      <c r="G1323" s="409"/>
      <c r="H1323" s="409"/>
      <c r="I1323" s="409"/>
      <c r="J1323" s="409"/>
      <c r="K1323" s="409"/>
      <c r="L1323" s="409"/>
      <c r="M1323" s="409"/>
      <c r="N1323" s="409"/>
    </row>
    <row r="1324" spans="1:17" s="410" customFormat="1">
      <c r="D1324" s="410" t="s">
        <v>1754</v>
      </c>
      <c r="E1324" s="547">
        <f t="shared" ref="E1324:N1324" si="728">FORECAST(calcNPS,datatblNPSAttrition,datatblNPSScore)</f>
        <v>0.14946428571428572</v>
      </c>
      <c r="F1324" s="547">
        <f t="shared" si="728"/>
        <v>0.14946428571428572</v>
      </c>
      <c r="G1324" s="547">
        <f t="shared" si="728"/>
        <v>0.14946428571428572</v>
      </c>
      <c r="H1324" s="547">
        <f t="shared" si="728"/>
        <v>0.14946428571428572</v>
      </c>
      <c r="I1324" s="547">
        <f t="shared" si="728"/>
        <v>0.14946428571428572</v>
      </c>
      <c r="J1324" s="547">
        <f t="shared" si="728"/>
        <v>0.14946428571428572</v>
      </c>
      <c r="K1324" s="547">
        <f t="shared" si="728"/>
        <v>0.14946428571428572</v>
      </c>
      <c r="L1324" s="547">
        <f t="shared" si="728"/>
        <v>0.14946428571428572</v>
      </c>
      <c r="M1324" s="547">
        <f t="shared" si="728"/>
        <v>0.14946428571428572</v>
      </c>
      <c r="N1324" s="547">
        <f t="shared" si="728"/>
        <v>0.14946428571428572</v>
      </c>
    </row>
    <row r="1325" spans="1:17" s="410" customFormat="1">
      <c r="D1325" s="410" t="s">
        <v>1753</v>
      </c>
      <c r="E1325" s="547">
        <f>Data!$D$277</f>
        <v>0.1515124491492886</v>
      </c>
      <c r="F1325" s="547">
        <f>Data!$D$277</f>
        <v>0.1515124491492886</v>
      </c>
      <c r="G1325" s="547">
        <f>Data!$D$277</f>
        <v>0.1515124491492886</v>
      </c>
      <c r="H1325" s="547">
        <f>Data!$D$277</f>
        <v>0.1515124491492886</v>
      </c>
      <c r="I1325" s="547">
        <f>Data!$D$277</f>
        <v>0.1515124491492886</v>
      </c>
      <c r="J1325" s="547">
        <f>Data!$D$277</f>
        <v>0.1515124491492886</v>
      </c>
      <c r="K1325" s="547">
        <f>Data!$D$277</f>
        <v>0.1515124491492886</v>
      </c>
      <c r="L1325" s="547">
        <f>Data!$D$277</f>
        <v>0.1515124491492886</v>
      </c>
      <c r="M1325" s="547">
        <f>Data!$D$277</f>
        <v>0.1515124491492886</v>
      </c>
      <c r="N1325" s="547">
        <f>Data!$D$277</f>
        <v>0.1515124491492886</v>
      </c>
    </row>
    <row r="1326" spans="1:17" s="217" customFormat="1">
      <c r="D1326" s="217" t="s">
        <v>1755</v>
      </c>
      <c r="E1326" s="411">
        <f t="shared" ref="E1326" si="729">E1324/E1325-1</f>
        <v>-1.351811977499473E-2</v>
      </c>
      <c r="F1326" s="411">
        <f>F1324/F1325-1</f>
        <v>-1.351811977499473E-2</v>
      </c>
      <c r="G1326" s="411">
        <f t="shared" ref="G1326:I1326" si="730">G1324/G1325-1</f>
        <v>-1.351811977499473E-2</v>
      </c>
      <c r="H1326" s="411">
        <f t="shared" si="730"/>
        <v>-1.351811977499473E-2</v>
      </c>
      <c r="I1326" s="411">
        <f t="shared" si="730"/>
        <v>-1.351811977499473E-2</v>
      </c>
      <c r="J1326" s="411">
        <f t="shared" ref="J1326:N1326" si="731">J1324/J1325-1</f>
        <v>-1.351811977499473E-2</v>
      </c>
      <c r="K1326" s="411">
        <f t="shared" si="731"/>
        <v>-1.351811977499473E-2</v>
      </c>
      <c r="L1326" s="411">
        <f t="shared" si="731"/>
        <v>-1.351811977499473E-2</v>
      </c>
      <c r="M1326" s="411">
        <f t="shared" si="731"/>
        <v>-1.351811977499473E-2</v>
      </c>
      <c r="N1326" s="411">
        <f t="shared" si="731"/>
        <v>-1.351811977499473E-2</v>
      </c>
      <c r="O1326" s="217" t="s">
        <v>2550</v>
      </c>
    </row>
    <row r="1327" spans="1:17" s="217" customFormat="1">
      <c r="C1327" s="217" t="s">
        <v>1757</v>
      </c>
      <c r="E1327" s="411"/>
      <c r="F1327" s="411"/>
      <c r="G1327" s="411"/>
      <c r="H1327" s="411"/>
      <c r="I1327" s="411"/>
      <c r="J1327" s="411"/>
      <c r="K1327" s="411"/>
      <c r="L1327" s="411"/>
      <c r="M1327" s="411"/>
      <c r="N1327" s="411"/>
    </row>
    <row r="1328" spans="1:17">
      <c r="D1328" s="69" t="s">
        <v>1151</v>
      </c>
      <c r="E1328" s="425">
        <f>IF(calcOrg62Timeline&lt;=$Q1328,INDEX(datatblOrg62Timeline,MATCH(decGTMOrg62Timeline,Data!$C$106:$C$111,0),2),0)*paramOrg62Impacts</f>
        <v>0</v>
      </c>
      <c r="F1328" s="425">
        <f>IF(calcOrg62Timeline&lt;=$Q1328,INDEX(datatblOrg62Timeline,MATCH(decGTMOrg62Timeline,Data!$C$106:$C$111,0),2),0)*paramOrg62Impacts</f>
        <v>0</v>
      </c>
      <c r="G1328" s="425">
        <f>IF(calcOrg62Timeline&lt;=$Q1328,INDEX(datatblOrg62Timeline,MATCH(decGTMOrg62Timeline,Data!$C$106:$C$111,0),2),0)*paramOrg62Impacts</f>
        <v>0</v>
      </c>
      <c r="H1328" s="425">
        <f>IF(calcOrg62Timeline&lt;=$Q1328,INDEX(datatblOrg62Timeline,MATCH(decGTMOrg62Timeline,Data!$C$106:$C$111,0),2),0)*paramOrg62Impacts</f>
        <v>0</v>
      </c>
      <c r="I1328" s="425">
        <f>IF(calcOrg62Timeline&lt;=$Q1328,INDEX(datatblOrg62Timeline,MATCH(decGTMOrg62Timeline,Data!$C$106:$C$111,0),2),0)*paramOrg62Impacts</f>
        <v>0</v>
      </c>
      <c r="J1328" s="425">
        <f>IF(calcOrg62Timeline&lt;=$Q1328,INDEX(datatblOrg62Timeline,MATCH(decGTMOrg62Timeline,Data!$C$106:$C$111,0),2),0)*paramOrg62Impacts</f>
        <v>0</v>
      </c>
      <c r="K1328" s="425">
        <f>IF(calcOrg62Timeline&lt;=$Q1328,INDEX(datatblOrg62Timeline,MATCH(decGTMOrg62Timeline,Data!$C$106:$C$111,0),2),0)*paramOrg62Impacts</f>
        <v>0</v>
      </c>
      <c r="L1328" s="425">
        <f>IF(calcOrg62Timeline&lt;=$Q1328,INDEX(datatblOrg62Timeline,MATCH(decGTMOrg62Timeline,Data!$C$106:$C$111,0),2),0)*paramOrg62Impacts</f>
        <v>0</v>
      </c>
      <c r="M1328" s="425">
        <f>IF(calcOrg62Timeline&lt;=$Q1328,INDEX(datatblOrg62Timeline,MATCH(decGTMOrg62Timeline,Data!$C$106:$C$111,0),2),0)*paramOrg62Impacts</f>
        <v>0</v>
      </c>
      <c r="N1328" s="425">
        <f>IF(calcOrg62Timeline&lt;=$Q1328,INDEX(datatblOrg62Timeline,MATCH(decGTMOrg62Timeline,Data!$C$106:$C$111,0),2),0)*paramOrg62Impacts</f>
        <v>0</v>
      </c>
      <c r="Q1328" s="69">
        <v>24</v>
      </c>
    </row>
    <row r="1329" spans="1:18">
      <c r="D1329" s="69" t="s">
        <v>507</v>
      </c>
      <c r="E1329" s="425">
        <f>IF(calcProductTimeline&lt;=$Q1329,INDEX(datatblStackFocusImpact,MATCH(decProductStackFocus,Data!$C$96:$C$101,0),2),0)+paramACVGrowthStack</f>
        <v>0</v>
      </c>
      <c r="F1329" s="425">
        <f>IF(calcProductTimeline&lt;=$Q1329,INDEX(datatblStackFocusImpact,MATCH(decProductStackFocus,Data!$C$96:$C$101,0),2),0)+paramACVGrowthStack</f>
        <v>0</v>
      </c>
      <c r="G1329" s="425">
        <f>IF(calcProductTimeline&lt;=$Q1329,INDEX(datatblStackFocusImpact,MATCH(decProductStackFocus,Data!$C$96:$C$101,0),2),0)+paramACVGrowthStack</f>
        <v>0</v>
      </c>
      <c r="H1329" s="425">
        <f>IF(calcProductTimeline&lt;=$Q1329,INDEX(datatblStackFocusImpact,MATCH(decProductStackFocus,Data!$C$96:$C$101,0),2),0)+paramACVGrowthStack</f>
        <v>0</v>
      </c>
      <c r="I1329" s="425">
        <f>IF(calcProductTimeline&lt;=$Q1329,INDEX(datatblStackFocusImpact,MATCH(decProductStackFocus,Data!$C$96:$C$101,0),2),0)+paramACVGrowthStack</f>
        <v>0</v>
      </c>
      <c r="J1329" s="425">
        <f>IF(calcProductTimeline&lt;=$Q1329,INDEX(datatblStackFocusImpact,MATCH(decProductStackFocus,Data!$C$96:$C$101,0),2),0)+paramACVGrowthStack</f>
        <v>0</v>
      </c>
      <c r="K1329" s="425">
        <f>IF(calcProductTimeline&lt;=$Q1329,INDEX(datatblStackFocusImpact,MATCH(decProductStackFocus,Data!$C$96:$C$101,0),2),0)+paramACVGrowthStack</f>
        <v>0</v>
      </c>
      <c r="L1329" s="425">
        <f>IF(calcProductTimeline&lt;=$Q1329,INDEX(datatblStackFocusImpact,MATCH(decProductStackFocus,Data!$C$96:$C$101,0),2),0)+paramACVGrowthStack</f>
        <v>0</v>
      </c>
      <c r="M1329" s="425">
        <f>IF(calcProductTimeline&lt;=$Q1329,INDEX(datatblStackFocusImpact,MATCH(decProductStackFocus,Data!$C$96:$C$101,0),2),0)+paramACVGrowthStack</f>
        <v>0</v>
      </c>
      <c r="N1329" s="425">
        <f>IF(calcProductTimeline&lt;=$Q1329,INDEX(datatblStackFocusImpact,MATCH(decProductStackFocus,Data!$C$96:$C$101,0),2),0)+paramACVGrowthStack</f>
        <v>0</v>
      </c>
      <c r="Q1329" s="69">
        <f>Q1328</f>
        <v>24</v>
      </c>
    </row>
    <row r="1330" spans="1:18">
      <c r="D1330" s="69" t="s">
        <v>2237</v>
      </c>
      <c r="E1330" s="425">
        <f>IF(calcExternalSalesTimeline&lt;=$Q1330,INDEX(datatblExternalSalesImpact,MATCH(decGTMExternalSales,Data!$C$85:$C$90,0),2),0)</f>
        <v>0</v>
      </c>
      <c r="F1330" s="425">
        <f>IF(calcExternalSalesTimeline&lt;=$Q1330,INDEX(datatblExternalSalesImpact,MATCH(decGTMExternalSales,Data!$C$85:$C$90,0),2),0)</f>
        <v>0</v>
      </c>
      <c r="G1330" s="425">
        <f>IF(calcExternalSalesTimeline&lt;=$Q1330,INDEX(datatblExternalSalesImpact,MATCH(decGTMExternalSales,Data!$C$85:$C$90,0),2),0)</f>
        <v>0</v>
      </c>
      <c r="H1330" s="425">
        <f>IF(calcExternalSalesTimeline&lt;=$Q1330,INDEX(datatblExternalSalesImpact,MATCH(decGTMExternalSales,Data!$C$85:$C$90,0),2),0)</f>
        <v>0</v>
      </c>
      <c r="I1330" s="425">
        <f>IF(calcExternalSalesTimeline&lt;=$Q1330,INDEX(datatblExternalSalesImpact,MATCH(decGTMExternalSales,Data!$C$85:$C$90,0),2),0)</f>
        <v>0</v>
      </c>
      <c r="J1330" s="425">
        <f>IF(calcExternalSalesTimeline&lt;=$Q1330,INDEX(datatblExternalSalesImpact,MATCH(decGTMExternalSales,Data!$C$85:$C$90,0),2),0)</f>
        <v>0</v>
      </c>
      <c r="K1330" s="425">
        <f>IF(calcExternalSalesTimeline&lt;=$Q1330,INDEX(datatblExternalSalesImpact,MATCH(decGTMExternalSales,Data!$C$85:$C$90,0),2),0)</f>
        <v>0</v>
      </c>
      <c r="L1330" s="425">
        <f>IF(calcExternalSalesTimeline&lt;=$Q1330,INDEX(datatblExternalSalesImpact,MATCH(decGTMExternalSales,Data!$C$85:$C$90,0),2),0)</f>
        <v>0</v>
      </c>
      <c r="M1330" s="425">
        <f>IF(calcExternalSalesTimeline&lt;=$Q1330,INDEX(datatblExternalSalesImpact,MATCH(decGTMExternalSales,Data!$C$85:$C$90,0),2),0)</f>
        <v>0</v>
      </c>
      <c r="N1330" s="425">
        <f>IF(calcExternalSalesTimeline&lt;=$Q1330,INDEX(datatblExternalSalesImpact,MATCH(decGTMExternalSales,Data!$C$85:$C$90,0),2),0)</f>
        <v>0</v>
      </c>
      <c r="O1330" s="482">
        <v>0.05</v>
      </c>
      <c r="P1330" s="482">
        <v>-0.05</v>
      </c>
      <c r="Q1330" s="69">
        <f>Q1329</f>
        <v>24</v>
      </c>
    </row>
    <row r="1331" spans="1:18">
      <c r="D1331" s="69" t="s">
        <v>3079</v>
      </c>
      <c r="E1331" s="425">
        <f>IF(calcCSGTimeline&lt;=$Q1331,INDEX(datatblCSGPostSales,MATCH(decGTMCSGPostSales,Data!$C$204:$C$209,0),3),0)</f>
        <v>0</v>
      </c>
      <c r="F1331" s="425">
        <f>IF(calcCSGTimeline&lt;=$Q1331,INDEX(datatblCSGPostSales,MATCH(decGTMCSGPostSales,Data!$C$204:$C$209,0),3),0)</f>
        <v>0</v>
      </c>
      <c r="G1331" s="425">
        <f>IF(calcCSGTimeline&lt;=$Q1331,INDEX(datatblCSGPostSales,MATCH(decGTMCSGPostSales,Data!$C$204:$C$209,0),3),0)</f>
        <v>0</v>
      </c>
      <c r="H1331" s="425">
        <f>IF(calcCSGTimeline&lt;=$Q1331,INDEX(datatblCSGPostSales,MATCH(decGTMCSGPostSales,Data!$C$204:$C$209,0),3),0)</f>
        <v>0</v>
      </c>
      <c r="I1331" s="425">
        <f>IF(calcCSGTimeline&lt;=$Q1331,INDEX(datatblCSGPostSales,MATCH(decGTMCSGPostSales,Data!$C$204:$C$209,0),3),0)</f>
        <v>0</v>
      </c>
      <c r="J1331" s="425">
        <f>IF(calcCSGTimeline&lt;=$Q1331,INDEX(datatblCSGPostSales,MATCH(decGTMCSGPostSales,Data!$C$204:$C$209,0),3),0)</f>
        <v>0</v>
      </c>
      <c r="K1331" s="425">
        <f>IF(calcCSGTimeline&lt;=$Q1331,INDEX(datatblCSGPostSales,MATCH(decGTMCSGPostSales,Data!$C$204:$C$209,0),3),0)</f>
        <v>0</v>
      </c>
      <c r="L1331" s="425">
        <f>IF(calcCSGTimeline&lt;=$Q1331,INDEX(datatblCSGPostSales,MATCH(decGTMCSGPostSales,Data!$C$204:$C$209,0),3),0)</f>
        <v>0</v>
      </c>
      <c r="M1331" s="425">
        <f>IF(calcCSGTimeline&lt;=$Q1331,INDEX(datatblCSGPostSales,MATCH(decGTMCSGPostSales,Data!$C$204:$C$209,0),3),0)</f>
        <v>0</v>
      </c>
      <c r="N1331" s="425">
        <f>IF(calcCSGTimeline&lt;=$Q1331,INDEX(datatblCSGPostSales,MATCH(decGTMCSGPostSales,Data!$C$204:$C$209,0),3),0)</f>
        <v>0</v>
      </c>
      <c r="O1331" s="482"/>
      <c r="P1331" s="482"/>
      <c r="Q1331" s="69">
        <f>Q1330</f>
        <v>24</v>
      </c>
    </row>
    <row r="1332" spans="1:18">
      <c r="D1332" s="69" t="s">
        <v>2284</v>
      </c>
      <c r="E1332" s="425">
        <f>IF(calcBrandIntegrationTimeline&lt;=$Q1332,INDEX(datatblBrandIntegration,MATCH(decGTMBrandIntegration,Data!$C$220:$C$226,0),3),0)</f>
        <v>0</v>
      </c>
      <c r="F1332" s="425">
        <f>IF(calcBrandIntegrationTimeline&lt;=$Q1332,INDEX(datatblBrandIntegration,MATCH(decGTMBrandIntegration,Data!$C$220:$C$226,0),3),0)</f>
        <v>0</v>
      </c>
      <c r="G1332" s="425">
        <f>IF(calcBrandIntegrationTimeline&lt;=$Q1332,INDEX(datatblBrandIntegration,MATCH(decGTMBrandIntegration,Data!$C$220:$C$226,0),3),0)</f>
        <v>0</v>
      </c>
      <c r="H1332" s="425">
        <f>IF(calcBrandIntegrationTimeline&lt;=$Q1332,INDEX(datatblBrandIntegration,MATCH(decGTMBrandIntegration,Data!$C$220:$C$226,0),3),0)</f>
        <v>0</v>
      </c>
      <c r="I1332" s="425">
        <f>IF(calcBrandIntegrationTimeline&lt;=$Q1332,INDEX(datatblBrandIntegration,MATCH(decGTMBrandIntegration,Data!$C$220:$C$226,0),3),0)</f>
        <v>0</v>
      </c>
      <c r="J1332" s="425">
        <f>IF(calcBrandIntegrationTimeline&lt;=$Q1332,INDEX(datatblBrandIntegration,MATCH(decGTMBrandIntegration,Data!$C$220:$C$226,0),3),0)</f>
        <v>0</v>
      </c>
      <c r="K1332" s="425">
        <f>IF(calcBrandIntegrationTimeline&lt;=$Q1332,INDEX(datatblBrandIntegration,MATCH(decGTMBrandIntegration,Data!$C$220:$C$226,0),3),0)</f>
        <v>0</v>
      </c>
      <c r="L1332" s="425">
        <f>IF(calcBrandIntegrationTimeline&lt;=$Q1332,INDEX(datatblBrandIntegration,MATCH(decGTMBrandIntegration,Data!$C$220:$C$226,0),3),0)</f>
        <v>0</v>
      </c>
      <c r="M1332" s="425">
        <f>IF(calcBrandIntegrationTimeline&lt;=$Q1332,INDEX(datatblBrandIntegration,MATCH(decGTMBrandIntegration,Data!$C$220:$C$226,0),3),0)</f>
        <v>0</v>
      </c>
      <c r="N1332" s="425">
        <f>IF(calcBrandIntegrationTimeline&lt;=$Q1332,INDEX(datatblBrandIntegration,MATCH(decGTMBrandIntegration,Data!$C$220:$C$226,0),3),0)</f>
        <v>0</v>
      </c>
      <c r="O1332" s="482"/>
      <c r="P1332" s="482"/>
      <c r="Q1332" s="69">
        <f>Q1330</f>
        <v>24</v>
      </c>
    </row>
    <row r="1333" spans="1:18">
      <c r="D1333" s="69" t="s">
        <v>2277</v>
      </c>
      <c r="E1333" s="425">
        <f>IF(decGTMOrg62Timeline="choose",0,IF(E1328=0,INDEX(datatblLeadPass,MATCH(decGTMLeadPass,Data!$C$212:$C$217,0),3),0))</f>
        <v>0</v>
      </c>
      <c r="F1333" s="425">
        <f>IF(decGTMOrg62Timeline="choose",0,IF(F1328=0,INDEX(datatblLeadPass,MATCH(decGTMLeadPass,Data!$C$212:$C$217,0),3),0))</f>
        <v>0</v>
      </c>
      <c r="G1333" s="425">
        <f>IF(decGTMOrg62Timeline="choose",0,IF(G1328=0,INDEX(datatblLeadPass,MATCH(decGTMLeadPass,Data!$C$212:$C$217,0),3),0))</f>
        <v>0</v>
      </c>
      <c r="H1333" s="425">
        <f>IF(decGTMOrg62Timeline="choose",0,IF(H1328=0,INDEX(datatblLeadPass,MATCH(decGTMLeadPass,Data!$C$212:$C$217,0),3),0))</f>
        <v>0</v>
      </c>
      <c r="I1333" s="425">
        <f>IF(decGTMOrg62Timeline="choose",0,IF(I1328=0,INDEX(datatblLeadPass,MATCH(decGTMLeadPass,Data!$C$212:$C$217,0),3),0))</f>
        <v>0</v>
      </c>
      <c r="J1333" s="425">
        <f>IF(decGTMOrg62Timeline="choose",0,IF(J1328=0,INDEX(datatblLeadPass,MATCH(decGTMLeadPass,Data!$C$212:$C$217,0),3),0))</f>
        <v>0</v>
      </c>
      <c r="K1333" s="425">
        <f>IF(decGTMOrg62Timeline="choose",0,IF(K1328=0,INDEX(datatblLeadPass,MATCH(decGTMLeadPass,Data!$C$212:$C$217,0),3),0))</f>
        <v>0</v>
      </c>
      <c r="L1333" s="425">
        <f>IF(decGTMOrg62Timeline="choose",0,IF(L1328=0,INDEX(datatblLeadPass,MATCH(decGTMLeadPass,Data!$C$212:$C$217,0),3),0))</f>
        <v>0</v>
      </c>
      <c r="M1333" s="425">
        <f>IF(decGTMOrg62Timeline="choose",0,IF(M1328=0,INDEX(datatblLeadPass,MATCH(decGTMLeadPass,Data!$C$212:$C$217,0),3),0))</f>
        <v>0</v>
      </c>
      <c r="N1333" s="425">
        <f>IF(decGTMOrg62Timeline="choose",0,IF(N1328=0,INDEX(datatblLeadPass,MATCH(decGTMLeadPass,Data!$C$212:$C$217,0),3),0))</f>
        <v>0</v>
      </c>
      <c r="O1333" s="482"/>
      <c r="P1333" s="482"/>
    </row>
    <row r="1334" spans="1:18">
      <c r="D1334" s="69" t="s">
        <v>1032</v>
      </c>
      <c r="E1334" s="425">
        <f>IF(decSecurityProductRestrictions="Yes",$Q1334,IF(decSecurityProductRestrictions="No",$R1334,$S1334))</f>
        <v>0</v>
      </c>
      <c r="F1334" s="425">
        <f t="shared" ref="F1334:N1334" si="732">IF(decSecurityProductRestrictions="Yes",$Q1334,IF(decSecurityProductRestrictions="No",$R1334,$S1334))</f>
        <v>0</v>
      </c>
      <c r="G1334" s="425">
        <f t="shared" si="732"/>
        <v>0</v>
      </c>
      <c r="H1334" s="425">
        <f t="shared" si="732"/>
        <v>0</v>
      </c>
      <c r="I1334" s="425">
        <f t="shared" si="732"/>
        <v>0</v>
      </c>
      <c r="J1334" s="425">
        <f t="shared" si="732"/>
        <v>0</v>
      </c>
      <c r="K1334" s="425">
        <f t="shared" si="732"/>
        <v>0</v>
      </c>
      <c r="L1334" s="425">
        <f t="shared" si="732"/>
        <v>0</v>
      </c>
      <c r="M1334" s="425">
        <f t="shared" si="732"/>
        <v>0</v>
      </c>
      <c r="N1334" s="425">
        <f t="shared" si="732"/>
        <v>0</v>
      </c>
      <c r="Q1334" s="482">
        <f>xxProductRestrictionACVHit</f>
        <v>-0.02</v>
      </c>
      <c r="R1334" s="482">
        <f>xxProductRestrictionACVIncrease</f>
        <v>0.02</v>
      </c>
    </row>
    <row r="1335" spans="1:18" s="217" customFormat="1">
      <c r="D1335" s="217" t="s">
        <v>1758</v>
      </c>
      <c r="E1335" s="411">
        <f t="shared" ref="E1335:N1335" si="733">SUM(E1328:E1334)+paramACVGrowthBaseline</f>
        <v>0</v>
      </c>
      <c r="F1335" s="411">
        <f t="shared" si="733"/>
        <v>0</v>
      </c>
      <c r="G1335" s="411">
        <f t="shared" si="733"/>
        <v>0</v>
      </c>
      <c r="H1335" s="411">
        <f t="shared" si="733"/>
        <v>0</v>
      </c>
      <c r="I1335" s="411">
        <f t="shared" si="733"/>
        <v>0</v>
      </c>
      <c r="J1335" s="411">
        <f t="shared" si="733"/>
        <v>0</v>
      </c>
      <c r="K1335" s="411">
        <f t="shared" si="733"/>
        <v>0</v>
      </c>
      <c r="L1335" s="411">
        <f t="shared" si="733"/>
        <v>0</v>
      </c>
      <c r="M1335" s="411">
        <f t="shared" si="733"/>
        <v>0</v>
      </c>
      <c r="N1335" s="411">
        <f t="shared" si="733"/>
        <v>0</v>
      </c>
      <c r="O1335" s="217" t="s">
        <v>2551</v>
      </c>
    </row>
    <row r="1336" spans="1:18" s="217" customFormat="1">
      <c r="E1336" s="411"/>
      <c r="F1336" s="411"/>
      <c r="G1336" s="411"/>
      <c r="H1336" s="411"/>
      <c r="I1336" s="411"/>
      <c r="J1336" s="411"/>
      <c r="K1336" s="411"/>
      <c r="L1336" s="411"/>
      <c r="M1336" s="411"/>
      <c r="N1336" s="411"/>
    </row>
    <row r="1337" spans="1:18" s="217" customFormat="1">
      <c r="A1337" s="217">
        <v>1</v>
      </c>
      <c r="B1337" s="10" t="s">
        <v>1735</v>
      </c>
      <c r="C1337" s="11" t="s">
        <v>899</v>
      </c>
      <c r="D1337" s="217">
        <f>IF(A1337=B1322,"New Revenue Adjustments",IF(AND(C1337=D1322,A1337&lt;B1322),"Attrition Necessary",0))</f>
        <v>0</v>
      </c>
      <c r="E1337" s="522">
        <f t="shared" ref="E1337:E1368" si="734">IF($B$1322&gt;$A1337,INDEX(calcY3Q1RevFlow,$A1337,calcTeamNum)*(IF($D1337="Attrition Necessary",1-calcQ2AttritionDifference,1)*(IF($D1337="New Revenue Adjustments",1+calcY3Q2RevenueAdjustment,1))),INDEX(dataY3Q2Rev,$A1337,)*(IF($D1337="Attrition Necessary",1-calcQ2AttritionDifference,1))*(IF($D1337="New Revenue Adjustments",1+calcY3Q2RevenueAdjustment,1)))</f>
        <v>923563.84528244205</v>
      </c>
      <c r="F1337" s="522">
        <f t="shared" ref="F1337:N1346" si="735">IF($B$1322&gt;$A1337,INDEX(calcY3Q1RevFlow,$A1337,calcTeamNum)*(IF($D1337="Attrition Necessary",1-calcQ2AttritionDifference,1)*(IF($D1337="New Revenue Adjustments",1+calcY3Q2RevenueAdjustment,1))),INDEX(dataY3Q2Rev,$A1337,)*(IF($D1337="Attrition Necessary",1-calcQ2AttritionDifference,1))*(IF($D1337="New Revenue Adjustments",1+calcY3Q2RevenueAdjustment,1)))</f>
        <v>923563.84528244205</v>
      </c>
      <c r="G1337" s="522">
        <f t="shared" si="735"/>
        <v>923563.84528244205</v>
      </c>
      <c r="H1337" s="522">
        <f t="shared" si="735"/>
        <v>923563.84528244205</v>
      </c>
      <c r="I1337" s="522">
        <f t="shared" si="735"/>
        <v>923563.84528244205</v>
      </c>
      <c r="J1337" s="522">
        <f t="shared" si="735"/>
        <v>923563.84528244205</v>
      </c>
      <c r="K1337" s="522">
        <f t="shared" si="735"/>
        <v>923563.84528244205</v>
      </c>
      <c r="L1337" s="522">
        <f t="shared" si="735"/>
        <v>923563.84528244205</v>
      </c>
      <c r="M1337" s="522">
        <f t="shared" si="735"/>
        <v>923563.84528244205</v>
      </c>
      <c r="N1337" s="522">
        <f t="shared" si="735"/>
        <v>923563.84528244205</v>
      </c>
      <c r="O1337" s="410" t="s">
        <v>2552</v>
      </c>
    </row>
    <row r="1338" spans="1:18" s="217" customFormat="1">
      <c r="A1338" s="217">
        <v>2</v>
      </c>
      <c r="B1338" s="10" t="s">
        <v>1735</v>
      </c>
      <c r="C1338" s="11" t="s">
        <v>900</v>
      </c>
      <c r="D1338" s="217" t="str">
        <f>IF(A1338=B1322,"New Revenue Adjustments",IF(AND(C1338=D1322,A1338&lt;B1322),"Attrition Necessary",0))</f>
        <v>Attrition Necessary</v>
      </c>
      <c r="E1338" s="522">
        <f t="shared" si="734"/>
        <v>1629818.5504984274</v>
      </c>
      <c r="F1338" s="522">
        <f t="shared" si="735"/>
        <v>1629818.5504984274</v>
      </c>
      <c r="G1338" s="522">
        <f t="shared" si="735"/>
        <v>1629818.5504984274</v>
      </c>
      <c r="H1338" s="522">
        <f t="shared" si="735"/>
        <v>1629818.5504984274</v>
      </c>
      <c r="I1338" s="522">
        <f t="shared" si="735"/>
        <v>1629818.5504984274</v>
      </c>
      <c r="J1338" s="522">
        <f t="shared" si="735"/>
        <v>1629818.5504984274</v>
      </c>
      <c r="K1338" s="522">
        <f t="shared" si="735"/>
        <v>1629818.5504984274</v>
      </c>
      <c r="L1338" s="522">
        <f t="shared" si="735"/>
        <v>1629818.5504984274</v>
      </c>
      <c r="M1338" s="522">
        <f t="shared" si="735"/>
        <v>1629818.5504984274</v>
      </c>
      <c r="N1338" s="522">
        <f t="shared" si="735"/>
        <v>1629818.5504984274</v>
      </c>
      <c r="O1338" s="410" t="s">
        <v>2553</v>
      </c>
    </row>
    <row r="1339" spans="1:18" s="217" customFormat="1">
      <c r="A1339" s="217">
        <v>3</v>
      </c>
      <c r="B1339" s="10" t="s">
        <v>1735</v>
      </c>
      <c r="C1339" s="11" t="s">
        <v>901</v>
      </c>
      <c r="D1339" s="217">
        <f>IF(A1339=B1322,"New Revenue Adjustments",IF(AND(C1339=D1322,A1339&lt;B1322),"Attrition Necessary",0))</f>
        <v>0</v>
      </c>
      <c r="E1339" s="522">
        <f t="shared" si="734"/>
        <v>2168649.6517445347</v>
      </c>
      <c r="F1339" s="522">
        <f t="shared" si="735"/>
        <v>2168649.6517445347</v>
      </c>
      <c r="G1339" s="522">
        <f t="shared" si="735"/>
        <v>2168649.6517445347</v>
      </c>
      <c r="H1339" s="522">
        <f t="shared" si="735"/>
        <v>2168649.6517445347</v>
      </c>
      <c r="I1339" s="522">
        <f t="shared" si="735"/>
        <v>2168649.6517445347</v>
      </c>
      <c r="J1339" s="522">
        <f t="shared" si="735"/>
        <v>2168649.6517445347</v>
      </c>
      <c r="K1339" s="522">
        <f t="shared" si="735"/>
        <v>2168649.6517445347</v>
      </c>
      <c r="L1339" s="522">
        <f t="shared" si="735"/>
        <v>2168649.6517445347</v>
      </c>
      <c r="M1339" s="522">
        <f t="shared" si="735"/>
        <v>2168649.6517445347</v>
      </c>
      <c r="N1339" s="522">
        <f t="shared" si="735"/>
        <v>2168649.6517445347</v>
      </c>
      <c r="O1339" s="410" t="s">
        <v>2554</v>
      </c>
    </row>
    <row r="1340" spans="1:18" s="217" customFormat="1">
      <c r="A1340" s="217">
        <v>4</v>
      </c>
      <c r="B1340" s="10" t="s">
        <v>1735</v>
      </c>
      <c r="C1340" s="11" t="s">
        <v>902</v>
      </c>
      <c r="D1340" s="217">
        <f>IF(A1340=B1322,"New Revenue Adjustments",IF(AND(C1340=D1322,A1340&lt;B1322),"Attrition Necessary",0))</f>
        <v>0</v>
      </c>
      <c r="E1340" s="522">
        <f t="shared" si="734"/>
        <v>2710812.0646806685</v>
      </c>
      <c r="F1340" s="522">
        <f t="shared" si="735"/>
        <v>2710812.0646806685</v>
      </c>
      <c r="G1340" s="522">
        <f t="shared" si="735"/>
        <v>2710812.0646806685</v>
      </c>
      <c r="H1340" s="522">
        <f t="shared" si="735"/>
        <v>2710812.0646806685</v>
      </c>
      <c r="I1340" s="522">
        <f t="shared" si="735"/>
        <v>2710812.0646806685</v>
      </c>
      <c r="J1340" s="522">
        <f t="shared" si="735"/>
        <v>2710812.0646806685</v>
      </c>
      <c r="K1340" s="522">
        <f t="shared" si="735"/>
        <v>2710812.0646806685</v>
      </c>
      <c r="L1340" s="522">
        <f t="shared" si="735"/>
        <v>2710812.0646806685</v>
      </c>
      <c r="M1340" s="522">
        <f t="shared" si="735"/>
        <v>2710812.0646806685</v>
      </c>
      <c r="N1340" s="522">
        <f t="shared" si="735"/>
        <v>2710812.0646806685</v>
      </c>
      <c r="O1340" s="410" t="s">
        <v>2555</v>
      </c>
    </row>
    <row r="1341" spans="1:18" s="217" customFormat="1">
      <c r="A1341" s="217">
        <v>5</v>
      </c>
      <c r="B1341" s="10" t="s">
        <v>1729</v>
      </c>
      <c r="C1341" s="11" t="s">
        <v>899</v>
      </c>
      <c r="D1341" s="217">
        <f>IF(A1341=B1322,"New Revenue Adjustments",IF(AND(C1341=D1322,A1341&lt;B1322),"Attrition Necessary",0))</f>
        <v>0</v>
      </c>
      <c r="E1341" s="522">
        <f t="shared" si="734"/>
        <v>1086545.7003322849</v>
      </c>
      <c r="F1341" s="522">
        <f t="shared" si="735"/>
        <v>1086545.7003322849</v>
      </c>
      <c r="G1341" s="522">
        <f t="shared" si="735"/>
        <v>1086545.7003322849</v>
      </c>
      <c r="H1341" s="522">
        <f t="shared" si="735"/>
        <v>1086545.7003322849</v>
      </c>
      <c r="I1341" s="522">
        <f t="shared" si="735"/>
        <v>1086545.7003322849</v>
      </c>
      <c r="J1341" s="522">
        <f t="shared" si="735"/>
        <v>1086545.7003322849</v>
      </c>
      <c r="K1341" s="522">
        <f t="shared" si="735"/>
        <v>1086545.7003322849</v>
      </c>
      <c r="L1341" s="522">
        <f t="shared" si="735"/>
        <v>1086545.7003322849</v>
      </c>
      <c r="M1341" s="522">
        <f t="shared" si="735"/>
        <v>1086545.7003322849</v>
      </c>
      <c r="N1341" s="522">
        <f t="shared" si="735"/>
        <v>1086545.7003322849</v>
      </c>
      <c r="O1341" s="410" t="s">
        <v>2556</v>
      </c>
    </row>
    <row r="1342" spans="1:18" s="217" customFormat="1">
      <c r="A1342" s="217">
        <v>6</v>
      </c>
      <c r="B1342" s="10" t="s">
        <v>1729</v>
      </c>
      <c r="C1342" s="11" t="s">
        <v>900</v>
      </c>
      <c r="D1342" s="217" t="str">
        <f>IF(A1342=B1322,"New Revenue Adjustments",IF(AND(C1342=D1322,A1342&lt;B1322),"Attrition Necessary",0))</f>
        <v>Attrition Necessary</v>
      </c>
      <c r="E1342" s="522">
        <f t="shared" si="734"/>
        <v>1565138.2263353716</v>
      </c>
      <c r="F1342" s="522">
        <f t="shared" si="735"/>
        <v>1565138.2263353716</v>
      </c>
      <c r="G1342" s="522">
        <f t="shared" si="735"/>
        <v>1565138.2263353716</v>
      </c>
      <c r="H1342" s="522">
        <f t="shared" si="735"/>
        <v>1565138.2263353716</v>
      </c>
      <c r="I1342" s="522">
        <f t="shared" si="735"/>
        <v>1565138.2263353716</v>
      </c>
      <c r="J1342" s="522">
        <f t="shared" si="735"/>
        <v>1565138.2263353716</v>
      </c>
      <c r="K1342" s="522">
        <f t="shared" si="735"/>
        <v>1565138.2263353716</v>
      </c>
      <c r="L1342" s="522">
        <f t="shared" si="735"/>
        <v>1565138.2263353716</v>
      </c>
      <c r="M1342" s="522">
        <f t="shared" si="735"/>
        <v>1565138.2263353716</v>
      </c>
      <c r="N1342" s="522">
        <f t="shared" si="735"/>
        <v>1565138.2263353716</v>
      </c>
      <c r="O1342" s="410" t="s">
        <v>2557</v>
      </c>
    </row>
    <row r="1343" spans="1:18" s="217" customFormat="1">
      <c r="A1343" s="217">
        <v>7</v>
      </c>
      <c r="B1343" s="10" t="s">
        <v>1729</v>
      </c>
      <c r="C1343" s="11" t="s">
        <v>901</v>
      </c>
      <c r="D1343" s="217">
        <f>IF(A1343=B1322,"New Revenue Adjustments",IF(AND(C1343=D1322,A1343&lt;B1322),"Attrition Necessary",0))</f>
        <v>0</v>
      </c>
      <c r="E1343" s="522">
        <f t="shared" si="734"/>
        <v>2413905.912329495</v>
      </c>
      <c r="F1343" s="522">
        <f t="shared" si="735"/>
        <v>2413905.912329495</v>
      </c>
      <c r="G1343" s="522">
        <f t="shared" si="735"/>
        <v>2413905.912329495</v>
      </c>
      <c r="H1343" s="522">
        <f t="shared" si="735"/>
        <v>2413905.912329495</v>
      </c>
      <c r="I1343" s="522">
        <f t="shared" si="735"/>
        <v>2413905.912329495</v>
      </c>
      <c r="J1343" s="522">
        <f t="shared" si="735"/>
        <v>2413905.912329495</v>
      </c>
      <c r="K1343" s="522">
        <f t="shared" si="735"/>
        <v>2413905.912329495</v>
      </c>
      <c r="L1343" s="522">
        <f t="shared" si="735"/>
        <v>2413905.912329495</v>
      </c>
      <c r="M1343" s="522">
        <f t="shared" si="735"/>
        <v>2413905.912329495</v>
      </c>
      <c r="N1343" s="522">
        <f t="shared" si="735"/>
        <v>2413905.912329495</v>
      </c>
      <c r="O1343" s="410" t="s">
        <v>2558</v>
      </c>
    </row>
    <row r="1344" spans="1:18" s="217" customFormat="1">
      <c r="A1344" s="217">
        <v>8</v>
      </c>
      <c r="B1344" s="10" t="s">
        <v>1729</v>
      </c>
      <c r="C1344" s="11" t="s">
        <v>902</v>
      </c>
      <c r="D1344" s="217">
        <f>IF(A1344=B1322,"New Revenue Adjustments",IF(AND(C1344=D1322,A1344&lt;B1322),"Attrition Necessary",0))</f>
        <v>0</v>
      </c>
      <c r="E1344" s="522">
        <f t="shared" si="734"/>
        <v>3549861.6357786688</v>
      </c>
      <c r="F1344" s="522">
        <f t="shared" si="735"/>
        <v>3549861.6357786688</v>
      </c>
      <c r="G1344" s="522">
        <f t="shared" si="735"/>
        <v>3549861.6357786688</v>
      </c>
      <c r="H1344" s="522">
        <f t="shared" si="735"/>
        <v>3549861.6357786688</v>
      </c>
      <c r="I1344" s="522">
        <f t="shared" si="735"/>
        <v>3549861.6357786688</v>
      </c>
      <c r="J1344" s="522">
        <f t="shared" si="735"/>
        <v>3549861.6357786688</v>
      </c>
      <c r="K1344" s="522">
        <f t="shared" si="735"/>
        <v>3549861.6357786688</v>
      </c>
      <c r="L1344" s="522">
        <f t="shared" si="735"/>
        <v>3549861.6357786688</v>
      </c>
      <c r="M1344" s="522">
        <f t="shared" si="735"/>
        <v>3549861.6357786688</v>
      </c>
      <c r="N1344" s="522">
        <f t="shared" si="735"/>
        <v>3549861.6357786688</v>
      </c>
      <c r="O1344" s="410" t="s">
        <v>2559</v>
      </c>
    </row>
    <row r="1345" spans="1:15" s="217" customFormat="1">
      <c r="A1345" s="217">
        <v>9</v>
      </c>
      <c r="B1345" s="10" t="s">
        <v>405</v>
      </c>
      <c r="C1345" s="11" t="s">
        <v>899</v>
      </c>
      <c r="D1345" s="217">
        <f>IF(A1345=B1322,"New Revenue Adjustments",IF(AND(C1345=D1322,A1345&lt;B1322),"Attrition Necessary",0))</f>
        <v>0</v>
      </c>
      <c r="E1345" s="522">
        <f t="shared" si="734"/>
        <v>1600709.5496611758</v>
      </c>
      <c r="F1345" s="522">
        <f t="shared" si="735"/>
        <v>1600709.5496611758</v>
      </c>
      <c r="G1345" s="522">
        <f t="shared" si="735"/>
        <v>1600709.5496611758</v>
      </c>
      <c r="H1345" s="522">
        <f t="shared" si="735"/>
        <v>1600709.5496611758</v>
      </c>
      <c r="I1345" s="522">
        <f t="shared" si="735"/>
        <v>1600709.5496611758</v>
      </c>
      <c r="J1345" s="522">
        <f t="shared" si="735"/>
        <v>1600709.5496611758</v>
      </c>
      <c r="K1345" s="522">
        <f t="shared" si="735"/>
        <v>1600709.5496611758</v>
      </c>
      <c r="L1345" s="522">
        <f t="shared" si="735"/>
        <v>1600709.5496611758</v>
      </c>
      <c r="M1345" s="522">
        <f t="shared" si="735"/>
        <v>1600709.5496611758</v>
      </c>
      <c r="N1345" s="522">
        <f t="shared" si="735"/>
        <v>1600709.5496611758</v>
      </c>
      <c r="O1345" s="410" t="s">
        <v>2560</v>
      </c>
    </row>
    <row r="1346" spans="1:15" s="217" customFormat="1">
      <c r="A1346" s="217">
        <v>10</v>
      </c>
      <c r="B1346" s="10" t="s">
        <v>405</v>
      </c>
      <c r="C1346" s="11" t="s">
        <v>900</v>
      </c>
      <c r="D1346" s="217" t="str">
        <f>IF(A1346=B1322,"New Revenue Adjustments",IF(AND(C1346=D1322,A1346&lt;B1322),"Attrition Necessary",0))</f>
        <v>Attrition Necessary</v>
      </c>
      <c r="E1346" s="522">
        <f t="shared" si="734"/>
        <v>2305776.6504148049</v>
      </c>
      <c r="F1346" s="522">
        <f t="shared" si="735"/>
        <v>2305776.6504148049</v>
      </c>
      <c r="G1346" s="522">
        <f t="shared" si="735"/>
        <v>2305776.6504148049</v>
      </c>
      <c r="H1346" s="522">
        <f t="shared" si="735"/>
        <v>2305776.6504148049</v>
      </c>
      <c r="I1346" s="522">
        <f t="shared" si="735"/>
        <v>2305776.6504148049</v>
      </c>
      <c r="J1346" s="522">
        <f t="shared" si="735"/>
        <v>2305776.6504148049</v>
      </c>
      <c r="K1346" s="522">
        <f t="shared" si="735"/>
        <v>2305776.6504148049</v>
      </c>
      <c r="L1346" s="522">
        <f t="shared" si="735"/>
        <v>2305776.6504148049</v>
      </c>
      <c r="M1346" s="522">
        <f t="shared" si="735"/>
        <v>2305776.6504148049</v>
      </c>
      <c r="N1346" s="522">
        <f t="shared" si="735"/>
        <v>2305776.6504148049</v>
      </c>
      <c r="O1346" s="410" t="s">
        <v>2561</v>
      </c>
    </row>
    <row r="1347" spans="1:15" s="217" customFormat="1">
      <c r="A1347" s="217">
        <v>11</v>
      </c>
      <c r="B1347" s="10" t="s">
        <v>405</v>
      </c>
      <c r="C1347" s="11" t="s">
        <v>901</v>
      </c>
      <c r="D1347" s="217">
        <f>IF(A1347=B1322,"New Revenue Adjustments",IF(AND(C1347=D1322,A1347&lt;B1322),"Attrition Necessary",0))</f>
        <v>0</v>
      </c>
      <c r="E1347" s="522">
        <f t="shared" si="734"/>
        <v>3556189.3481955961</v>
      </c>
      <c r="F1347" s="522">
        <f t="shared" ref="F1347:N1356" si="736">IF($B$1322&gt;$A1347,INDEX(calcY3Q1RevFlow,$A1347,calcTeamNum)*(IF($D1347="Attrition Necessary",1-calcQ2AttritionDifference,1)*(IF($D1347="New Revenue Adjustments",1+calcY3Q2RevenueAdjustment,1))),INDEX(dataY3Q2Rev,$A1347,)*(IF($D1347="Attrition Necessary",1-calcQ2AttritionDifference,1))*(IF($D1347="New Revenue Adjustments",1+calcY3Q2RevenueAdjustment,1)))</f>
        <v>3556189.3481955961</v>
      </c>
      <c r="G1347" s="522">
        <f t="shared" si="736"/>
        <v>3556189.3481955961</v>
      </c>
      <c r="H1347" s="522">
        <f t="shared" si="736"/>
        <v>3556189.3481955961</v>
      </c>
      <c r="I1347" s="522">
        <f t="shared" si="736"/>
        <v>3556189.3481955961</v>
      </c>
      <c r="J1347" s="522">
        <f t="shared" si="736"/>
        <v>3556189.3481955961</v>
      </c>
      <c r="K1347" s="522">
        <f t="shared" si="736"/>
        <v>3556189.3481955961</v>
      </c>
      <c r="L1347" s="522">
        <f t="shared" si="736"/>
        <v>3556189.3481955961</v>
      </c>
      <c r="M1347" s="522">
        <f t="shared" si="736"/>
        <v>3556189.3481955961</v>
      </c>
      <c r="N1347" s="522">
        <f t="shared" si="736"/>
        <v>3556189.3481955961</v>
      </c>
      <c r="O1347" s="410" t="s">
        <v>2562</v>
      </c>
    </row>
    <row r="1348" spans="1:15" s="217" customFormat="1">
      <c r="A1348" s="217">
        <v>12</v>
      </c>
      <c r="B1348" s="10" t="s">
        <v>405</v>
      </c>
      <c r="C1348" s="11" t="s">
        <v>902</v>
      </c>
      <c r="D1348" s="217">
        <f>IF(A1348=B1322,"New Revenue Adjustments",IF(AND(C1348=D1322,A1348&lt;B1322),"Attrition Necessary",0))</f>
        <v>0</v>
      </c>
      <c r="E1348" s="522">
        <f t="shared" si="734"/>
        <v>5229690.2179346997</v>
      </c>
      <c r="F1348" s="522">
        <f t="shared" si="736"/>
        <v>5229690.2179346997</v>
      </c>
      <c r="G1348" s="522">
        <f t="shared" si="736"/>
        <v>5229690.2179346997</v>
      </c>
      <c r="H1348" s="522">
        <f t="shared" si="736"/>
        <v>5229690.2179346997</v>
      </c>
      <c r="I1348" s="522">
        <f t="shared" si="736"/>
        <v>5229690.2179346997</v>
      </c>
      <c r="J1348" s="522">
        <f t="shared" si="736"/>
        <v>5229690.2179346997</v>
      </c>
      <c r="K1348" s="522">
        <f t="shared" si="736"/>
        <v>5229690.2179346997</v>
      </c>
      <c r="L1348" s="522">
        <f t="shared" si="736"/>
        <v>5229690.2179346997</v>
      </c>
      <c r="M1348" s="522">
        <f t="shared" si="736"/>
        <v>5229690.2179346997</v>
      </c>
      <c r="N1348" s="522">
        <f t="shared" si="736"/>
        <v>5229690.2179346997</v>
      </c>
      <c r="O1348" s="410" t="s">
        <v>2563</v>
      </c>
    </row>
    <row r="1349" spans="1:15" s="217" customFormat="1">
      <c r="A1349" s="217">
        <v>13</v>
      </c>
      <c r="B1349" s="10" t="s">
        <v>1278</v>
      </c>
      <c r="C1349" s="11" t="s">
        <v>899</v>
      </c>
      <c r="D1349" s="217">
        <f>IF(A1349=B1322,"New Revenue Adjustments",IF(AND(C1349=D1322,A1349&lt;B1322),"Attrition Necessary",0))</f>
        <v>0</v>
      </c>
      <c r="E1349" s="522">
        <f t="shared" si="734"/>
        <v>2353360.598070615</v>
      </c>
      <c r="F1349" s="522">
        <f t="shared" si="736"/>
        <v>2353360.598070615</v>
      </c>
      <c r="G1349" s="522">
        <f t="shared" si="736"/>
        <v>2353360.598070615</v>
      </c>
      <c r="H1349" s="522">
        <f t="shared" si="736"/>
        <v>2353360.598070615</v>
      </c>
      <c r="I1349" s="522">
        <f t="shared" si="736"/>
        <v>2353360.598070615</v>
      </c>
      <c r="J1349" s="522">
        <f t="shared" si="736"/>
        <v>2353360.598070615</v>
      </c>
      <c r="K1349" s="522">
        <f t="shared" si="736"/>
        <v>2353360.598070615</v>
      </c>
      <c r="L1349" s="522">
        <f t="shared" si="736"/>
        <v>2353360.598070615</v>
      </c>
      <c r="M1349" s="522">
        <f t="shared" si="736"/>
        <v>2353360.598070615</v>
      </c>
      <c r="N1349" s="522">
        <f t="shared" si="736"/>
        <v>2353360.598070615</v>
      </c>
      <c r="O1349" s="410" t="s">
        <v>2564</v>
      </c>
    </row>
    <row r="1350" spans="1:15" s="217" customFormat="1">
      <c r="A1350" s="217">
        <v>14</v>
      </c>
      <c r="B1350" s="10" t="s">
        <v>1278</v>
      </c>
      <c r="C1350" s="11" t="s">
        <v>900</v>
      </c>
      <c r="D1350" s="217" t="str">
        <f>IF(A1350=B1322,"New Revenue Adjustments",IF(AND(C1350=D1322,A1350&lt;B1322),"Attrition Necessary",0))</f>
        <v>Attrition Necessary</v>
      </c>
      <c r="E1350" s="522">
        <f t="shared" si="734"/>
        <v>2876329.6198640843</v>
      </c>
      <c r="F1350" s="522">
        <f t="shared" si="736"/>
        <v>2876329.6198640843</v>
      </c>
      <c r="G1350" s="522">
        <f t="shared" si="736"/>
        <v>2876329.6198640843</v>
      </c>
      <c r="H1350" s="522">
        <f t="shared" si="736"/>
        <v>2876329.6198640843</v>
      </c>
      <c r="I1350" s="522">
        <f t="shared" si="736"/>
        <v>2876329.6198640843</v>
      </c>
      <c r="J1350" s="522">
        <f t="shared" si="736"/>
        <v>2876329.6198640843</v>
      </c>
      <c r="K1350" s="522">
        <f t="shared" si="736"/>
        <v>2876329.6198640843</v>
      </c>
      <c r="L1350" s="522">
        <f t="shared" si="736"/>
        <v>2876329.6198640843</v>
      </c>
      <c r="M1350" s="522">
        <f t="shared" si="736"/>
        <v>2876329.6198640843</v>
      </c>
      <c r="N1350" s="522">
        <f t="shared" si="736"/>
        <v>2876329.6198640843</v>
      </c>
      <c r="O1350" s="410" t="s">
        <v>2565</v>
      </c>
    </row>
    <row r="1351" spans="1:15" s="217" customFormat="1">
      <c r="A1351" s="217">
        <v>15</v>
      </c>
      <c r="B1351" s="10" t="s">
        <v>1278</v>
      </c>
      <c r="C1351" s="11" t="s">
        <v>901</v>
      </c>
      <c r="D1351" s="217">
        <f>IF(A1351=B1322,"New Revenue Adjustments",IF(AND(C1351=D1322,A1351&lt;B1322),"Attrition Necessary",0))</f>
        <v>0</v>
      </c>
      <c r="E1351" s="522">
        <f t="shared" si="734"/>
        <v>4436150.7235403778</v>
      </c>
      <c r="F1351" s="522">
        <f t="shared" si="736"/>
        <v>4436150.7235403778</v>
      </c>
      <c r="G1351" s="522">
        <f t="shared" si="736"/>
        <v>4436150.7235403778</v>
      </c>
      <c r="H1351" s="522">
        <f t="shared" si="736"/>
        <v>4436150.7235403778</v>
      </c>
      <c r="I1351" s="522">
        <f t="shared" si="736"/>
        <v>4436150.7235403778</v>
      </c>
      <c r="J1351" s="522">
        <f t="shared" si="736"/>
        <v>4436150.7235403778</v>
      </c>
      <c r="K1351" s="522">
        <f t="shared" si="736"/>
        <v>4436150.7235403778</v>
      </c>
      <c r="L1351" s="522">
        <f t="shared" si="736"/>
        <v>4436150.7235403778</v>
      </c>
      <c r="M1351" s="522">
        <f t="shared" si="736"/>
        <v>4436150.7235403778</v>
      </c>
      <c r="N1351" s="522">
        <f t="shared" si="736"/>
        <v>4436150.7235403778</v>
      </c>
      <c r="O1351" s="410" t="s">
        <v>2566</v>
      </c>
    </row>
    <row r="1352" spans="1:15" s="217" customFormat="1">
      <c r="A1352" s="217">
        <v>16</v>
      </c>
      <c r="B1352" s="10" t="s">
        <v>1278</v>
      </c>
      <c r="C1352" s="11" t="s">
        <v>902</v>
      </c>
      <c r="D1352" s="217">
        <f>IF(A1352=B1322,"New Revenue Adjustments",IF(AND(C1352=D1322,A1352&lt;B1322),"Attrition Necessary",0))</f>
        <v>0</v>
      </c>
      <c r="E1352" s="522">
        <f t="shared" si="734"/>
        <v>6523751.0640299665</v>
      </c>
      <c r="F1352" s="522">
        <f t="shared" si="736"/>
        <v>6523751.0640299665</v>
      </c>
      <c r="G1352" s="522">
        <f t="shared" si="736"/>
        <v>6523751.0640299665</v>
      </c>
      <c r="H1352" s="522">
        <f t="shared" si="736"/>
        <v>6523751.0640299665</v>
      </c>
      <c r="I1352" s="522">
        <f t="shared" si="736"/>
        <v>6523751.0640299665</v>
      </c>
      <c r="J1352" s="522">
        <f t="shared" si="736"/>
        <v>6523751.0640299665</v>
      </c>
      <c r="K1352" s="522">
        <f t="shared" si="736"/>
        <v>6523751.0640299665</v>
      </c>
      <c r="L1352" s="522">
        <f t="shared" si="736"/>
        <v>6523751.0640299665</v>
      </c>
      <c r="M1352" s="522">
        <f t="shared" si="736"/>
        <v>6523751.0640299665</v>
      </c>
      <c r="N1352" s="522">
        <f t="shared" si="736"/>
        <v>6523751.0640299665</v>
      </c>
      <c r="O1352" s="410" t="s">
        <v>2567</v>
      </c>
    </row>
    <row r="1353" spans="1:15" s="217" customFormat="1">
      <c r="A1353" s="217">
        <v>17</v>
      </c>
      <c r="B1353" s="10" t="s">
        <v>1279</v>
      </c>
      <c r="C1353" s="11" t="s">
        <v>899</v>
      </c>
      <c r="D1353" s="217">
        <f>IF(A1353=B1322,"New Revenue Adjustments",IF(AND(C1353=D1322,A1353&lt;B1322),"Attrition Necessary",0))</f>
        <v>0</v>
      </c>
      <c r="E1353" s="522">
        <f t="shared" si="734"/>
        <v>2935687.9788134852</v>
      </c>
      <c r="F1353" s="522">
        <f t="shared" si="736"/>
        <v>2935687.9788134852</v>
      </c>
      <c r="G1353" s="522">
        <f t="shared" si="736"/>
        <v>2935687.9788134852</v>
      </c>
      <c r="H1353" s="522">
        <f t="shared" si="736"/>
        <v>2935687.9788134852</v>
      </c>
      <c r="I1353" s="522">
        <f t="shared" si="736"/>
        <v>2935687.9788134852</v>
      </c>
      <c r="J1353" s="522">
        <f t="shared" si="736"/>
        <v>2935687.9788134852</v>
      </c>
      <c r="K1353" s="522">
        <f t="shared" si="736"/>
        <v>2935687.9788134852</v>
      </c>
      <c r="L1353" s="522">
        <f t="shared" si="736"/>
        <v>2935687.9788134852</v>
      </c>
      <c r="M1353" s="522">
        <f t="shared" si="736"/>
        <v>2935687.9788134852</v>
      </c>
      <c r="N1353" s="522">
        <f t="shared" si="736"/>
        <v>2935687.9788134852</v>
      </c>
      <c r="O1353" s="410" t="s">
        <v>2651</v>
      </c>
    </row>
    <row r="1354" spans="1:15" s="217" customFormat="1">
      <c r="A1354" s="217">
        <v>18</v>
      </c>
      <c r="B1354" s="10" t="s">
        <v>1279</v>
      </c>
      <c r="C1354" s="11" t="s">
        <v>900</v>
      </c>
      <c r="D1354" s="217" t="str">
        <f>IF(A1354=B1322,"New Revenue Adjustments",IF(AND(C1354=D1322,A1354&lt;B1322),"Attrition Necessary",0))</f>
        <v>Attrition Necessary</v>
      </c>
      <c r="E1354" s="522">
        <f t="shared" si="734"/>
        <v>3588063.0852164812</v>
      </c>
      <c r="F1354" s="522">
        <f t="shared" si="736"/>
        <v>3588063.0852164812</v>
      </c>
      <c r="G1354" s="522">
        <f t="shared" si="736"/>
        <v>3588063.0852164812</v>
      </c>
      <c r="H1354" s="522">
        <f t="shared" si="736"/>
        <v>3588063.0852164812</v>
      </c>
      <c r="I1354" s="522">
        <f t="shared" si="736"/>
        <v>3588063.0852164812</v>
      </c>
      <c r="J1354" s="522">
        <f t="shared" si="736"/>
        <v>3588063.0852164812</v>
      </c>
      <c r="K1354" s="522">
        <f t="shared" si="736"/>
        <v>3588063.0852164812</v>
      </c>
      <c r="L1354" s="522">
        <f t="shared" si="736"/>
        <v>3588063.0852164812</v>
      </c>
      <c r="M1354" s="522">
        <f t="shared" si="736"/>
        <v>3588063.0852164812</v>
      </c>
      <c r="N1354" s="522">
        <f t="shared" si="736"/>
        <v>3588063.0852164812</v>
      </c>
      <c r="O1354" s="410" t="s">
        <v>2652</v>
      </c>
    </row>
    <row r="1355" spans="1:15" s="217" customFormat="1">
      <c r="A1355" s="217">
        <v>19</v>
      </c>
      <c r="B1355" s="10" t="s">
        <v>1279</v>
      </c>
      <c r="C1355" s="11" t="s">
        <v>901</v>
      </c>
      <c r="D1355" s="217">
        <f>IF(A1355=B1322,"New Revenue Adjustments",IF(AND(C1355=D1322,A1355&lt;B1322),"Attrition Necessary",0))</f>
        <v>0</v>
      </c>
      <c r="E1355" s="522">
        <f t="shared" si="734"/>
        <v>5533854.1666666679</v>
      </c>
      <c r="F1355" s="522">
        <f t="shared" si="736"/>
        <v>5533854.1666666679</v>
      </c>
      <c r="G1355" s="522">
        <f t="shared" si="736"/>
        <v>5533854.1666666679</v>
      </c>
      <c r="H1355" s="522">
        <f t="shared" si="736"/>
        <v>5533854.1666666679</v>
      </c>
      <c r="I1355" s="522">
        <f t="shared" si="736"/>
        <v>5533854.1666666679</v>
      </c>
      <c r="J1355" s="522">
        <f t="shared" si="736"/>
        <v>5533854.1666666679</v>
      </c>
      <c r="K1355" s="522">
        <f t="shared" si="736"/>
        <v>5533854.1666666679</v>
      </c>
      <c r="L1355" s="522">
        <f t="shared" si="736"/>
        <v>5533854.1666666679</v>
      </c>
      <c r="M1355" s="522">
        <f t="shared" si="736"/>
        <v>5533854.1666666679</v>
      </c>
      <c r="N1355" s="522">
        <f t="shared" si="736"/>
        <v>5533854.1666666679</v>
      </c>
      <c r="O1355" s="410" t="s">
        <v>2570</v>
      </c>
    </row>
    <row r="1356" spans="1:15" s="217" customFormat="1">
      <c r="A1356" s="217">
        <v>20</v>
      </c>
      <c r="B1356" s="10" t="s">
        <v>1279</v>
      </c>
      <c r="C1356" s="11" t="s">
        <v>902</v>
      </c>
      <c r="D1356" s="217">
        <f>IF(A1356=B1322,"New Revenue Adjustments",IF(AND(C1356=D1322,A1356&lt;B1322),"Attrition Necessary",0))</f>
        <v>0</v>
      </c>
      <c r="E1356" s="522">
        <f t="shared" si="734"/>
        <v>8138020.8333333321</v>
      </c>
      <c r="F1356" s="522">
        <f t="shared" si="736"/>
        <v>8138020.8333333321</v>
      </c>
      <c r="G1356" s="522">
        <f t="shared" si="736"/>
        <v>8138020.8333333321</v>
      </c>
      <c r="H1356" s="522">
        <f t="shared" si="736"/>
        <v>8138020.8333333321</v>
      </c>
      <c r="I1356" s="522">
        <f t="shared" si="736"/>
        <v>8138020.8333333321</v>
      </c>
      <c r="J1356" s="522">
        <f t="shared" si="736"/>
        <v>8138020.8333333321</v>
      </c>
      <c r="K1356" s="522">
        <f t="shared" si="736"/>
        <v>8138020.8333333321</v>
      </c>
      <c r="L1356" s="522">
        <f t="shared" si="736"/>
        <v>8138020.8333333321</v>
      </c>
      <c r="M1356" s="522">
        <f t="shared" si="736"/>
        <v>8138020.8333333321</v>
      </c>
      <c r="N1356" s="522">
        <f t="shared" si="736"/>
        <v>8138020.8333333321</v>
      </c>
      <c r="O1356" s="410" t="s">
        <v>2571</v>
      </c>
    </row>
    <row r="1357" spans="1:15" s="217" customFormat="1">
      <c r="A1357" s="217">
        <v>21</v>
      </c>
      <c r="B1357" s="10" t="s">
        <v>2052</v>
      </c>
      <c r="C1357" s="11" t="s">
        <v>899</v>
      </c>
      <c r="D1357" s="217">
        <f>IF(A1357=B1322,"New Revenue Adjustments",IF(AND(C1357=D1322,A1357&lt;B1322),"Attrition Necessary",0))</f>
        <v>0</v>
      </c>
      <c r="E1357" s="522">
        <f t="shared" si="734"/>
        <v>3222656.2500000005</v>
      </c>
      <c r="F1357" s="522">
        <f t="shared" ref="F1357:N1368" si="737">IF($B$1322&gt;$A1357,INDEX(calcY3Q1RevFlow,$A1357,calcTeamNum)*(IF($D1357="Attrition Necessary",1-calcQ2AttritionDifference,1)*(IF($D1357="New Revenue Adjustments",1+calcY3Q2RevenueAdjustment,1))),INDEX(dataY3Q2Rev,$A1357,)*(IF($D1357="Attrition Necessary",1-calcQ2AttritionDifference,1))*(IF($D1357="New Revenue Adjustments",1+calcY3Q2RevenueAdjustment,1)))</f>
        <v>3222656.2500000005</v>
      </c>
      <c r="G1357" s="522">
        <f t="shared" si="737"/>
        <v>3222656.2500000005</v>
      </c>
      <c r="H1357" s="522">
        <f t="shared" si="737"/>
        <v>3222656.2500000005</v>
      </c>
      <c r="I1357" s="522">
        <f t="shared" si="737"/>
        <v>3222656.2500000005</v>
      </c>
      <c r="J1357" s="522">
        <f t="shared" si="737"/>
        <v>3222656.2500000005</v>
      </c>
      <c r="K1357" s="522">
        <f t="shared" si="737"/>
        <v>3222656.2500000005</v>
      </c>
      <c r="L1357" s="522">
        <f t="shared" si="737"/>
        <v>3222656.2500000005</v>
      </c>
      <c r="M1357" s="522">
        <f t="shared" si="737"/>
        <v>3222656.2500000005</v>
      </c>
      <c r="N1357" s="522">
        <f t="shared" si="737"/>
        <v>3222656.2500000005</v>
      </c>
      <c r="O1357" s="410" t="s">
        <v>2568</v>
      </c>
    </row>
    <row r="1358" spans="1:15" s="217" customFormat="1">
      <c r="A1358" s="217">
        <v>22</v>
      </c>
      <c r="B1358" s="10" t="s">
        <v>2052</v>
      </c>
      <c r="C1358" s="11" t="s">
        <v>900</v>
      </c>
      <c r="D1358" s="217" t="str">
        <f>IF(A1358=B1322,"New Revenue Adjustments",IF(AND(C1358=D1322,A1358&lt;B1322),"Attrition Necessary",0))</f>
        <v>New Revenue Adjustments</v>
      </c>
      <c r="E1358" s="522">
        <f t="shared" si="734"/>
        <v>3938802.083333333</v>
      </c>
      <c r="F1358" s="522">
        <f t="shared" si="737"/>
        <v>3938802.083333333</v>
      </c>
      <c r="G1358" s="522">
        <f t="shared" si="737"/>
        <v>3938802.083333333</v>
      </c>
      <c r="H1358" s="522">
        <f t="shared" si="737"/>
        <v>3938802.083333333</v>
      </c>
      <c r="I1358" s="522">
        <f t="shared" si="737"/>
        <v>3938802.083333333</v>
      </c>
      <c r="J1358" s="522">
        <f t="shared" si="737"/>
        <v>3938802.083333333</v>
      </c>
      <c r="K1358" s="522">
        <f t="shared" si="737"/>
        <v>3938802.083333333</v>
      </c>
      <c r="L1358" s="522">
        <f t="shared" si="737"/>
        <v>3938802.083333333</v>
      </c>
      <c r="M1358" s="522">
        <f t="shared" si="737"/>
        <v>3938802.083333333</v>
      </c>
      <c r="N1358" s="522">
        <f t="shared" si="737"/>
        <v>3938802.083333333</v>
      </c>
      <c r="O1358" s="410" t="s">
        <v>2569</v>
      </c>
    </row>
    <row r="1359" spans="1:15" s="217" customFormat="1">
      <c r="A1359" s="217">
        <v>23</v>
      </c>
      <c r="B1359" s="10" t="s">
        <v>2052</v>
      </c>
      <c r="C1359" s="11" t="s">
        <v>901</v>
      </c>
      <c r="D1359" s="217">
        <f>IF(A1359=B1322,"New Revenue Adjustments",IF(AND(C1359=D1322,A1359&lt;B1322),"Attrition Necessary",0))</f>
        <v>0</v>
      </c>
      <c r="E1359" s="522">
        <f t="shared" si="734"/>
        <v>0</v>
      </c>
      <c r="F1359" s="522">
        <f t="shared" si="737"/>
        <v>0</v>
      </c>
      <c r="G1359" s="522">
        <f t="shared" si="737"/>
        <v>0</v>
      </c>
      <c r="H1359" s="522">
        <f t="shared" si="737"/>
        <v>0</v>
      </c>
      <c r="I1359" s="522">
        <f t="shared" si="737"/>
        <v>0</v>
      </c>
      <c r="J1359" s="522">
        <f t="shared" si="737"/>
        <v>0</v>
      </c>
      <c r="K1359" s="522">
        <f t="shared" si="737"/>
        <v>0</v>
      </c>
      <c r="L1359" s="522">
        <f t="shared" si="737"/>
        <v>0</v>
      </c>
      <c r="M1359" s="522">
        <f t="shared" si="737"/>
        <v>0</v>
      </c>
      <c r="N1359" s="522">
        <f t="shared" si="737"/>
        <v>0</v>
      </c>
      <c r="O1359" s="410" t="s">
        <v>2572</v>
      </c>
    </row>
    <row r="1360" spans="1:15" s="217" customFormat="1">
      <c r="A1360" s="217">
        <v>24</v>
      </c>
      <c r="B1360" s="10" t="s">
        <v>2052</v>
      </c>
      <c r="C1360" s="11" t="s">
        <v>902</v>
      </c>
      <c r="D1360" s="217">
        <f>IF(A1360=B1322,"New Revenue Adjustments",IF(AND(C1360=D1322,A1360&lt;B1322),"Attrition Necessary",0))</f>
        <v>0</v>
      </c>
      <c r="E1360" s="522">
        <f t="shared" si="734"/>
        <v>0</v>
      </c>
      <c r="F1360" s="522">
        <f t="shared" si="737"/>
        <v>0</v>
      </c>
      <c r="G1360" s="522">
        <f t="shared" si="737"/>
        <v>0</v>
      </c>
      <c r="H1360" s="522">
        <f t="shared" si="737"/>
        <v>0</v>
      </c>
      <c r="I1360" s="522">
        <f t="shared" si="737"/>
        <v>0</v>
      </c>
      <c r="J1360" s="522">
        <f t="shared" si="737"/>
        <v>0</v>
      </c>
      <c r="K1360" s="522">
        <f t="shared" si="737"/>
        <v>0</v>
      </c>
      <c r="L1360" s="522">
        <f t="shared" si="737"/>
        <v>0</v>
      </c>
      <c r="M1360" s="522">
        <f t="shared" si="737"/>
        <v>0</v>
      </c>
      <c r="N1360" s="522">
        <f t="shared" si="737"/>
        <v>0</v>
      </c>
      <c r="O1360" s="410" t="s">
        <v>2573</v>
      </c>
    </row>
    <row r="1361" spans="1:15" s="217" customFormat="1">
      <c r="A1361" s="217">
        <v>25</v>
      </c>
      <c r="B1361" s="10" t="s">
        <v>2408</v>
      </c>
      <c r="C1361" s="11" t="s">
        <v>899</v>
      </c>
      <c r="D1361" s="217">
        <f>IF(A1361=B1322,"New Revenue Adjustments",IF(AND(C1361=D1322,A1361&lt;B1322),"Attrition Necessary",0))</f>
        <v>0</v>
      </c>
      <c r="E1361" s="522">
        <f t="shared" si="734"/>
        <v>0</v>
      </c>
      <c r="F1361" s="522">
        <f t="shared" si="737"/>
        <v>0</v>
      </c>
      <c r="G1361" s="522">
        <f t="shared" si="737"/>
        <v>0</v>
      </c>
      <c r="H1361" s="522">
        <f t="shared" si="737"/>
        <v>0</v>
      </c>
      <c r="I1361" s="522">
        <f t="shared" si="737"/>
        <v>0</v>
      </c>
      <c r="J1361" s="522">
        <f t="shared" si="737"/>
        <v>0</v>
      </c>
      <c r="K1361" s="522">
        <f t="shared" si="737"/>
        <v>0</v>
      </c>
      <c r="L1361" s="522">
        <f t="shared" si="737"/>
        <v>0</v>
      </c>
      <c r="M1361" s="522">
        <f t="shared" si="737"/>
        <v>0</v>
      </c>
      <c r="N1361" s="522">
        <f t="shared" si="737"/>
        <v>0</v>
      </c>
      <c r="O1361" s="410" t="s">
        <v>2574</v>
      </c>
    </row>
    <row r="1362" spans="1:15" s="217" customFormat="1">
      <c r="A1362" s="217">
        <v>26</v>
      </c>
      <c r="B1362" s="10" t="s">
        <v>2408</v>
      </c>
      <c r="C1362" s="11" t="s">
        <v>900</v>
      </c>
      <c r="D1362" s="217">
        <f>IF(A1362=B1322,"New Revenue Adjustments",IF(AND(C1362=D1322,A1362&lt;B1322),"Attrition Necessary",0))</f>
        <v>0</v>
      </c>
      <c r="E1362" s="522">
        <f t="shared" si="734"/>
        <v>0</v>
      </c>
      <c r="F1362" s="522">
        <f t="shared" si="737"/>
        <v>0</v>
      </c>
      <c r="G1362" s="522">
        <f t="shared" si="737"/>
        <v>0</v>
      </c>
      <c r="H1362" s="522">
        <f t="shared" si="737"/>
        <v>0</v>
      </c>
      <c r="I1362" s="522">
        <f t="shared" si="737"/>
        <v>0</v>
      </c>
      <c r="J1362" s="522">
        <f t="shared" si="737"/>
        <v>0</v>
      </c>
      <c r="K1362" s="522">
        <f t="shared" si="737"/>
        <v>0</v>
      </c>
      <c r="L1362" s="522">
        <f t="shared" si="737"/>
        <v>0</v>
      </c>
      <c r="M1362" s="522">
        <f t="shared" si="737"/>
        <v>0</v>
      </c>
      <c r="N1362" s="522">
        <f t="shared" si="737"/>
        <v>0</v>
      </c>
      <c r="O1362" s="410" t="s">
        <v>2575</v>
      </c>
    </row>
    <row r="1363" spans="1:15" s="217" customFormat="1">
      <c r="A1363" s="217">
        <v>27</v>
      </c>
      <c r="B1363" s="10" t="s">
        <v>2408</v>
      </c>
      <c r="C1363" s="11" t="s">
        <v>901</v>
      </c>
      <c r="D1363" s="217">
        <f>IF(A1363=B1322,"New Revenue Adjustments",IF(AND(C1363=D1322,A1363&lt;B1322),"Attrition Necessary",0))</f>
        <v>0</v>
      </c>
      <c r="E1363" s="522">
        <f t="shared" si="734"/>
        <v>0</v>
      </c>
      <c r="F1363" s="522">
        <f t="shared" si="737"/>
        <v>0</v>
      </c>
      <c r="G1363" s="522">
        <f t="shared" si="737"/>
        <v>0</v>
      </c>
      <c r="H1363" s="522">
        <f t="shared" si="737"/>
        <v>0</v>
      </c>
      <c r="I1363" s="522">
        <f t="shared" si="737"/>
        <v>0</v>
      </c>
      <c r="J1363" s="522">
        <f t="shared" si="737"/>
        <v>0</v>
      </c>
      <c r="K1363" s="522">
        <f t="shared" si="737"/>
        <v>0</v>
      </c>
      <c r="L1363" s="522">
        <f t="shared" si="737"/>
        <v>0</v>
      </c>
      <c r="M1363" s="522">
        <f t="shared" si="737"/>
        <v>0</v>
      </c>
      <c r="N1363" s="522">
        <f t="shared" si="737"/>
        <v>0</v>
      </c>
      <c r="O1363" s="410" t="s">
        <v>2576</v>
      </c>
    </row>
    <row r="1364" spans="1:15" s="217" customFormat="1">
      <c r="A1364" s="217">
        <v>28</v>
      </c>
      <c r="B1364" s="10" t="s">
        <v>2408</v>
      </c>
      <c r="C1364" s="11" t="s">
        <v>902</v>
      </c>
      <c r="D1364" s="217">
        <f>IF(A1364=B1322,"New Revenue Adjustments",IF(AND(C1364=D1322,A1364&lt;B1322),"Attrition Necessary",0))</f>
        <v>0</v>
      </c>
      <c r="E1364" s="522">
        <f t="shared" si="734"/>
        <v>0</v>
      </c>
      <c r="F1364" s="522">
        <f t="shared" si="737"/>
        <v>0</v>
      </c>
      <c r="G1364" s="522">
        <f t="shared" si="737"/>
        <v>0</v>
      </c>
      <c r="H1364" s="522">
        <f t="shared" si="737"/>
        <v>0</v>
      </c>
      <c r="I1364" s="522">
        <f t="shared" si="737"/>
        <v>0</v>
      </c>
      <c r="J1364" s="522">
        <f t="shared" si="737"/>
        <v>0</v>
      </c>
      <c r="K1364" s="522">
        <f t="shared" si="737"/>
        <v>0</v>
      </c>
      <c r="L1364" s="522">
        <f t="shared" si="737"/>
        <v>0</v>
      </c>
      <c r="M1364" s="522">
        <f t="shared" si="737"/>
        <v>0</v>
      </c>
      <c r="N1364" s="522">
        <f t="shared" si="737"/>
        <v>0</v>
      </c>
      <c r="O1364" s="410" t="s">
        <v>2577</v>
      </c>
    </row>
    <row r="1365" spans="1:15" s="217" customFormat="1">
      <c r="A1365" s="217">
        <v>29</v>
      </c>
      <c r="B1365" s="10" t="s">
        <v>2413</v>
      </c>
      <c r="C1365" s="11" t="s">
        <v>899</v>
      </c>
      <c r="D1365" s="217">
        <f>IF(A1365=B1322,"New Revenue Adjustments",IF(AND(C1365=D1322,A1365&lt;B1322),"Attrition Necessary",0))</f>
        <v>0</v>
      </c>
      <c r="E1365" s="522">
        <f t="shared" si="734"/>
        <v>0</v>
      </c>
      <c r="F1365" s="522">
        <f t="shared" si="737"/>
        <v>0</v>
      </c>
      <c r="G1365" s="522">
        <f t="shared" si="737"/>
        <v>0</v>
      </c>
      <c r="H1365" s="522">
        <f t="shared" si="737"/>
        <v>0</v>
      </c>
      <c r="I1365" s="522">
        <f t="shared" si="737"/>
        <v>0</v>
      </c>
      <c r="J1365" s="522">
        <f t="shared" si="737"/>
        <v>0</v>
      </c>
      <c r="K1365" s="522">
        <f t="shared" si="737"/>
        <v>0</v>
      </c>
      <c r="L1365" s="522">
        <f t="shared" si="737"/>
        <v>0</v>
      </c>
      <c r="M1365" s="522">
        <f t="shared" si="737"/>
        <v>0</v>
      </c>
      <c r="N1365" s="522">
        <f t="shared" si="737"/>
        <v>0</v>
      </c>
      <c r="O1365" s="410" t="s">
        <v>2578</v>
      </c>
    </row>
    <row r="1366" spans="1:15" s="217" customFormat="1">
      <c r="A1366" s="217">
        <v>30</v>
      </c>
      <c r="B1366" s="10" t="s">
        <v>2413</v>
      </c>
      <c r="C1366" s="11" t="s">
        <v>900</v>
      </c>
      <c r="D1366" s="217">
        <f>IF(A1366=B1322,"New Revenue Adjustments",IF(AND(C1366=D1322,A1366&lt;B1322),"Attrition Necessary",0))</f>
        <v>0</v>
      </c>
      <c r="E1366" s="522">
        <f t="shared" si="734"/>
        <v>0</v>
      </c>
      <c r="F1366" s="522">
        <f t="shared" si="737"/>
        <v>0</v>
      </c>
      <c r="G1366" s="522">
        <f t="shared" si="737"/>
        <v>0</v>
      </c>
      <c r="H1366" s="522">
        <f t="shared" si="737"/>
        <v>0</v>
      </c>
      <c r="I1366" s="522">
        <f t="shared" si="737"/>
        <v>0</v>
      </c>
      <c r="J1366" s="522">
        <f t="shared" si="737"/>
        <v>0</v>
      </c>
      <c r="K1366" s="522">
        <f t="shared" si="737"/>
        <v>0</v>
      </c>
      <c r="L1366" s="522">
        <f t="shared" si="737"/>
        <v>0</v>
      </c>
      <c r="M1366" s="522">
        <f t="shared" si="737"/>
        <v>0</v>
      </c>
      <c r="N1366" s="522">
        <f t="shared" si="737"/>
        <v>0</v>
      </c>
      <c r="O1366" s="410" t="s">
        <v>2579</v>
      </c>
    </row>
    <row r="1367" spans="1:15" s="217" customFormat="1">
      <c r="A1367" s="217">
        <v>31</v>
      </c>
      <c r="B1367" s="10" t="s">
        <v>2413</v>
      </c>
      <c r="C1367" s="11" t="s">
        <v>901</v>
      </c>
      <c r="D1367" s="217">
        <f>IF(A1367=B1322,"New Revenue Adjustments",IF(AND(C1367=D1322,A1367&lt;B1322),"Attrition Necessary",0))</f>
        <v>0</v>
      </c>
      <c r="E1367" s="522">
        <f t="shared" si="734"/>
        <v>0</v>
      </c>
      <c r="F1367" s="522">
        <f t="shared" si="737"/>
        <v>0</v>
      </c>
      <c r="G1367" s="522">
        <f t="shared" si="737"/>
        <v>0</v>
      </c>
      <c r="H1367" s="522">
        <f t="shared" si="737"/>
        <v>0</v>
      </c>
      <c r="I1367" s="522">
        <f t="shared" si="737"/>
        <v>0</v>
      </c>
      <c r="J1367" s="522">
        <f t="shared" si="737"/>
        <v>0</v>
      </c>
      <c r="K1367" s="522">
        <f t="shared" si="737"/>
        <v>0</v>
      </c>
      <c r="L1367" s="522">
        <f t="shared" si="737"/>
        <v>0</v>
      </c>
      <c r="M1367" s="522">
        <f t="shared" si="737"/>
        <v>0</v>
      </c>
      <c r="N1367" s="522">
        <f t="shared" si="737"/>
        <v>0</v>
      </c>
      <c r="O1367" s="410" t="s">
        <v>2580</v>
      </c>
    </row>
    <row r="1368" spans="1:15" s="217" customFormat="1">
      <c r="A1368" s="217">
        <v>32</v>
      </c>
      <c r="B1368" s="10" t="s">
        <v>2413</v>
      </c>
      <c r="C1368" s="11" t="s">
        <v>902</v>
      </c>
      <c r="D1368" s="217">
        <f>IF(A1368=B1322,"New Revenue Adjustments",IF(AND(C1368=D1322,A1368&lt;B1322),"Attrition Necessary",0))</f>
        <v>0</v>
      </c>
      <c r="E1368" s="522">
        <f t="shared" si="734"/>
        <v>0</v>
      </c>
      <c r="F1368" s="522">
        <f t="shared" si="737"/>
        <v>0</v>
      </c>
      <c r="G1368" s="522">
        <f t="shared" si="737"/>
        <v>0</v>
      </c>
      <c r="H1368" s="522">
        <f t="shared" si="737"/>
        <v>0</v>
      </c>
      <c r="I1368" s="522">
        <f t="shared" si="737"/>
        <v>0</v>
      </c>
      <c r="J1368" s="522">
        <f t="shared" si="737"/>
        <v>0</v>
      </c>
      <c r="K1368" s="522">
        <f t="shared" si="737"/>
        <v>0</v>
      </c>
      <c r="L1368" s="522">
        <f t="shared" si="737"/>
        <v>0</v>
      </c>
      <c r="M1368" s="522">
        <f t="shared" si="737"/>
        <v>0</v>
      </c>
      <c r="N1368" s="522">
        <f t="shared" si="737"/>
        <v>0</v>
      </c>
      <c r="O1368" s="410" t="s">
        <v>2581</v>
      </c>
    </row>
    <row r="1369" spans="1:15" s="217" customFormat="1">
      <c r="D1369" s="217" t="s">
        <v>906</v>
      </c>
      <c r="E1369" s="427">
        <f>SUM(E1337:E1368)</f>
        <v>72287337.756056517</v>
      </c>
      <c r="F1369" s="427">
        <f t="shared" ref="F1369:I1369" si="738">SUM(F1337:F1368)</f>
        <v>72287337.756056517</v>
      </c>
      <c r="G1369" s="427">
        <f t="shared" si="738"/>
        <v>72287337.756056517</v>
      </c>
      <c r="H1369" s="427">
        <f t="shared" si="738"/>
        <v>72287337.756056517</v>
      </c>
      <c r="I1369" s="427">
        <f t="shared" si="738"/>
        <v>72287337.756056517</v>
      </c>
      <c r="J1369" s="427">
        <f t="shared" ref="J1369:N1369" si="739">SUM(J1337:J1368)</f>
        <v>72287337.756056517</v>
      </c>
      <c r="K1369" s="427">
        <f t="shared" si="739"/>
        <v>72287337.756056517</v>
      </c>
      <c r="L1369" s="427">
        <f t="shared" si="739"/>
        <v>72287337.756056517</v>
      </c>
      <c r="M1369" s="427">
        <f t="shared" si="739"/>
        <v>72287337.756056517</v>
      </c>
      <c r="N1369" s="427">
        <f t="shared" si="739"/>
        <v>72287337.756056517</v>
      </c>
      <c r="O1369" s="217" t="s">
        <v>2582</v>
      </c>
    </row>
    <row r="1370" spans="1:15" s="217" customFormat="1">
      <c r="E1370" s="409"/>
      <c r="F1370" s="409"/>
      <c r="G1370" s="409"/>
      <c r="H1370" s="409"/>
      <c r="I1370" s="409"/>
      <c r="J1370" s="409"/>
      <c r="K1370" s="409"/>
      <c r="L1370" s="409"/>
      <c r="M1370" s="409"/>
      <c r="N1370" s="409"/>
    </row>
    <row r="1371" spans="1:15">
      <c r="A1371" s="217"/>
      <c r="B1371" s="69">
        <v>23</v>
      </c>
      <c r="C1371" s="217" t="s">
        <v>2052</v>
      </c>
      <c r="D1371" s="217" t="s">
        <v>901</v>
      </c>
    </row>
    <row r="1372" spans="1:15" s="217" customFormat="1">
      <c r="C1372" s="217" t="s">
        <v>1736</v>
      </c>
      <c r="E1372" s="409"/>
      <c r="F1372" s="409"/>
      <c r="G1372" s="409"/>
      <c r="H1372" s="409"/>
      <c r="I1372" s="409"/>
      <c r="J1372" s="409"/>
      <c r="K1372" s="409"/>
      <c r="L1372" s="409"/>
      <c r="M1372" s="409"/>
      <c r="N1372" s="409"/>
    </row>
    <row r="1373" spans="1:15" s="410" customFormat="1">
      <c r="D1373" s="410" t="s">
        <v>1754</v>
      </c>
      <c r="E1373" s="547">
        <f t="shared" ref="E1373:N1373" si="740">FORECAST(calcNPS,datatblNPSAttrition,datatblNPSScore)</f>
        <v>0.14946428571428572</v>
      </c>
      <c r="F1373" s="547">
        <f t="shared" si="740"/>
        <v>0.14946428571428572</v>
      </c>
      <c r="G1373" s="547">
        <f t="shared" si="740"/>
        <v>0.14946428571428572</v>
      </c>
      <c r="H1373" s="547">
        <f t="shared" si="740"/>
        <v>0.14946428571428572</v>
      </c>
      <c r="I1373" s="547">
        <f t="shared" si="740"/>
        <v>0.14946428571428572</v>
      </c>
      <c r="J1373" s="547">
        <f t="shared" si="740"/>
        <v>0.14946428571428572</v>
      </c>
      <c r="K1373" s="547">
        <f t="shared" si="740"/>
        <v>0.14946428571428572</v>
      </c>
      <c r="L1373" s="547">
        <f t="shared" si="740"/>
        <v>0.14946428571428572</v>
      </c>
      <c r="M1373" s="547">
        <f t="shared" si="740"/>
        <v>0.14946428571428572</v>
      </c>
      <c r="N1373" s="547">
        <f t="shared" si="740"/>
        <v>0.14946428571428572</v>
      </c>
    </row>
    <row r="1374" spans="1:15" s="410" customFormat="1">
      <c r="D1374" s="410" t="s">
        <v>1753</v>
      </c>
      <c r="E1374" s="547">
        <f>Data!$D$277</f>
        <v>0.1515124491492886</v>
      </c>
      <c r="F1374" s="547">
        <f>Data!$D$277</f>
        <v>0.1515124491492886</v>
      </c>
      <c r="G1374" s="547">
        <f>Data!$D$277</f>
        <v>0.1515124491492886</v>
      </c>
      <c r="H1374" s="547">
        <f>Data!$D$277</f>
        <v>0.1515124491492886</v>
      </c>
      <c r="I1374" s="547">
        <f>Data!$D$277</f>
        <v>0.1515124491492886</v>
      </c>
      <c r="J1374" s="547">
        <f>Data!$D$277</f>
        <v>0.1515124491492886</v>
      </c>
      <c r="K1374" s="547">
        <f>Data!$D$277</f>
        <v>0.1515124491492886</v>
      </c>
      <c r="L1374" s="547">
        <f>Data!$D$277</f>
        <v>0.1515124491492886</v>
      </c>
      <c r="M1374" s="547">
        <f>Data!$D$277</f>
        <v>0.1515124491492886</v>
      </c>
      <c r="N1374" s="547">
        <f>Data!$D$277</f>
        <v>0.1515124491492886</v>
      </c>
    </row>
    <row r="1375" spans="1:15" s="217" customFormat="1">
      <c r="D1375" s="217" t="s">
        <v>1755</v>
      </c>
      <c r="E1375" s="411">
        <f>E1373-E1374</f>
        <v>-2.0481634350028866E-3</v>
      </c>
      <c r="F1375" s="411">
        <f t="shared" ref="F1375" si="741">F1373-F1374</f>
        <v>-2.0481634350028866E-3</v>
      </c>
      <c r="G1375" s="411">
        <f t="shared" ref="G1375" si="742">G1373-G1374</f>
        <v>-2.0481634350028866E-3</v>
      </c>
      <c r="H1375" s="411">
        <f t="shared" ref="H1375" si="743">H1373-H1374</f>
        <v>-2.0481634350028866E-3</v>
      </c>
      <c r="I1375" s="411">
        <f t="shared" ref="I1375:N1375" si="744">I1373-I1374</f>
        <v>-2.0481634350028866E-3</v>
      </c>
      <c r="J1375" s="411">
        <f t="shared" si="744"/>
        <v>-2.0481634350028866E-3</v>
      </c>
      <c r="K1375" s="411">
        <f t="shared" si="744"/>
        <v>-2.0481634350028866E-3</v>
      </c>
      <c r="L1375" s="411">
        <f t="shared" si="744"/>
        <v>-2.0481634350028866E-3</v>
      </c>
      <c r="M1375" s="411">
        <f t="shared" si="744"/>
        <v>-2.0481634350028866E-3</v>
      </c>
      <c r="N1375" s="411">
        <f t="shared" si="744"/>
        <v>-2.0481634350028866E-3</v>
      </c>
      <c r="O1375" s="217" t="s">
        <v>2584</v>
      </c>
    </row>
    <row r="1376" spans="1:15" s="217" customFormat="1">
      <c r="C1376" s="217" t="s">
        <v>1757</v>
      </c>
      <c r="E1376" s="411"/>
      <c r="F1376" s="411"/>
      <c r="G1376" s="411"/>
      <c r="H1376" s="411"/>
      <c r="I1376" s="411"/>
      <c r="J1376" s="411"/>
      <c r="K1376" s="411"/>
      <c r="L1376" s="411"/>
      <c r="M1376" s="411"/>
      <c r="N1376" s="411"/>
    </row>
    <row r="1377" spans="1:18">
      <c r="D1377" s="69" t="s">
        <v>1151</v>
      </c>
      <c r="E1377" s="425">
        <f>IF(calcOrg62Timeline&lt;=$Q1377,INDEX(datatblOrg62Timeline,MATCH(decGTMOrg62Timeline,Data!$C$106:$C$111,0),2),0)*paramOrg62Impacts</f>
        <v>0</v>
      </c>
      <c r="F1377" s="425">
        <f>IF(calcOrg62Timeline&lt;=$Q1377,INDEX(datatblOrg62Timeline,MATCH(decGTMOrg62Timeline,Data!$C$106:$C$111,0),2),0)*paramOrg62Impacts</f>
        <v>0</v>
      </c>
      <c r="G1377" s="425">
        <f>IF(calcOrg62Timeline&lt;=$Q1377,INDEX(datatblOrg62Timeline,MATCH(decGTMOrg62Timeline,Data!$C$106:$C$111,0),2),0)*paramOrg62Impacts</f>
        <v>0</v>
      </c>
      <c r="H1377" s="425">
        <f>IF(calcOrg62Timeline&lt;=$Q1377,INDEX(datatblOrg62Timeline,MATCH(decGTMOrg62Timeline,Data!$C$106:$C$111,0),2),0)*paramOrg62Impacts</f>
        <v>0</v>
      </c>
      <c r="I1377" s="425">
        <f>IF(calcOrg62Timeline&lt;=$Q1377,INDEX(datatblOrg62Timeline,MATCH(decGTMOrg62Timeline,Data!$C$106:$C$111,0),2),0)*paramOrg62Impacts</f>
        <v>0</v>
      </c>
      <c r="J1377" s="425">
        <f>IF(calcOrg62Timeline&lt;=$Q1377,INDEX(datatblOrg62Timeline,MATCH(decGTMOrg62Timeline,Data!$C$106:$C$111,0),2),0)*paramOrg62Impacts</f>
        <v>0</v>
      </c>
      <c r="K1377" s="425">
        <f>IF(calcOrg62Timeline&lt;=$Q1377,INDEX(datatblOrg62Timeline,MATCH(decGTMOrg62Timeline,Data!$C$106:$C$111,0),2),0)*paramOrg62Impacts</f>
        <v>0</v>
      </c>
      <c r="L1377" s="425">
        <f>IF(calcOrg62Timeline&lt;=$Q1377,INDEX(datatblOrg62Timeline,MATCH(decGTMOrg62Timeline,Data!$C$106:$C$111,0),2),0)*paramOrg62Impacts</f>
        <v>0</v>
      </c>
      <c r="M1377" s="425">
        <f>IF(calcOrg62Timeline&lt;=$Q1377,INDEX(datatblOrg62Timeline,MATCH(decGTMOrg62Timeline,Data!$C$106:$C$111,0),2),0)*paramOrg62Impacts</f>
        <v>0</v>
      </c>
      <c r="N1377" s="425">
        <f>IF(calcOrg62Timeline&lt;=$Q1377,INDEX(datatblOrg62Timeline,MATCH(decGTMOrg62Timeline,Data!$C$106:$C$111,0),2),0)*paramOrg62Impacts</f>
        <v>0</v>
      </c>
      <c r="Q1377" s="69">
        <v>24</v>
      </c>
    </row>
    <row r="1378" spans="1:18">
      <c r="D1378" s="69" t="s">
        <v>507</v>
      </c>
      <c r="E1378" s="425">
        <f>IF(calcProductTimeline&lt;=$Q1378,INDEX(datatblStackFocusImpact,MATCH(decProductStackFocus,Data!$C$96:$C$101,0),2),0)+paramACVGrowthStack</f>
        <v>0</v>
      </c>
      <c r="F1378" s="425">
        <f>IF(calcProductTimeline&lt;=$Q1378,INDEX(datatblStackFocusImpact,MATCH(decProductStackFocus,Data!$C$96:$C$101,0),2),0)+paramACVGrowthStack</f>
        <v>0</v>
      </c>
      <c r="G1378" s="425">
        <f>IF(calcProductTimeline&lt;=$Q1378,INDEX(datatblStackFocusImpact,MATCH(decProductStackFocus,Data!$C$96:$C$101,0),2),0)+paramACVGrowthStack</f>
        <v>0</v>
      </c>
      <c r="H1378" s="425">
        <f>IF(calcProductTimeline&lt;=$Q1378,INDEX(datatblStackFocusImpact,MATCH(decProductStackFocus,Data!$C$96:$C$101,0),2),0)+paramACVGrowthStack</f>
        <v>0</v>
      </c>
      <c r="I1378" s="425">
        <f>IF(calcProductTimeline&lt;=$Q1378,INDEX(datatblStackFocusImpact,MATCH(decProductStackFocus,Data!$C$96:$C$101,0),2),0)+paramACVGrowthStack</f>
        <v>0</v>
      </c>
      <c r="J1378" s="425">
        <f>IF(calcProductTimeline&lt;=$Q1378,INDEX(datatblStackFocusImpact,MATCH(decProductStackFocus,Data!$C$96:$C$101,0),2),0)+paramACVGrowthStack</f>
        <v>0</v>
      </c>
      <c r="K1378" s="425">
        <f>IF(calcProductTimeline&lt;=$Q1378,INDEX(datatblStackFocusImpact,MATCH(decProductStackFocus,Data!$C$96:$C$101,0),2),0)+paramACVGrowthStack</f>
        <v>0</v>
      </c>
      <c r="L1378" s="425">
        <f>IF(calcProductTimeline&lt;=$Q1378,INDEX(datatblStackFocusImpact,MATCH(decProductStackFocus,Data!$C$96:$C$101,0),2),0)+paramACVGrowthStack</f>
        <v>0</v>
      </c>
      <c r="M1378" s="425">
        <f>IF(calcProductTimeline&lt;=$Q1378,INDEX(datatblStackFocusImpact,MATCH(decProductStackFocus,Data!$C$96:$C$101,0),2),0)+paramACVGrowthStack</f>
        <v>0</v>
      </c>
      <c r="N1378" s="425">
        <f>IF(calcProductTimeline&lt;=$Q1378,INDEX(datatblStackFocusImpact,MATCH(decProductStackFocus,Data!$C$96:$C$101,0),2),0)+paramACVGrowthStack</f>
        <v>0</v>
      </c>
      <c r="Q1378" s="69">
        <f>Q1377</f>
        <v>24</v>
      </c>
    </row>
    <row r="1379" spans="1:18">
      <c r="D1379" s="69" t="s">
        <v>2237</v>
      </c>
      <c r="E1379" s="425">
        <f>IF(calcExternalSalesTimeline&lt;=$Q1379,INDEX(datatblExternalSalesImpact,MATCH(decGTMExternalSales,Data!$C$85:$C$90,0),2),0)</f>
        <v>0</v>
      </c>
      <c r="F1379" s="425">
        <f>IF(calcExternalSalesTimeline&lt;=$Q1379,INDEX(datatblExternalSalesImpact,MATCH(decGTMExternalSales,Data!$C$85:$C$90,0),2),0)</f>
        <v>0</v>
      </c>
      <c r="G1379" s="425">
        <f>IF(calcExternalSalesTimeline&lt;=$Q1379,INDEX(datatblExternalSalesImpact,MATCH(decGTMExternalSales,Data!$C$85:$C$90,0),2),0)</f>
        <v>0</v>
      </c>
      <c r="H1379" s="425">
        <f>IF(calcExternalSalesTimeline&lt;=$Q1379,INDEX(datatblExternalSalesImpact,MATCH(decGTMExternalSales,Data!$C$85:$C$90,0),2),0)</f>
        <v>0</v>
      </c>
      <c r="I1379" s="425">
        <f>IF(calcExternalSalesTimeline&lt;=$Q1379,INDEX(datatblExternalSalesImpact,MATCH(decGTMExternalSales,Data!$C$85:$C$90,0),2),0)</f>
        <v>0</v>
      </c>
      <c r="J1379" s="425">
        <f>IF(calcExternalSalesTimeline&lt;=$Q1379,INDEX(datatblExternalSalesImpact,MATCH(decGTMExternalSales,Data!$C$85:$C$90,0),2),0)</f>
        <v>0</v>
      </c>
      <c r="K1379" s="425">
        <f>IF(calcExternalSalesTimeline&lt;=$Q1379,INDEX(datatblExternalSalesImpact,MATCH(decGTMExternalSales,Data!$C$85:$C$90,0),2),0)</f>
        <v>0</v>
      </c>
      <c r="L1379" s="425">
        <f>IF(calcExternalSalesTimeline&lt;=$Q1379,INDEX(datatblExternalSalesImpact,MATCH(decGTMExternalSales,Data!$C$85:$C$90,0),2),0)</f>
        <v>0</v>
      </c>
      <c r="M1379" s="425">
        <f>IF(calcExternalSalesTimeline&lt;=$Q1379,INDEX(datatblExternalSalesImpact,MATCH(decGTMExternalSales,Data!$C$85:$C$90,0),2),0)</f>
        <v>0</v>
      </c>
      <c r="N1379" s="425">
        <f>IF(calcExternalSalesTimeline&lt;=$Q1379,INDEX(datatblExternalSalesImpact,MATCH(decGTMExternalSales,Data!$C$85:$C$90,0),2),0)</f>
        <v>0</v>
      </c>
      <c r="O1379" s="482">
        <v>0.05</v>
      </c>
      <c r="P1379" s="482">
        <v>-0.05</v>
      </c>
      <c r="Q1379" s="69">
        <f>Q1378</f>
        <v>24</v>
      </c>
    </row>
    <row r="1380" spans="1:18">
      <c r="D1380" s="69" t="s">
        <v>2284</v>
      </c>
      <c r="E1380" s="425">
        <f>IF(calcCSGTimeline&lt;=$Q1380,INDEX(datatblCSGPostSales,MATCH(decGTMCSGPostSales,Data!$C$204:$C$209,0),3),0)</f>
        <v>0</v>
      </c>
      <c r="F1380" s="425">
        <f>IF(calcCSGTimeline&lt;=$Q1380,INDEX(datatblCSGPostSales,MATCH(decGTMCSGPostSales,Data!$C$204:$C$209,0),3),0)</f>
        <v>0</v>
      </c>
      <c r="G1380" s="425">
        <f>IF(calcCSGTimeline&lt;=$Q1380,INDEX(datatblCSGPostSales,MATCH(decGTMCSGPostSales,Data!$C$204:$C$209,0),3),0)</f>
        <v>0</v>
      </c>
      <c r="H1380" s="425">
        <f>IF(calcCSGTimeline&lt;=$Q1380,INDEX(datatblCSGPostSales,MATCH(decGTMCSGPostSales,Data!$C$204:$C$209,0),3),0)</f>
        <v>0</v>
      </c>
      <c r="I1380" s="425">
        <f>IF(calcCSGTimeline&lt;=$Q1380,INDEX(datatblCSGPostSales,MATCH(decGTMCSGPostSales,Data!$C$204:$C$209,0),3),0)</f>
        <v>0</v>
      </c>
      <c r="J1380" s="425">
        <f>IF(calcCSGTimeline&lt;=$Q1380,INDEX(datatblCSGPostSales,MATCH(decGTMCSGPostSales,Data!$C$204:$C$209,0),3),0)</f>
        <v>0</v>
      </c>
      <c r="K1380" s="425">
        <f>IF(calcCSGTimeline&lt;=$Q1380,INDEX(datatblCSGPostSales,MATCH(decGTMCSGPostSales,Data!$C$204:$C$209,0),3),0)</f>
        <v>0</v>
      </c>
      <c r="L1380" s="425">
        <f>IF(calcCSGTimeline&lt;=$Q1380,INDEX(datatblCSGPostSales,MATCH(decGTMCSGPostSales,Data!$C$204:$C$209,0),3),0)</f>
        <v>0</v>
      </c>
      <c r="M1380" s="425">
        <f>IF(calcCSGTimeline&lt;=$Q1380,INDEX(datatblCSGPostSales,MATCH(decGTMCSGPostSales,Data!$C$204:$C$209,0),3),0)</f>
        <v>0</v>
      </c>
      <c r="N1380" s="425">
        <f>IF(calcCSGTimeline&lt;=$Q1380,INDEX(datatblCSGPostSales,MATCH(decGTMCSGPostSales,Data!$C$204:$C$209,0),3),0)</f>
        <v>0</v>
      </c>
      <c r="O1380" s="482"/>
      <c r="P1380" s="482"/>
      <c r="Q1380" s="69">
        <f>Q1379</f>
        <v>24</v>
      </c>
    </row>
    <row r="1381" spans="1:18">
      <c r="D1381" s="69" t="s">
        <v>3079</v>
      </c>
      <c r="E1381" s="425">
        <f>IF(calcBrandIntegrationTimeline&lt;=$Q1381,INDEX(datatblBrandIntegration,MATCH(decGTMBrandIntegration,Data!$C$220:$C$226,0),3),0)</f>
        <v>0</v>
      </c>
      <c r="F1381" s="425">
        <f>IF(calcBrandIntegrationTimeline&lt;=$Q1381,INDEX(datatblBrandIntegration,MATCH(decGTMBrandIntegration,Data!$C$220:$C$226,0),3),0)</f>
        <v>0</v>
      </c>
      <c r="G1381" s="425">
        <f>IF(calcBrandIntegrationTimeline&lt;=$Q1381,INDEX(datatblBrandIntegration,MATCH(decGTMBrandIntegration,Data!$C$220:$C$226,0),3),0)</f>
        <v>0</v>
      </c>
      <c r="H1381" s="425">
        <f>IF(calcBrandIntegrationTimeline&lt;=$Q1381,INDEX(datatblBrandIntegration,MATCH(decGTMBrandIntegration,Data!$C$220:$C$226,0),3),0)</f>
        <v>0</v>
      </c>
      <c r="I1381" s="425">
        <f>IF(calcBrandIntegrationTimeline&lt;=$Q1381,INDEX(datatblBrandIntegration,MATCH(decGTMBrandIntegration,Data!$C$220:$C$226,0),3),0)</f>
        <v>0</v>
      </c>
      <c r="J1381" s="425">
        <f>IF(calcBrandIntegrationTimeline&lt;=$Q1381,INDEX(datatblBrandIntegration,MATCH(decGTMBrandIntegration,Data!$C$220:$C$226,0),3),0)</f>
        <v>0</v>
      </c>
      <c r="K1381" s="425">
        <f>IF(calcBrandIntegrationTimeline&lt;=$Q1381,INDEX(datatblBrandIntegration,MATCH(decGTMBrandIntegration,Data!$C$220:$C$226,0),3),0)</f>
        <v>0</v>
      </c>
      <c r="L1381" s="425">
        <f>IF(calcBrandIntegrationTimeline&lt;=$Q1381,INDEX(datatblBrandIntegration,MATCH(decGTMBrandIntegration,Data!$C$220:$C$226,0),3),0)</f>
        <v>0</v>
      </c>
      <c r="M1381" s="425">
        <f>IF(calcBrandIntegrationTimeline&lt;=$Q1381,INDEX(datatblBrandIntegration,MATCH(decGTMBrandIntegration,Data!$C$220:$C$226,0),3),0)</f>
        <v>0</v>
      </c>
      <c r="N1381" s="425">
        <f>IF(calcBrandIntegrationTimeline&lt;=$Q1381,INDEX(datatblBrandIntegration,MATCH(decGTMBrandIntegration,Data!$C$220:$C$226,0),3),0)</f>
        <v>0</v>
      </c>
      <c r="O1381" s="482"/>
      <c r="P1381" s="482"/>
      <c r="Q1381" s="69">
        <f>Q1380</f>
        <v>24</v>
      </c>
    </row>
    <row r="1382" spans="1:18">
      <c r="D1382" s="69" t="s">
        <v>2277</v>
      </c>
      <c r="E1382" s="425">
        <f>IF(decGTMOrg62Timeline="choose",0,IF(E1377=0,INDEX(datatblLeadPass,MATCH(decGTMLeadPass,Data!$C$212:$C$217,0),3),0))</f>
        <v>0</v>
      </c>
      <c r="F1382" s="425">
        <f>IF(decGTMOrg62Timeline="choose",0,IF(F1377=0,INDEX(datatblLeadPass,MATCH(decGTMLeadPass,Data!$C$212:$C$217,0),3),0))</f>
        <v>0</v>
      </c>
      <c r="G1382" s="425">
        <f>IF(decGTMOrg62Timeline="choose",0,IF(G1377=0,INDEX(datatblLeadPass,MATCH(decGTMLeadPass,Data!$C$212:$C$217,0),3),0))</f>
        <v>0</v>
      </c>
      <c r="H1382" s="425">
        <f>IF(decGTMOrg62Timeline="choose",0,IF(H1377=0,INDEX(datatblLeadPass,MATCH(decGTMLeadPass,Data!$C$212:$C$217,0),3),0))</f>
        <v>0</v>
      </c>
      <c r="I1382" s="425">
        <f>IF(decGTMOrg62Timeline="choose",0,IF(I1377=0,INDEX(datatblLeadPass,MATCH(decGTMLeadPass,Data!$C$212:$C$217,0),3),0))</f>
        <v>0</v>
      </c>
      <c r="J1382" s="425">
        <f>IF(decGTMOrg62Timeline="choose",0,IF(J1377=0,INDEX(datatblLeadPass,MATCH(decGTMLeadPass,Data!$C$212:$C$217,0),3),0))</f>
        <v>0</v>
      </c>
      <c r="K1382" s="425">
        <f>IF(decGTMOrg62Timeline="choose",0,IF(K1377=0,INDEX(datatblLeadPass,MATCH(decGTMLeadPass,Data!$C$212:$C$217,0),3),0))</f>
        <v>0</v>
      </c>
      <c r="L1382" s="425">
        <f>IF(decGTMOrg62Timeline="choose",0,IF(L1377=0,INDEX(datatblLeadPass,MATCH(decGTMLeadPass,Data!$C$212:$C$217,0),3),0))</f>
        <v>0</v>
      </c>
      <c r="M1382" s="425">
        <f>IF(decGTMOrg62Timeline="choose",0,IF(M1377=0,INDEX(datatblLeadPass,MATCH(decGTMLeadPass,Data!$C$212:$C$217,0),3),0))</f>
        <v>0</v>
      </c>
      <c r="N1382" s="425">
        <f>IF(decGTMOrg62Timeline="choose",0,IF(N1377=0,INDEX(datatblLeadPass,MATCH(decGTMLeadPass,Data!$C$212:$C$217,0),3),0))</f>
        <v>0</v>
      </c>
      <c r="O1382" s="482"/>
      <c r="P1382" s="482"/>
    </row>
    <row r="1383" spans="1:18">
      <c r="D1383" s="69" t="s">
        <v>1032</v>
      </c>
      <c r="E1383" s="425">
        <f>IF(decSecurityProductRestrictions="Yes",$Q1383,IF(decSecurityProductRestrictions="No",$R1383,$S1383))</f>
        <v>0</v>
      </c>
      <c r="F1383" s="425">
        <f t="shared" ref="F1383:N1383" si="745">IF(decSecurityProductRestrictions="Yes",$Q1383,IF(decSecurityProductRestrictions="No",$R1383,$S1383))</f>
        <v>0</v>
      </c>
      <c r="G1383" s="425">
        <f t="shared" si="745"/>
        <v>0</v>
      </c>
      <c r="H1383" s="425">
        <f t="shared" si="745"/>
        <v>0</v>
      </c>
      <c r="I1383" s="425">
        <f t="shared" si="745"/>
        <v>0</v>
      </c>
      <c r="J1383" s="425">
        <f t="shared" si="745"/>
        <v>0</v>
      </c>
      <c r="K1383" s="425">
        <f t="shared" si="745"/>
        <v>0</v>
      </c>
      <c r="L1383" s="425">
        <f t="shared" si="745"/>
        <v>0</v>
      </c>
      <c r="M1383" s="425">
        <f t="shared" si="745"/>
        <v>0</v>
      </c>
      <c r="N1383" s="425">
        <f t="shared" si="745"/>
        <v>0</v>
      </c>
      <c r="Q1383" s="482">
        <f>xxProductRestrictionACVHit</f>
        <v>-0.02</v>
      </c>
      <c r="R1383" s="482">
        <f>xxProductRestrictionACVIncrease</f>
        <v>0.02</v>
      </c>
    </row>
    <row r="1384" spans="1:18" s="217" customFormat="1">
      <c r="D1384" s="217" t="s">
        <v>1758</v>
      </c>
      <c r="E1384" s="411">
        <f t="shared" ref="E1384:N1384" si="746">SUM(E1377:E1383)+paramACVGrowthBaseline</f>
        <v>0</v>
      </c>
      <c r="F1384" s="411">
        <f t="shared" si="746"/>
        <v>0</v>
      </c>
      <c r="G1384" s="411">
        <f t="shared" si="746"/>
        <v>0</v>
      </c>
      <c r="H1384" s="411">
        <f t="shared" si="746"/>
        <v>0</v>
      </c>
      <c r="I1384" s="411">
        <f t="shared" si="746"/>
        <v>0</v>
      </c>
      <c r="J1384" s="411">
        <f t="shared" si="746"/>
        <v>0</v>
      </c>
      <c r="K1384" s="411">
        <f t="shared" si="746"/>
        <v>0</v>
      </c>
      <c r="L1384" s="411">
        <f t="shared" si="746"/>
        <v>0</v>
      </c>
      <c r="M1384" s="411">
        <f t="shared" si="746"/>
        <v>0</v>
      </c>
      <c r="N1384" s="411">
        <f t="shared" si="746"/>
        <v>0</v>
      </c>
      <c r="O1384" s="217" t="s">
        <v>2585</v>
      </c>
    </row>
    <row r="1385" spans="1:18" s="217" customFormat="1">
      <c r="E1385" s="411"/>
      <c r="F1385" s="411"/>
      <c r="G1385" s="411"/>
      <c r="H1385" s="411"/>
      <c r="I1385" s="411"/>
      <c r="J1385" s="411"/>
      <c r="K1385" s="411"/>
      <c r="L1385" s="411"/>
      <c r="M1385" s="411"/>
      <c r="N1385" s="411"/>
    </row>
    <row r="1386" spans="1:18" s="217" customFormat="1">
      <c r="A1386" s="217">
        <v>1</v>
      </c>
      <c r="B1386" s="10" t="s">
        <v>1735</v>
      </c>
      <c r="C1386" s="11" t="s">
        <v>899</v>
      </c>
      <c r="D1386" s="217">
        <f>IF(A1386=B1371,"New Revenue Adjustments",IF(AND(C1386=D1371,A1386&lt;B1371),"Attrition Necessary",0))</f>
        <v>0</v>
      </c>
      <c r="E1386" s="522">
        <f t="shared" ref="E1386:E1417" si="747">IF($B$1371&gt;$A1386,INDEX(calcY3Q2RevFlow,$A1386,calcTeamNum)*(IF($D1386="Attrition Necessary",1-calcQ2AttritionDifference,1)*(IF($D1386="New Revenue Adjustments",1+calcY3Q3RevenueAdjustment,1))),INDEX(dataY3Q3Rev,$A1386,)*(IF($D1386="Attrition Necessary",1-calcQ2AttritionDifference,1))*(IF($D1386="New Revenue Adjustments",1+calcY3Q3RevenueAdjustment,1)))</f>
        <v>923563.84528244205</v>
      </c>
      <c r="F1386" s="522">
        <f t="shared" ref="F1386:N1395" si="748">IF($B$1371&gt;$A1386,INDEX(calcY3Q2RevFlow,$A1386,calcTeamNum)*(IF($D1386="Attrition Necessary",1-calcQ2AttritionDifference,1)*(IF($D1386="New Revenue Adjustments",1+calcY3Q3RevenueAdjustment,1))),INDEX(dataY3Q3Rev,$A1386,)*(IF($D1386="Attrition Necessary",1-calcQ2AttritionDifference,1))*(IF($D1386="New Revenue Adjustments",1+calcY3Q3RevenueAdjustment,1)))</f>
        <v>923563.84528244205</v>
      </c>
      <c r="G1386" s="522">
        <f t="shared" si="748"/>
        <v>923563.84528244205</v>
      </c>
      <c r="H1386" s="522">
        <f t="shared" si="748"/>
        <v>923563.84528244205</v>
      </c>
      <c r="I1386" s="522">
        <f t="shared" si="748"/>
        <v>923563.84528244205</v>
      </c>
      <c r="J1386" s="522">
        <f t="shared" si="748"/>
        <v>923563.84528244205</v>
      </c>
      <c r="K1386" s="522">
        <f t="shared" si="748"/>
        <v>923563.84528244205</v>
      </c>
      <c r="L1386" s="522">
        <f t="shared" si="748"/>
        <v>923563.84528244205</v>
      </c>
      <c r="M1386" s="522">
        <f t="shared" si="748"/>
        <v>923563.84528244205</v>
      </c>
      <c r="N1386" s="522">
        <f t="shared" si="748"/>
        <v>923563.84528244205</v>
      </c>
      <c r="O1386" s="410" t="s">
        <v>2586</v>
      </c>
    </row>
    <row r="1387" spans="1:18" s="217" customFormat="1">
      <c r="A1387" s="217">
        <v>2</v>
      </c>
      <c r="B1387" s="10" t="s">
        <v>1735</v>
      </c>
      <c r="C1387" s="11" t="s">
        <v>900</v>
      </c>
      <c r="D1387" s="217">
        <f>IF(A1387=B1371,"New Revenue Adjustments",IF(AND(C1387=D1371,A1387&lt;B1371),"Attrition Necessary",0))</f>
        <v>0</v>
      </c>
      <c r="E1387" s="522">
        <f t="shared" si="747"/>
        <v>1629818.5504984274</v>
      </c>
      <c r="F1387" s="522">
        <f t="shared" si="748"/>
        <v>1629818.5504984274</v>
      </c>
      <c r="G1387" s="522">
        <f t="shared" si="748"/>
        <v>1629818.5504984274</v>
      </c>
      <c r="H1387" s="522">
        <f t="shared" si="748"/>
        <v>1629818.5504984274</v>
      </c>
      <c r="I1387" s="522">
        <f t="shared" si="748"/>
        <v>1629818.5504984274</v>
      </c>
      <c r="J1387" s="522">
        <f t="shared" si="748"/>
        <v>1629818.5504984274</v>
      </c>
      <c r="K1387" s="522">
        <f t="shared" si="748"/>
        <v>1629818.5504984274</v>
      </c>
      <c r="L1387" s="522">
        <f t="shared" si="748"/>
        <v>1629818.5504984274</v>
      </c>
      <c r="M1387" s="522">
        <f t="shared" si="748"/>
        <v>1629818.5504984274</v>
      </c>
      <c r="N1387" s="522">
        <f t="shared" si="748"/>
        <v>1629818.5504984274</v>
      </c>
      <c r="O1387" s="410" t="s">
        <v>2587</v>
      </c>
    </row>
    <row r="1388" spans="1:18" s="217" customFormat="1">
      <c r="A1388" s="217">
        <v>3</v>
      </c>
      <c r="B1388" s="10" t="s">
        <v>1735</v>
      </c>
      <c r="C1388" s="11" t="s">
        <v>901</v>
      </c>
      <c r="D1388" s="217" t="str">
        <f>IF(A1388=B1371,"New Revenue Adjustments",IF(AND(C1388=D1371,A1388&lt;B1371),"Attrition Necessary",0))</f>
        <v>Attrition Necessary</v>
      </c>
      <c r="E1388" s="522">
        <f t="shared" si="747"/>
        <v>2173091.4006645698</v>
      </c>
      <c r="F1388" s="522">
        <f t="shared" si="748"/>
        <v>2173091.4006645698</v>
      </c>
      <c r="G1388" s="522">
        <f t="shared" si="748"/>
        <v>2173091.4006645698</v>
      </c>
      <c r="H1388" s="522">
        <f t="shared" si="748"/>
        <v>2173091.4006645698</v>
      </c>
      <c r="I1388" s="522">
        <f t="shared" si="748"/>
        <v>2173091.4006645698</v>
      </c>
      <c r="J1388" s="522">
        <f t="shared" si="748"/>
        <v>2173091.4006645698</v>
      </c>
      <c r="K1388" s="522">
        <f t="shared" si="748"/>
        <v>2173091.4006645698</v>
      </c>
      <c r="L1388" s="522">
        <f t="shared" si="748"/>
        <v>2173091.4006645698</v>
      </c>
      <c r="M1388" s="522">
        <f t="shared" si="748"/>
        <v>2173091.4006645698</v>
      </c>
      <c r="N1388" s="522">
        <f t="shared" si="748"/>
        <v>2173091.4006645698</v>
      </c>
      <c r="O1388" s="410" t="s">
        <v>2588</v>
      </c>
    </row>
    <row r="1389" spans="1:18" s="217" customFormat="1">
      <c r="A1389" s="217">
        <v>4</v>
      </c>
      <c r="B1389" s="10" t="s">
        <v>1735</v>
      </c>
      <c r="C1389" s="11" t="s">
        <v>902</v>
      </c>
      <c r="D1389" s="217">
        <f>IF(A1389=B1371,"New Revenue Adjustments",IF(AND(C1389=D1371,A1389&lt;B1371),"Attrition Necessary",0))</f>
        <v>0</v>
      </c>
      <c r="E1389" s="522">
        <f t="shared" si="747"/>
        <v>2710812.0646806685</v>
      </c>
      <c r="F1389" s="522">
        <f t="shared" si="748"/>
        <v>2710812.0646806685</v>
      </c>
      <c r="G1389" s="522">
        <f t="shared" si="748"/>
        <v>2710812.0646806685</v>
      </c>
      <c r="H1389" s="522">
        <f t="shared" si="748"/>
        <v>2710812.0646806685</v>
      </c>
      <c r="I1389" s="522">
        <f t="shared" si="748"/>
        <v>2710812.0646806685</v>
      </c>
      <c r="J1389" s="522">
        <f t="shared" si="748"/>
        <v>2710812.0646806685</v>
      </c>
      <c r="K1389" s="522">
        <f t="shared" si="748"/>
        <v>2710812.0646806685</v>
      </c>
      <c r="L1389" s="522">
        <f t="shared" si="748"/>
        <v>2710812.0646806685</v>
      </c>
      <c r="M1389" s="522">
        <f t="shared" si="748"/>
        <v>2710812.0646806685</v>
      </c>
      <c r="N1389" s="522">
        <f t="shared" si="748"/>
        <v>2710812.0646806685</v>
      </c>
      <c r="O1389" s="410" t="s">
        <v>2589</v>
      </c>
    </row>
    <row r="1390" spans="1:18" s="217" customFormat="1">
      <c r="A1390" s="217">
        <v>5</v>
      </c>
      <c r="B1390" s="10" t="s">
        <v>1729</v>
      </c>
      <c r="C1390" s="11" t="s">
        <v>899</v>
      </c>
      <c r="D1390" s="217">
        <f>IF(A1390=B1371,"New Revenue Adjustments",IF(AND(C1390=D1371,A1390&lt;B1371),"Attrition Necessary",0))</f>
        <v>0</v>
      </c>
      <c r="E1390" s="522">
        <f t="shared" si="747"/>
        <v>1086545.7003322849</v>
      </c>
      <c r="F1390" s="522">
        <f t="shared" si="748"/>
        <v>1086545.7003322849</v>
      </c>
      <c r="G1390" s="522">
        <f t="shared" si="748"/>
        <v>1086545.7003322849</v>
      </c>
      <c r="H1390" s="522">
        <f t="shared" si="748"/>
        <v>1086545.7003322849</v>
      </c>
      <c r="I1390" s="522">
        <f t="shared" si="748"/>
        <v>1086545.7003322849</v>
      </c>
      <c r="J1390" s="522">
        <f t="shared" si="748"/>
        <v>1086545.7003322849</v>
      </c>
      <c r="K1390" s="522">
        <f t="shared" si="748"/>
        <v>1086545.7003322849</v>
      </c>
      <c r="L1390" s="522">
        <f t="shared" si="748"/>
        <v>1086545.7003322849</v>
      </c>
      <c r="M1390" s="522">
        <f t="shared" si="748"/>
        <v>1086545.7003322849</v>
      </c>
      <c r="N1390" s="522">
        <f t="shared" si="748"/>
        <v>1086545.7003322849</v>
      </c>
      <c r="O1390" s="410" t="s">
        <v>2590</v>
      </c>
    </row>
    <row r="1391" spans="1:18" s="217" customFormat="1">
      <c r="A1391" s="217">
        <v>6</v>
      </c>
      <c r="B1391" s="10" t="s">
        <v>1729</v>
      </c>
      <c r="C1391" s="11" t="s">
        <v>900</v>
      </c>
      <c r="D1391" s="217">
        <f>IF(A1391=B1371,"New Revenue Adjustments",IF(AND(C1391=D1371,A1391&lt;B1371),"Attrition Necessary",0))</f>
        <v>0</v>
      </c>
      <c r="E1391" s="522">
        <f t="shared" si="747"/>
        <v>1565138.2263353716</v>
      </c>
      <c r="F1391" s="522">
        <f t="shared" si="748"/>
        <v>1565138.2263353716</v>
      </c>
      <c r="G1391" s="522">
        <f t="shared" si="748"/>
        <v>1565138.2263353716</v>
      </c>
      <c r="H1391" s="522">
        <f t="shared" si="748"/>
        <v>1565138.2263353716</v>
      </c>
      <c r="I1391" s="522">
        <f t="shared" si="748"/>
        <v>1565138.2263353716</v>
      </c>
      <c r="J1391" s="522">
        <f t="shared" si="748"/>
        <v>1565138.2263353716</v>
      </c>
      <c r="K1391" s="522">
        <f t="shared" si="748"/>
        <v>1565138.2263353716</v>
      </c>
      <c r="L1391" s="522">
        <f t="shared" si="748"/>
        <v>1565138.2263353716</v>
      </c>
      <c r="M1391" s="522">
        <f t="shared" si="748"/>
        <v>1565138.2263353716</v>
      </c>
      <c r="N1391" s="522">
        <f t="shared" si="748"/>
        <v>1565138.2263353716</v>
      </c>
      <c r="O1391" s="410" t="s">
        <v>2591</v>
      </c>
    </row>
    <row r="1392" spans="1:18" s="217" customFormat="1">
      <c r="A1392" s="217">
        <v>7</v>
      </c>
      <c r="B1392" s="10" t="s">
        <v>1729</v>
      </c>
      <c r="C1392" s="11" t="s">
        <v>901</v>
      </c>
      <c r="D1392" s="217" t="str">
        <f>IF(A1392=B1371,"New Revenue Adjustments",IF(AND(C1392=D1371,A1392&lt;B1371),"Attrition Necessary",0))</f>
        <v>Attrition Necessary</v>
      </c>
      <c r="E1392" s="522">
        <f t="shared" si="747"/>
        <v>2418849.9861546657</v>
      </c>
      <c r="F1392" s="522">
        <f t="shared" si="748"/>
        <v>2418849.9861546657</v>
      </c>
      <c r="G1392" s="522">
        <f t="shared" si="748"/>
        <v>2418849.9861546657</v>
      </c>
      <c r="H1392" s="522">
        <f t="shared" si="748"/>
        <v>2418849.9861546657</v>
      </c>
      <c r="I1392" s="522">
        <f t="shared" si="748"/>
        <v>2418849.9861546657</v>
      </c>
      <c r="J1392" s="522">
        <f t="shared" si="748"/>
        <v>2418849.9861546657</v>
      </c>
      <c r="K1392" s="522">
        <f t="shared" si="748"/>
        <v>2418849.9861546657</v>
      </c>
      <c r="L1392" s="522">
        <f t="shared" si="748"/>
        <v>2418849.9861546657</v>
      </c>
      <c r="M1392" s="522">
        <f t="shared" si="748"/>
        <v>2418849.9861546657</v>
      </c>
      <c r="N1392" s="522">
        <f t="shared" si="748"/>
        <v>2418849.9861546657</v>
      </c>
      <c r="O1392" s="410" t="s">
        <v>2592</v>
      </c>
    </row>
    <row r="1393" spans="1:15" s="217" customFormat="1">
      <c r="A1393" s="217">
        <v>8</v>
      </c>
      <c r="B1393" s="10" t="s">
        <v>1729</v>
      </c>
      <c r="C1393" s="11" t="s">
        <v>902</v>
      </c>
      <c r="D1393" s="217">
        <f>IF(A1393=B1371,"New Revenue Adjustments",IF(AND(C1393=D1371,A1393&lt;B1371),"Attrition Necessary",0))</f>
        <v>0</v>
      </c>
      <c r="E1393" s="522">
        <f t="shared" si="747"/>
        <v>3549861.6357786688</v>
      </c>
      <c r="F1393" s="522">
        <f t="shared" si="748"/>
        <v>3549861.6357786688</v>
      </c>
      <c r="G1393" s="522">
        <f t="shared" si="748"/>
        <v>3549861.6357786688</v>
      </c>
      <c r="H1393" s="522">
        <f t="shared" si="748"/>
        <v>3549861.6357786688</v>
      </c>
      <c r="I1393" s="522">
        <f t="shared" si="748"/>
        <v>3549861.6357786688</v>
      </c>
      <c r="J1393" s="522">
        <f t="shared" si="748"/>
        <v>3549861.6357786688</v>
      </c>
      <c r="K1393" s="522">
        <f t="shared" si="748"/>
        <v>3549861.6357786688</v>
      </c>
      <c r="L1393" s="522">
        <f t="shared" si="748"/>
        <v>3549861.6357786688</v>
      </c>
      <c r="M1393" s="522">
        <f t="shared" si="748"/>
        <v>3549861.6357786688</v>
      </c>
      <c r="N1393" s="522">
        <f t="shared" si="748"/>
        <v>3549861.6357786688</v>
      </c>
      <c r="O1393" s="410" t="s">
        <v>2593</v>
      </c>
    </row>
    <row r="1394" spans="1:15" s="217" customFormat="1">
      <c r="A1394" s="217">
        <v>9</v>
      </c>
      <c r="B1394" s="10" t="s">
        <v>405</v>
      </c>
      <c r="C1394" s="11" t="s">
        <v>899</v>
      </c>
      <c r="D1394" s="217">
        <f>IF(A1394=B1371,"New Revenue Adjustments",IF(AND(C1394=D1371,A1394&lt;B1371),"Attrition Necessary",0))</f>
        <v>0</v>
      </c>
      <c r="E1394" s="522">
        <f t="shared" si="747"/>
        <v>1600709.5496611758</v>
      </c>
      <c r="F1394" s="522">
        <f t="shared" si="748"/>
        <v>1600709.5496611758</v>
      </c>
      <c r="G1394" s="522">
        <f t="shared" si="748"/>
        <v>1600709.5496611758</v>
      </c>
      <c r="H1394" s="522">
        <f t="shared" si="748"/>
        <v>1600709.5496611758</v>
      </c>
      <c r="I1394" s="522">
        <f t="shared" si="748"/>
        <v>1600709.5496611758</v>
      </c>
      <c r="J1394" s="522">
        <f t="shared" si="748"/>
        <v>1600709.5496611758</v>
      </c>
      <c r="K1394" s="522">
        <f t="shared" si="748"/>
        <v>1600709.5496611758</v>
      </c>
      <c r="L1394" s="522">
        <f t="shared" si="748"/>
        <v>1600709.5496611758</v>
      </c>
      <c r="M1394" s="522">
        <f t="shared" si="748"/>
        <v>1600709.5496611758</v>
      </c>
      <c r="N1394" s="522">
        <f t="shared" si="748"/>
        <v>1600709.5496611758</v>
      </c>
      <c r="O1394" s="410" t="s">
        <v>2594</v>
      </c>
    </row>
    <row r="1395" spans="1:15" s="217" customFormat="1">
      <c r="A1395" s="217">
        <v>10</v>
      </c>
      <c r="B1395" s="10" t="s">
        <v>405</v>
      </c>
      <c r="C1395" s="11" t="s">
        <v>900</v>
      </c>
      <c r="D1395" s="217">
        <f>IF(A1395=B1371,"New Revenue Adjustments",IF(AND(C1395=D1371,A1395&lt;B1371),"Attrition Necessary",0))</f>
        <v>0</v>
      </c>
      <c r="E1395" s="522">
        <f t="shared" si="747"/>
        <v>2305776.6504148049</v>
      </c>
      <c r="F1395" s="522">
        <f t="shared" si="748"/>
        <v>2305776.6504148049</v>
      </c>
      <c r="G1395" s="522">
        <f t="shared" si="748"/>
        <v>2305776.6504148049</v>
      </c>
      <c r="H1395" s="522">
        <f t="shared" si="748"/>
        <v>2305776.6504148049</v>
      </c>
      <c r="I1395" s="522">
        <f t="shared" si="748"/>
        <v>2305776.6504148049</v>
      </c>
      <c r="J1395" s="522">
        <f t="shared" si="748"/>
        <v>2305776.6504148049</v>
      </c>
      <c r="K1395" s="522">
        <f t="shared" si="748"/>
        <v>2305776.6504148049</v>
      </c>
      <c r="L1395" s="522">
        <f t="shared" si="748"/>
        <v>2305776.6504148049</v>
      </c>
      <c r="M1395" s="522">
        <f t="shared" si="748"/>
        <v>2305776.6504148049</v>
      </c>
      <c r="N1395" s="522">
        <f t="shared" si="748"/>
        <v>2305776.6504148049</v>
      </c>
      <c r="O1395" s="410" t="s">
        <v>2595</v>
      </c>
    </row>
    <row r="1396" spans="1:15" s="217" customFormat="1">
      <c r="A1396" s="217">
        <v>11</v>
      </c>
      <c r="B1396" s="10" t="s">
        <v>405</v>
      </c>
      <c r="C1396" s="11" t="s">
        <v>901</v>
      </c>
      <c r="D1396" s="217" t="str">
        <f>IF(A1396=B1371,"New Revenue Adjustments",IF(AND(C1396=D1371,A1396&lt;B1371),"Attrition Necessary",0))</f>
        <v>Attrition Necessary</v>
      </c>
      <c r="E1396" s="522">
        <f t="shared" si="747"/>
        <v>3563473.0051865173</v>
      </c>
      <c r="F1396" s="522">
        <f t="shared" ref="F1396:N1405" si="749">IF($B$1371&gt;$A1396,INDEX(calcY3Q2RevFlow,$A1396,calcTeamNum)*(IF($D1396="Attrition Necessary",1-calcQ2AttritionDifference,1)*(IF($D1396="New Revenue Adjustments",1+calcY3Q3RevenueAdjustment,1))),INDEX(dataY3Q3Rev,$A1396,)*(IF($D1396="Attrition Necessary",1-calcQ2AttritionDifference,1))*(IF($D1396="New Revenue Adjustments",1+calcY3Q3RevenueAdjustment,1)))</f>
        <v>3563473.0051865173</v>
      </c>
      <c r="G1396" s="522">
        <f t="shared" si="749"/>
        <v>3563473.0051865173</v>
      </c>
      <c r="H1396" s="522">
        <f t="shared" si="749"/>
        <v>3563473.0051865173</v>
      </c>
      <c r="I1396" s="522">
        <f t="shared" si="749"/>
        <v>3563473.0051865173</v>
      </c>
      <c r="J1396" s="522">
        <f t="shared" si="749"/>
        <v>3563473.0051865173</v>
      </c>
      <c r="K1396" s="522">
        <f t="shared" si="749"/>
        <v>3563473.0051865173</v>
      </c>
      <c r="L1396" s="522">
        <f t="shared" si="749"/>
        <v>3563473.0051865173</v>
      </c>
      <c r="M1396" s="522">
        <f t="shared" si="749"/>
        <v>3563473.0051865173</v>
      </c>
      <c r="N1396" s="522">
        <f t="shared" si="749"/>
        <v>3563473.0051865173</v>
      </c>
      <c r="O1396" s="410" t="s">
        <v>2596</v>
      </c>
    </row>
    <row r="1397" spans="1:15" s="217" customFormat="1">
      <c r="A1397" s="217">
        <v>12</v>
      </c>
      <c r="B1397" s="10" t="s">
        <v>405</v>
      </c>
      <c r="C1397" s="11" t="s">
        <v>902</v>
      </c>
      <c r="D1397" s="217">
        <f>IF(A1397=B1371,"New Revenue Adjustments",IF(AND(C1397=D1371,A1397&lt;B1371),"Attrition Necessary",0))</f>
        <v>0</v>
      </c>
      <c r="E1397" s="522">
        <f t="shared" si="747"/>
        <v>5229690.2179346997</v>
      </c>
      <c r="F1397" s="522">
        <f t="shared" si="749"/>
        <v>5229690.2179346997</v>
      </c>
      <c r="G1397" s="522">
        <f t="shared" si="749"/>
        <v>5229690.2179346997</v>
      </c>
      <c r="H1397" s="522">
        <f t="shared" si="749"/>
        <v>5229690.2179346997</v>
      </c>
      <c r="I1397" s="522">
        <f t="shared" si="749"/>
        <v>5229690.2179346997</v>
      </c>
      <c r="J1397" s="522">
        <f t="shared" si="749"/>
        <v>5229690.2179346997</v>
      </c>
      <c r="K1397" s="522">
        <f t="shared" si="749"/>
        <v>5229690.2179346997</v>
      </c>
      <c r="L1397" s="522">
        <f t="shared" si="749"/>
        <v>5229690.2179346997</v>
      </c>
      <c r="M1397" s="522">
        <f t="shared" si="749"/>
        <v>5229690.2179346997</v>
      </c>
      <c r="N1397" s="522">
        <f t="shared" si="749"/>
        <v>5229690.2179346997</v>
      </c>
      <c r="O1397" s="410" t="s">
        <v>2597</v>
      </c>
    </row>
    <row r="1398" spans="1:15" s="217" customFormat="1">
      <c r="A1398" s="217">
        <v>13</v>
      </c>
      <c r="B1398" s="10" t="s">
        <v>1278</v>
      </c>
      <c r="C1398" s="11" t="s">
        <v>899</v>
      </c>
      <c r="D1398" s="217">
        <f>IF(A1398=B1371,"New Revenue Adjustments",IF(AND(C1398=D1371,A1398&lt;B1371),"Attrition Necessary",0))</f>
        <v>0</v>
      </c>
      <c r="E1398" s="522">
        <f t="shared" si="747"/>
        <v>2353360.598070615</v>
      </c>
      <c r="F1398" s="522">
        <f t="shared" si="749"/>
        <v>2353360.598070615</v>
      </c>
      <c r="G1398" s="522">
        <f t="shared" si="749"/>
        <v>2353360.598070615</v>
      </c>
      <c r="H1398" s="522">
        <f t="shared" si="749"/>
        <v>2353360.598070615</v>
      </c>
      <c r="I1398" s="522">
        <f t="shared" si="749"/>
        <v>2353360.598070615</v>
      </c>
      <c r="J1398" s="522">
        <f t="shared" si="749"/>
        <v>2353360.598070615</v>
      </c>
      <c r="K1398" s="522">
        <f t="shared" si="749"/>
        <v>2353360.598070615</v>
      </c>
      <c r="L1398" s="522">
        <f t="shared" si="749"/>
        <v>2353360.598070615</v>
      </c>
      <c r="M1398" s="522">
        <f t="shared" si="749"/>
        <v>2353360.598070615</v>
      </c>
      <c r="N1398" s="522">
        <f t="shared" si="749"/>
        <v>2353360.598070615</v>
      </c>
      <c r="O1398" s="410" t="s">
        <v>2598</v>
      </c>
    </row>
    <row r="1399" spans="1:15" s="217" customFormat="1">
      <c r="A1399" s="217">
        <v>14</v>
      </c>
      <c r="B1399" s="10" t="s">
        <v>1278</v>
      </c>
      <c r="C1399" s="11" t="s">
        <v>900</v>
      </c>
      <c r="D1399" s="217">
        <f>IF(A1399=B1371,"New Revenue Adjustments",IF(AND(C1399=D1371,A1399&lt;B1371),"Attrition Necessary",0))</f>
        <v>0</v>
      </c>
      <c r="E1399" s="522">
        <f t="shared" si="747"/>
        <v>2876329.6198640843</v>
      </c>
      <c r="F1399" s="522">
        <f t="shared" si="749"/>
        <v>2876329.6198640843</v>
      </c>
      <c r="G1399" s="522">
        <f t="shared" si="749"/>
        <v>2876329.6198640843</v>
      </c>
      <c r="H1399" s="522">
        <f t="shared" si="749"/>
        <v>2876329.6198640843</v>
      </c>
      <c r="I1399" s="522">
        <f t="shared" si="749"/>
        <v>2876329.6198640843</v>
      </c>
      <c r="J1399" s="522">
        <f t="shared" si="749"/>
        <v>2876329.6198640843</v>
      </c>
      <c r="K1399" s="522">
        <f t="shared" si="749"/>
        <v>2876329.6198640843</v>
      </c>
      <c r="L1399" s="522">
        <f t="shared" si="749"/>
        <v>2876329.6198640843</v>
      </c>
      <c r="M1399" s="522">
        <f t="shared" si="749"/>
        <v>2876329.6198640843</v>
      </c>
      <c r="N1399" s="522">
        <f t="shared" si="749"/>
        <v>2876329.6198640843</v>
      </c>
      <c r="O1399" s="410" t="s">
        <v>2599</v>
      </c>
    </row>
    <row r="1400" spans="1:15" s="217" customFormat="1">
      <c r="A1400" s="217">
        <v>15</v>
      </c>
      <c r="B1400" s="10" t="s">
        <v>1278</v>
      </c>
      <c r="C1400" s="11" t="s">
        <v>901</v>
      </c>
      <c r="D1400" s="217" t="str">
        <f>IF(A1400=B1371,"New Revenue Adjustments",IF(AND(C1400=D1371,A1400&lt;B1371),"Attrition Necessary",0))</f>
        <v>Attrition Necessary</v>
      </c>
      <c r="E1400" s="522">
        <f t="shared" si="747"/>
        <v>4445236.685244495</v>
      </c>
      <c r="F1400" s="522">
        <f t="shared" si="749"/>
        <v>4445236.685244495</v>
      </c>
      <c r="G1400" s="522">
        <f t="shared" si="749"/>
        <v>4445236.685244495</v>
      </c>
      <c r="H1400" s="522">
        <f t="shared" si="749"/>
        <v>4445236.685244495</v>
      </c>
      <c r="I1400" s="522">
        <f t="shared" si="749"/>
        <v>4445236.685244495</v>
      </c>
      <c r="J1400" s="522">
        <f t="shared" si="749"/>
        <v>4445236.685244495</v>
      </c>
      <c r="K1400" s="522">
        <f t="shared" si="749"/>
        <v>4445236.685244495</v>
      </c>
      <c r="L1400" s="522">
        <f t="shared" si="749"/>
        <v>4445236.685244495</v>
      </c>
      <c r="M1400" s="522">
        <f t="shared" si="749"/>
        <v>4445236.685244495</v>
      </c>
      <c r="N1400" s="522">
        <f t="shared" si="749"/>
        <v>4445236.685244495</v>
      </c>
      <c r="O1400" s="410" t="s">
        <v>2600</v>
      </c>
    </row>
    <row r="1401" spans="1:15" s="217" customFormat="1">
      <c r="A1401" s="217">
        <v>16</v>
      </c>
      <c r="B1401" s="10" t="s">
        <v>1278</v>
      </c>
      <c r="C1401" s="11" t="s">
        <v>902</v>
      </c>
      <c r="D1401" s="217">
        <f>IF(A1401=B1371,"New Revenue Adjustments",IF(AND(C1401=D1371,A1401&lt;B1371),"Attrition Necessary",0))</f>
        <v>0</v>
      </c>
      <c r="E1401" s="522">
        <f t="shared" si="747"/>
        <v>6523751.0640299665</v>
      </c>
      <c r="F1401" s="522">
        <f t="shared" si="749"/>
        <v>6523751.0640299665</v>
      </c>
      <c r="G1401" s="522">
        <f t="shared" si="749"/>
        <v>6523751.0640299665</v>
      </c>
      <c r="H1401" s="522">
        <f t="shared" si="749"/>
        <v>6523751.0640299665</v>
      </c>
      <c r="I1401" s="522">
        <f t="shared" si="749"/>
        <v>6523751.0640299665</v>
      </c>
      <c r="J1401" s="522">
        <f t="shared" si="749"/>
        <v>6523751.0640299665</v>
      </c>
      <c r="K1401" s="522">
        <f t="shared" si="749"/>
        <v>6523751.0640299665</v>
      </c>
      <c r="L1401" s="522">
        <f t="shared" si="749"/>
        <v>6523751.0640299665</v>
      </c>
      <c r="M1401" s="522">
        <f t="shared" si="749"/>
        <v>6523751.0640299665</v>
      </c>
      <c r="N1401" s="522">
        <f t="shared" si="749"/>
        <v>6523751.0640299665</v>
      </c>
      <c r="O1401" s="410" t="s">
        <v>2601</v>
      </c>
    </row>
    <row r="1402" spans="1:15" s="217" customFormat="1">
      <c r="A1402" s="217">
        <v>17</v>
      </c>
      <c r="B1402" s="10" t="s">
        <v>1279</v>
      </c>
      <c r="C1402" s="11" t="s">
        <v>899</v>
      </c>
      <c r="D1402" s="217">
        <f>IF(A1402=B1371,"New Revenue Adjustments",IF(AND(C1402=D1371,A1402&lt;B1371),"Attrition Necessary",0))</f>
        <v>0</v>
      </c>
      <c r="E1402" s="522">
        <f t="shared" si="747"/>
        <v>2935687.9788134852</v>
      </c>
      <c r="F1402" s="522">
        <f t="shared" si="749"/>
        <v>2935687.9788134852</v>
      </c>
      <c r="G1402" s="522">
        <f t="shared" si="749"/>
        <v>2935687.9788134852</v>
      </c>
      <c r="H1402" s="522">
        <f t="shared" si="749"/>
        <v>2935687.9788134852</v>
      </c>
      <c r="I1402" s="522">
        <f t="shared" si="749"/>
        <v>2935687.9788134852</v>
      </c>
      <c r="J1402" s="522">
        <f t="shared" si="749"/>
        <v>2935687.9788134852</v>
      </c>
      <c r="K1402" s="522">
        <f t="shared" si="749"/>
        <v>2935687.9788134852</v>
      </c>
      <c r="L1402" s="522">
        <f t="shared" si="749"/>
        <v>2935687.9788134852</v>
      </c>
      <c r="M1402" s="522">
        <f t="shared" si="749"/>
        <v>2935687.9788134852</v>
      </c>
      <c r="N1402" s="522">
        <f t="shared" si="749"/>
        <v>2935687.9788134852</v>
      </c>
      <c r="O1402" s="410" t="s">
        <v>2653</v>
      </c>
    </row>
    <row r="1403" spans="1:15" s="217" customFormat="1">
      <c r="A1403" s="217">
        <v>18</v>
      </c>
      <c r="B1403" s="10" t="s">
        <v>1279</v>
      </c>
      <c r="C1403" s="11" t="s">
        <v>900</v>
      </c>
      <c r="D1403" s="217">
        <f>IF(A1403=B1371,"New Revenue Adjustments",IF(AND(C1403=D1371,A1403&lt;B1371),"Attrition Necessary",0))</f>
        <v>0</v>
      </c>
      <c r="E1403" s="522">
        <f t="shared" si="747"/>
        <v>3588063.0852164812</v>
      </c>
      <c r="F1403" s="522">
        <f t="shared" si="749"/>
        <v>3588063.0852164812</v>
      </c>
      <c r="G1403" s="522">
        <f t="shared" si="749"/>
        <v>3588063.0852164812</v>
      </c>
      <c r="H1403" s="522">
        <f t="shared" si="749"/>
        <v>3588063.0852164812</v>
      </c>
      <c r="I1403" s="522">
        <f t="shared" si="749"/>
        <v>3588063.0852164812</v>
      </c>
      <c r="J1403" s="522">
        <f t="shared" si="749"/>
        <v>3588063.0852164812</v>
      </c>
      <c r="K1403" s="522">
        <f t="shared" si="749"/>
        <v>3588063.0852164812</v>
      </c>
      <c r="L1403" s="522">
        <f t="shared" si="749"/>
        <v>3588063.0852164812</v>
      </c>
      <c r="M1403" s="522">
        <f t="shared" si="749"/>
        <v>3588063.0852164812</v>
      </c>
      <c r="N1403" s="522">
        <f t="shared" si="749"/>
        <v>3588063.0852164812</v>
      </c>
      <c r="O1403" s="410" t="s">
        <v>2654</v>
      </c>
    </row>
    <row r="1404" spans="1:15" s="217" customFormat="1">
      <c r="A1404" s="217">
        <v>19</v>
      </c>
      <c r="B1404" s="10" t="s">
        <v>1279</v>
      </c>
      <c r="C1404" s="11" t="s">
        <v>901</v>
      </c>
      <c r="D1404" s="217" t="str">
        <f>IF(A1404=B1371,"New Revenue Adjustments",IF(AND(C1404=D1371,A1404&lt;B1371),"Attrition Necessary",0))</f>
        <v>Attrition Necessary</v>
      </c>
      <c r="E1404" s="522">
        <f t="shared" si="747"/>
        <v>5545188.404425473</v>
      </c>
      <c r="F1404" s="522">
        <f t="shared" si="749"/>
        <v>5545188.404425473</v>
      </c>
      <c r="G1404" s="522">
        <f t="shared" si="749"/>
        <v>5545188.404425473</v>
      </c>
      <c r="H1404" s="522">
        <f t="shared" si="749"/>
        <v>5545188.404425473</v>
      </c>
      <c r="I1404" s="522">
        <f t="shared" si="749"/>
        <v>5545188.404425473</v>
      </c>
      <c r="J1404" s="522">
        <f t="shared" si="749"/>
        <v>5545188.404425473</v>
      </c>
      <c r="K1404" s="522">
        <f t="shared" si="749"/>
        <v>5545188.404425473</v>
      </c>
      <c r="L1404" s="522">
        <f t="shared" si="749"/>
        <v>5545188.404425473</v>
      </c>
      <c r="M1404" s="522">
        <f t="shared" si="749"/>
        <v>5545188.404425473</v>
      </c>
      <c r="N1404" s="522">
        <f t="shared" si="749"/>
        <v>5545188.404425473</v>
      </c>
      <c r="O1404" s="410" t="s">
        <v>2655</v>
      </c>
    </row>
    <row r="1405" spans="1:15" s="217" customFormat="1">
      <c r="A1405" s="217">
        <v>20</v>
      </c>
      <c r="B1405" s="10" t="s">
        <v>1279</v>
      </c>
      <c r="C1405" s="11" t="s">
        <v>902</v>
      </c>
      <c r="D1405" s="217">
        <f>IF(A1405=B1371,"New Revenue Adjustments",IF(AND(C1405=D1371,A1405&lt;B1371),"Attrition Necessary",0))</f>
        <v>0</v>
      </c>
      <c r="E1405" s="522">
        <f t="shared" si="747"/>
        <v>8138020.8333333321</v>
      </c>
      <c r="F1405" s="522">
        <f t="shared" si="749"/>
        <v>8138020.8333333321</v>
      </c>
      <c r="G1405" s="522">
        <f t="shared" si="749"/>
        <v>8138020.8333333321</v>
      </c>
      <c r="H1405" s="522">
        <f t="shared" si="749"/>
        <v>8138020.8333333321</v>
      </c>
      <c r="I1405" s="522">
        <f t="shared" si="749"/>
        <v>8138020.8333333321</v>
      </c>
      <c r="J1405" s="522">
        <f t="shared" si="749"/>
        <v>8138020.8333333321</v>
      </c>
      <c r="K1405" s="522">
        <f t="shared" si="749"/>
        <v>8138020.8333333321</v>
      </c>
      <c r="L1405" s="522">
        <f t="shared" si="749"/>
        <v>8138020.8333333321</v>
      </c>
      <c r="M1405" s="522">
        <f t="shared" si="749"/>
        <v>8138020.8333333321</v>
      </c>
      <c r="N1405" s="522">
        <f t="shared" si="749"/>
        <v>8138020.8333333321</v>
      </c>
      <c r="O1405" s="410" t="s">
        <v>2605</v>
      </c>
    </row>
    <row r="1406" spans="1:15" s="217" customFormat="1">
      <c r="A1406" s="217">
        <v>21</v>
      </c>
      <c r="B1406" s="10" t="s">
        <v>2052</v>
      </c>
      <c r="C1406" s="11" t="s">
        <v>899</v>
      </c>
      <c r="D1406" s="217">
        <f>IF(A1406=B1371,"New Revenue Adjustments",IF(AND(C1406=D1371,A1406&lt;B1371),"Attrition Necessary",0))</f>
        <v>0</v>
      </c>
      <c r="E1406" s="522">
        <f t="shared" si="747"/>
        <v>3222656.2500000005</v>
      </c>
      <c r="F1406" s="522">
        <f t="shared" ref="F1406:N1417" si="750">IF($B$1371&gt;$A1406,INDEX(calcY3Q2RevFlow,$A1406,calcTeamNum)*(IF($D1406="Attrition Necessary",1-calcQ2AttritionDifference,1)*(IF($D1406="New Revenue Adjustments",1+calcY3Q3RevenueAdjustment,1))),INDEX(dataY3Q3Rev,$A1406,)*(IF($D1406="Attrition Necessary",1-calcQ2AttritionDifference,1))*(IF($D1406="New Revenue Adjustments",1+calcY3Q3RevenueAdjustment,1)))</f>
        <v>3222656.2500000005</v>
      </c>
      <c r="G1406" s="522">
        <f t="shared" si="750"/>
        <v>3222656.2500000005</v>
      </c>
      <c r="H1406" s="522">
        <f t="shared" si="750"/>
        <v>3222656.2500000005</v>
      </c>
      <c r="I1406" s="522">
        <f t="shared" si="750"/>
        <v>3222656.2500000005</v>
      </c>
      <c r="J1406" s="522">
        <f t="shared" si="750"/>
        <v>3222656.2500000005</v>
      </c>
      <c r="K1406" s="522">
        <f t="shared" si="750"/>
        <v>3222656.2500000005</v>
      </c>
      <c r="L1406" s="522">
        <f t="shared" si="750"/>
        <v>3222656.2500000005</v>
      </c>
      <c r="M1406" s="522">
        <f t="shared" si="750"/>
        <v>3222656.2500000005</v>
      </c>
      <c r="N1406" s="522">
        <f t="shared" si="750"/>
        <v>3222656.2500000005</v>
      </c>
      <c r="O1406" s="410" t="s">
        <v>2602</v>
      </c>
    </row>
    <row r="1407" spans="1:15" s="217" customFormat="1">
      <c r="A1407" s="217">
        <v>22</v>
      </c>
      <c r="B1407" s="10" t="s">
        <v>2052</v>
      </c>
      <c r="C1407" s="11" t="s">
        <v>900</v>
      </c>
      <c r="D1407" s="217">
        <f>IF(A1407=B1371,"New Revenue Adjustments",IF(AND(C1407=D1371,A1407&lt;B1371),"Attrition Necessary",0))</f>
        <v>0</v>
      </c>
      <c r="E1407" s="522">
        <f t="shared" si="747"/>
        <v>3938802.083333333</v>
      </c>
      <c r="F1407" s="522">
        <f t="shared" si="750"/>
        <v>3938802.083333333</v>
      </c>
      <c r="G1407" s="522">
        <f t="shared" si="750"/>
        <v>3938802.083333333</v>
      </c>
      <c r="H1407" s="522">
        <f t="shared" si="750"/>
        <v>3938802.083333333</v>
      </c>
      <c r="I1407" s="522">
        <f t="shared" si="750"/>
        <v>3938802.083333333</v>
      </c>
      <c r="J1407" s="522">
        <f t="shared" si="750"/>
        <v>3938802.083333333</v>
      </c>
      <c r="K1407" s="522">
        <f t="shared" si="750"/>
        <v>3938802.083333333</v>
      </c>
      <c r="L1407" s="522">
        <f t="shared" si="750"/>
        <v>3938802.083333333</v>
      </c>
      <c r="M1407" s="522">
        <f t="shared" si="750"/>
        <v>3938802.083333333</v>
      </c>
      <c r="N1407" s="522">
        <f t="shared" si="750"/>
        <v>3938802.083333333</v>
      </c>
      <c r="O1407" s="410" t="s">
        <v>2603</v>
      </c>
    </row>
    <row r="1408" spans="1:15" s="217" customFormat="1">
      <c r="A1408" s="217">
        <v>23</v>
      </c>
      <c r="B1408" s="10" t="s">
        <v>2052</v>
      </c>
      <c r="C1408" s="11" t="s">
        <v>901</v>
      </c>
      <c r="D1408" s="217" t="str">
        <f>IF(A1408=B1371,"New Revenue Adjustments",IF(AND(C1408=D1371,A1408&lt;B1371),"Attrition Necessary",0))</f>
        <v>New Revenue Adjustments</v>
      </c>
      <c r="E1408" s="522">
        <f t="shared" si="747"/>
        <v>6087239.5833333349</v>
      </c>
      <c r="F1408" s="522">
        <f t="shared" si="750"/>
        <v>6087239.5833333349</v>
      </c>
      <c r="G1408" s="522">
        <f t="shared" si="750"/>
        <v>6087239.5833333349</v>
      </c>
      <c r="H1408" s="522">
        <f t="shared" si="750"/>
        <v>6087239.5833333349</v>
      </c>
      <c r="I1408" s="522">
        <f t="shared" si="750"/>
        <v>6087239.5833333349</v>
      </c>
      <c r="J1408" s="522">
        <f t="shared" si="750"/>
        <v>6087239.5833333349</v>
      </c>
      <c r="K1408" s="522">
        <f t="shared" si="750"/>
        <v>6087239.5833333349</v>
      </c>
      <c r="L1408" s="522">
        <f t="shared" si="750"/>
        <v>6087239.5833333349</v>
      </c>
      <c r="M1408" s="522">
        <f t="shared" si="750"/>
        <v>6087239.5833333349</v>
      </c>
      <c r="N1408" s="522">
        <f t="shared" si="750"/>
        <v>6087239.5833333349</v>
      </c>
      <c r="O1408" s="410" t="s">
        <v>2604</v>
      </c>
    </row>
    <row r="1409" spans="1:15" s="217" customFormat="1">
      <c r="A1409" s="217">
        <v>24</v>
      </c>
      <c r="B1409" s="10" t="s">
        <v>2052</v>
      </c>
      <c r="C1409" s="11" t="s">
        <v>902</v>
      </c>
      <c r="D1409" s="217">
        <f>IF(A1409=B1371,"New Revenue Adjustments",IF(AND(C1409=D1371,A1409&lt;B1371),"Attrition Necessary",0))</f>
        <v>0</v>
      </c>
      <c r="E1409" s="522">
        <f t="shared" si="747"/>
        <v>0</v>
      </c>
      <c r="F1409" s="522">
        <f t="shared" si="750"/>
        <v>0</v>
      </c>
      <c r="G1409" s="522">
        <f t="shared" si="750"/>
        <v>0</v>
      </c>
      <c r="H1409" s="522">
        <f t="shared" si="750"/>
        <v>0</v>
      </c>
      <c r="I1409" s="522">
        <f t="shared" si="750"/>
        <v>0</v>
      </c>
      <c r="J1409" s="522">
        <f t="shared" si="750"/>
        <v>0</v>
      </c>
      <c r="K1409" s="522">
        <f t="shared" si="750"/>
        <v>0</v>
      </c>
      <c r="L1409" s="522">
        <f t="shared" si="750"/>
        <v>0</v>
      </c>
      <c r="M1409" s="522">
        <f t="shared" si="750"/>
        <v>0</v>
      </c>
      <c r="N1409" s="522">
        <f t="shared" si="750"/>
        <v>0</v>
      </c>
      <c r="O1409" s="410" t="s">
        <v>2606</v>
      </c>
    </row>
    <row r="1410" spans="1:15" s="217" customFormat="1">
      <c r="A1410" s="217">
        <v>25</v>
      </c>
      <c r="B1410" s="10" t="s">
        <v>2408</v>
      </c>
      <c r="C1410" s="11" t="s">
        <v>899</v>
      </c>
      <c r="D1410" s="217">
        <f>IF(A1410=B1371,"New Revenue Adjustments",IF(AND(C1410=D1371,A1410&lt;B1371),"Attrition Necessary",0))</f>
        <v>0</v>
      </c>
      <c r="E1410" s="522">
        <f t="shared" si="747"/>
        <v>0</v>
      </c>
      <c r="F1410" s="522">
        <f t="shared" si="750"/>
        <v>0</v>
      </c>
      <c r="G1410" s="522">
        <f t="shared" si="750"/>
        <v>0</v>
      </c>
      <c r="H1410" s="522">
        <f t="shared" si="750"/>
        <v>0</v>
      </c>
      <c r="I1410" s="522">
        <f t="shared" si="750"/>
        <v>0</v>
      </c>
      <c r="J1410" s="522">
        <f t="shared" si="750"/>
        <v>0</v>
      </c>
      <c r="K1410" s="522">
        <f t="shared" si="750"/>
        <v>0</v>
      </c>
      <c r="L1410" s="522">
        <f t="shared" si="750"/>
        <v>0</v>
      </c>
      <c r="M1410" s="522">
        <f t="shared" si="750"/>
        <v>0</v>
      </c>
      <c r="N1410" s="522">
        <f t="shared" si="750"/>
        <v>0</v>
      </c>
      <c r="O1410" s="410" t="s">
        <v>2607</v>
      </c>
    </row>
    <row r="1411" spans="1:15" s="217" customFormat="1">
      <c r="A1411" s="217">
        <v>26</v>
      </c>
      <c r="B1411" s="10" t="s">
        <v>2408</v>
      </c>
      <c r="C1411" s="11" t="s">
        <v>900</v>
      </c>
      <c r="D1411" s="217">
        <f>IF(A1411=B1371,"New Revenue Adjustments",IF(AND(C1411=D1371,A1411&lt;B1371),"Attrition Necessary",0))</f>
        <v>0</v>
      </c>
      <c r="E1411" s="522">
        <f t="shared" si="747"/>
        <v>0</v>
      </c>
      <c r="F1411" s="522">
        <f t="shared" si="750"/>
        <v>0</v>
      </c>
      <c r="G1411" s="522">
        <f t="shared" si="750"/>
        <v>0</v>
      </c>
      <c r="H1411" s="522">
        <f t="shared" si="750"/>
        <v>0</v>
      </c>
      <c r="I1411" s="522">
        <f t="shared" si="750"/>
        <v>0</v>
      </c>
      <c r="J1411" s="522">
        <f t="shared" si="750"/>
        <v>0</v>
      </c>
      <c r="K1411" s="522">
        <f t="shared" si="750"/>
        <v>0</v>
      </c>
      <c r="L1411" s="522">
        <f t="shared" si="750"/>
        <v>0</v>
      </c>
      <c r="M1411" s="522">
        <f t="shared" si="750"/>
        <v>0</v>
      </c>
      <c r="N1411" s="522">
        <f t="shared" si="750"/>
        <v>0</v>
      </c>
      <c r="O1411" s="410" t="s">
        <v>2608</v>
      </c>
    </row>
    <row r="1412" spans="1:15" s="217" customFormat="1">
      <c r="A1412" s="217">
        <v>27</v>
      </c>
      <c r="B1412" s="10" t="s">
        <v>2408</v>
      </c>
      <c r="C1412" s="11" t="s">
        <v>901</v>
      </c>
      <c r="D1412" s="217">
        <f>IF(A1412=B1371,"New Revenue Adjustments",IF(AND(C1412=D1371,A1412&lt;B1371),"Attrition Necessary",0))</f>
        <v>0</v>
      </c>
      <c r="E1412" s="522">
        <f t="shared" si="747"/>
        <v>0</v>
      </c>
      <c r="F1412" s="522">
        <f t="shared" si="750"/>
        <v>0</v>
      </c>
      <c r="G1412" s="522">
        <f t="shared" si="750"/>
        <v>0</v>
      </c>
      <c r="H1412" s="522">
        <f t="shared" si="750"/>
        <v>0</v>
      </c>
      <c r="I1412" s="522">
        <f t="shared" si="750"/>
        <v>0</v>
      </c>
      <c r="J1412" s="522">
        <f t="shared" si="750"/>
        <v>0</v>
      </c>
      <c r="K1412" s="522">
        <f t="shared" si="750"/>
        <v>0</v>
      </c>
      <c r="L1412" s="522">
        <f t="shared" si="750"/>
        <v>0</v>
      </c>
      <c r="M1412" s="522">
        <f t="shared" si="750"/>
        <v>0</v>
      </c>
      <c r="N1412" s="522">
        <f t="shared" si="750"/>
        <v>0</v>
      </c>
      <c r="O1412" s="410" t="s">
        <v>2609</v>
      </c>
    </row>
    <row r="1413" spans="1:15" s="217" customFormat="1">
      <c r="A1413" s="217">
        <v>28</v>
      </c>
      <c r="B1413" s="10" t="s">
        <v>2408</v>
      </c>
      <c r="C1413" s="11" t="s">
        <v>902</v>
      </c>
      <c r="D1413" s="217">
        <f>IF(A1413=B1371,"New Revenue Adjustments",IF(AND(C1413=D1371,A1413&lt;B1371),"Attrition Necessary",0))</f>
        <v>0</v>
      </c>
      <c r="E1413" s="522">
        <f t="shared" si="747"/>
        <v>0</v>
      </c>
      <c r="F1413" s="522">
        <f t="shared" si="750"/>
        <v>0</v>
      </c>
      <c r="G1413" s="522">
        <f t="shared" si="750"/>
        <v>0</v>
      </c>
      <c r="H1413" s="522">
        <f t="shared" si="750"/>
        <v>0</v>
      </c>
      <c r="I1413" s="522">
        <f t="shared" si="750"/>
        <v>0</v>
      </c>
      <c r="J1413" s="522">
        <f t="shared" si="750"/>
        <v>0</v>
      </c>
      <c r="K1413" s="522">
        <f t="shared" si="750"/>
        <v>0</v>
      </c>
      <c r="L1413" s="522">
        <f t="shared" si="750"/>
        <v>0</v>
      </c>
      <c r="M1413" s="522">
        <f t="shared" si="750"/>
        <v>0</v>
      </c>
      <c r="N1413" s="522">
        <f t="shared" si="750"/>
        <v>0</v>
      </c>
      <c r="O1413" s="410" t="s">
        <v>2610</v>
      </c>
    </row>
    <row r="1414" spans="1:15" s="217" customFormat="1">
      <c r="A1414" s="217">
        <v>29</v>
      </c>
      <c r="B1414" s="10" t="s">
        <v>2413</v>
      </c>
      <c r="C1414" s="11" t="s">
        <v>899</v>
      </c>
      <c r="D1414" s="217">
        <f>IF(A1414=B1371,"New Revenue Adjustments",IF(AND(C1414=D1371,A1414&lt;B1371),"Attrition Necessary",0))</f>
        <v>0</v>
      </c>
      <c r="E1414" s="522">
        <f t="shared" si="747"/>
        <v>0</v>
      </c>
      <c r="F1414" s="522">
        <f t="shared" si="750"/>
        <v>0</v>
      </c>
      <c r="G1414" s="522">
        <f t="shared" si="750"/>
        <v>0</v>
      </c>
      <c r="H1414" s="522">
        <f t="shared" si="750"/>
        <v>0</v>
      </c>
      <c r="I1414" s="522">
        <f t="shared" si="750"/>
        <v>0</v>
      </c>
      <c r="J1414" s="522">
        <f t="shared" si="750"/>
        <v>0</v>
      </c>
      <c r="K1414" s="522">
        <f t="shared" si="750"/>
        <v>0</v>
      </c>
      <c r="L1414" s="522">
        <f t="shared" si="750"/>
        <v>0</v>
      </c>
      <c r="M1414" s="522">
        <f t="shared" si="750"/>
        <v>0</v>
      </c>
      <c r="N1414" s="522">
        <f t="shared" si="750"/>
        <v>0</v>
      </c>
      <c r="O1414" s="410" t="s">
        <v>2611</v>
      </c>
    </row>
    <row r="1415" spans="1:15" s="217" customFormat="1">
      <c r="A1415" s="217">
        <v>30</v>
      </c>
      <c r="B1415" s="10" t="s">
        <v>2413</v>
      </c>
      <c r="C1415" s="11" t="s">
        <v>900</v>
      </c>
      <c r="D1415" s="217">
        <f>IF(A1415=B1371,"New Revenue Adjustments",IF(AND(C1415=D1371,A1415&lt;B1371),"Attrition Necessary",0))</f>
        <v>0</v>
      </c>
      <c r="E1415" s="522">
        <f t="shared" si="747"/>
        <v>0</v>
      </c>
      <c r="F1415" s="522">
        <f t="shared" si="750"/>
        <v>0</v>
      </c>
      <c r="G1415" s="522">
        <f t="shared" si="750"/>
        <v>0</v>
      </c>
      <c r="H1415" s="522">
        <f t="shared" si="750"/>
        <v>0</v>
      </c>
      <c r="I1415" s="522">
        <f t="shared" si="750"/>
        <v>0</v>
      </c>
      <c r="J1415" s="522">
        <f t="shared" si="750"/>
        <v>0</v>
      </c>
      <c r="K1415" s="522">
        <f t="shared" si="750"/>
        <v>0</v>
      </c>
      <c r="L1415" s="522">
        <f t="shared" si="750"/>
        <v>0</v>
      </c>
      <c r="M1415" s="522">
        <f t="shared" si="750"/>
        <v>0</v>
      </c>
      <c r="N1415" s="522">
        <f t="shared" si="750"/>
        <v>0</v>
      </c>
      <c r="O1415" s="410" t="s">
        <v>2612</v>
      </c>
    </row>
    <row r="1416" spans="1:15" s="217" customFormat="1">
      <c r="A1416" s="217">
        <v>31</v>
      </c>
      <c r="B1416" s="10" t="s">
        <v>2413</v>
      </c>
      <c r="C1416" s="11" t="s">
        <v>901</v>
      </c>
      <c r="D1416" s="217">
        <f>IF(A1416=B1371,"New Revenue Adjustments",IF(AND(C1416=D1371,A1416&lt;B1371),"Attrition Necessary",0))</f>
        <v>0</v>
      </c>
      <c r="E1416" s="522">
        <f t="shared" si="747"/>
        <v>0</v>
      </c>
      <c r="F1416" s="522">
        <f t="shared" si="750"/>
        <v>0</v>
      </c>
      <c r="G1416" s="522">
        <f t="shared" si="750"/>
        <v>0</v>
      </c>
      <c r="H1416" s="522">
        <f t="shared" si="750"/>
        <v>0</v>
      </c>
      <c r="I1416" s="522">
        <f t="shared" si="750"/>
        <v>0</v>
      </c>
      <c r="J1416" s="522">
        <f t="shared" si="750"/>
        <v>0</v>
      </c>
      <c r="K1416" s="522">
        <f t="shared" si="750"/>
        <v>0</v>
      </c>
      <c r="L1416" s="522">
        <f t="shared" si="750"/>
        <v>0</v>
      </c>
      <c r="M1416" s="522">
        <f t="shared" si="750"/>
        <v>0</v>
      </c>
      <c r="N1416" s="522">
        <f t="shared" si="750"/>
        <v>0</v>
      </c>
      <c r="O1416" s="410" t="s">
        <v>2613</v>
      </c>
    </row>
    <row r="1417" spans="1:15" s="217" customFormat="1">
      <c r="A1417" s="217">
        <v>32</v>
      </c>
      <c r="B1417" s="10" t="s">
        <v>2413</v>
      </c>
      <c r="C1417" s="11" t="s">
        <v>902</v>
      </c>
      <c r="D1417" s="217">
        <f>IF(A1417=B1371,"New Revenue Adjustments",IF(AND(C1417=D1371,A1417&lt;B1371),"Attrition Necessary",0))</f>
        <v>0</v>
      </c>
      <c r="E1417" s="522">
        <f t="shared" si="747"/>
        <v>0</v>
      </c>
      <c r="F1417" s="522">
        <f t="shared" si="750"/>
        <v>0</v>
      </c>
      <c r="G1417" s="522">
        <f t="shared" si="750"/>
        <v>0</v>
      </c>
      <c r="H1417" s="522">
        <f t="shared" si="750"/>
        <v>0</v>
      </c>
      <c r="I1417" s="522">
        <f t="shared" si="750"/>
        <v>0</v>
      </c>
      <c r="J1417" s="522">
        <f t="shared" si="750"/>
        <v>0</v>
      </c>
      <c r="K1417" s="522">
        <f t="shared" si="750"/>
        <v>0</v>
      </c>
      <c r="L1417" s="522">
        <f t="shared" si="750"/>
        <v>0</v>
      </c>
      <c r="M1417" s="522">
        <f t="shared" si="750"/>
        <v>0</v>
      </c>
      <c r="N1417" s="522">
        <f t="shared" si="750"/>
        <v>0</v>
      </c>
      <c r="O1417" s="410" t="s">
        <v>2614</v>
      </c>
    </row>
    <row r="1418" spans="1:15" s="217" customFormat="1">
      <c r="D1418" s="217" t="s">
        <v>908</v>
      </c>
      <c r="E1418" s="427">
        <f>SUM(E1386:E1417)</f>
        <v>78411667.018588886</v>
      </c>
      <c r="F1418" s="427">
        <f t="shared" ref="F1418:I1418" si="751">SUM(F1386:F1417)</f>
        <v>78411667.018588886</v>
      </c>
      <c r="G1418" s="427">
        <f t="shared" si="751"/>
        <v>78411667.018588886</v>
      </c>
      <c r="H1418" s="427">
        <f t="shared" si="751"/>
        <v>78411667.018588886</v>
      </c>
      <c r="I1418" s="427">
        <f t="shared" si="751"/>
        <v>78411667.018588886</v>
      </c>
      <c r="J1418" s="427">
        <f t="shared" ref="J1418:N1418" si="752">SUM(J1386:J1417)</f>
        <v>78411667.018588886</v>
      </c>
      <c r="K1418" s="427">
        <f t="shared" si="752"/>
        <v>78411667.018588886</v>
      </c>
      <c r="L1418" s="427">
        <f t="shared" si="752"/>
        <v>78411667.018588886</v>
      </c>
      <c r="M1418" s="427">
        <f t="shared" si="752"/>
        <v>78411667.018588886</v>
      </c>
      <c r="N1418" s="427">
        <f t="shared" si="752"/>
        <v>78411667.018588886</v>
      </c>
      <c r="O1418" s="217" t="s">
        <v>2615</v>
      </c>
    </row>
    <row r="1419" spans="1:15" s="217" customFormat="1">
      <c r="E1419" s="409"/>
      <c r="F1419" s="409"/>
      <c r="G1419" s="409"/>
      <c r="H1419" s="409"/>
      <c r="I1419" s="409"/>
      <c r="J1419" s="409"/>
      <c r="K1419" s="409"/>
      <c r="L1419" s="409"/>
      <c r="M1419" s="409"/>
      <c r="N1419" s="409"/>
    </row>
    <row r="1420" spans="1:15">
      <c r="A1420" s="217"/>
      <c r="B1420" s="69">
        <v>24</v>
      </c>
      <c r="C1420" s="217" t="s">
        <v>2052</v>
      </c>
      <c r="D1420" s="217" t="s">
        <v>902</v>
      </c>
    </row>
    <row r="1421" spans="1:15" s="217" customFormat="1">
      <c r="C1421" s="217" t="s">
        <v>1736</v>
      </c>
      <c r="E1421" s="409"/>
      <c r="F1421" s="409"/>
      <c r="G1421" s="409"/>
      <c r="H1421" s="409"/>
      <c r="I1421" s="409"/>
      <c r="J1421" s="409"/>
      <c r="K1421" s="409"/>
      <c r="L1421" s="409"/>
      <c r="M1421" s="409"/>
      <c r="N1421" s="409"/>
    </row>
    <row r="1422" spans="1:15" s="410" customFormat="1">
      <c r="D1422" s="410" t="s">
        <v>1754</v>
      </c>
      <c r="E1422" s="547">
        <f t="shared" ref="E1422:N1422" si="753">FORECAST(calcNPS,datatblNPSAttrition,datatblNPSScore)</f>
        <v>0.14946428571428572</v>
      </c>
      <c r="F1422" s="547">
        <f t="shared" si="753"/>
        <v>0.14946428571428572</v>
      </c>
      <c r="G1422" s="547">
        <f t="shared" si="753"/>
        <v>0.14946428571428572</v>
      </c>
      <c r="H1422" s="547">
        <f t="shared" si="753"/>
        <v>0.14946428571428572</v>
      </c>
      <c r="I1422" s="547">
        <f t="shared" si="753"/>
        <v>0.14946428571428572</v>
      </c>
      <c r="J1422" s="547">
        <f t="shared" si="753"/>
        <v>0.14946428571428572</v>
      </c>
      <c r="K1422" s="547">
        <f t="shared" si="753"/>
        <v>0.14946428571428572</v>
      </c>
      <c r="L1422" s="547">
        <f t="shared" si="753"/>
        <v>0.14946428571428572</v>
      </c>
      <c r="M1422" s="547">
        <f t="shared" si="753"/>
        <v>0.14946428571428572</v>
      </c>
      <c r="N1422" s="547">
        <f t="shared" si="753"/>
        <v>0.14946428571428572</v>
      </c>
    </row>
    <row r="1423" spans="1:15" s="410" customFormat="1">
      <c r="D1423" s="410" t="s">
        <v>1753</v>
      </c>
      <c r="E1423" s="547">
        <f>Data!$D$277</f>
        <v>0.1515124491492886</v>
      </c>
      <c r="F1423" s="547">
        <f>Data!$D$277</f>
        <v>0.1515124491492886</v>
      </c>
      <c r="G1423" s="547">
        <f>Data!$D$277</f>
        <v>0.1515124491492886</v>
      </c>
      <c r="H1423" s="547">
        <f>Data!$D$277</f>
        <v>0.1515124491492886</v>
      </c>
      <c r="I1423" s="547">
        <f>Data!$D$277</f>
        <v>0.1515124491492886</v>
      </c>
      <c r="J1423" s="547">
        <f>Data!$D$277</f>
        <v>0.1515124491492886</v>
      </c>
      <c r="K1423" s="547">
        <f>Data!$D$277</f>
        <v>0.1515124491492886</v>
      </c>
      <c r="L1423" s="547">
        <f>Data!$D$277</f>
        <v>0.1515124491492886</v>
      </c>
      <c r="M1423" s="547">
        <f>Data!$D$277</f>
        <v>0.1515124491492886</v>
      </c>
      <c r="N1423" s="547">
        <f>Data!$D$277</f>
        <v>0.1515124491492886</v>
      </c>
    </row>
    <row r="1424" spans="1:15" s="217" customFormat="1">
      <c r="D1424" s="217" t="s">
        <v>1755</v>
      </c>
      <c r="E1424" s="411">
        <f>E1422-E1423</f>
        <v>-2.0481634350028866E-3</v>
      </c>
      <c r="F1424" s="411">
        <f t="shared" ref="F1424" si="754">F1422-F1423</f>
        <v>-2.0481634350028866E-3</v>
      </c>
      <c r="G1424" s="411">
        <f t="shared" ref="G1424" si="755">G1422-G1423</f>
        <v>-2.0481634350028866E-3</v>
      </c>
      <c r="H1424" s="411">
        <f t="shared" ref="H1424" si="756">H1422-H1423</f>
        <v>-2.0481634350028866E-3</v>
      </c>
      <c r="I1424" s="411">
        <f t="shared" ref="I1424:N1424" si="757">I1422-I1423</f>
        <v>-2.0481634350028866E-3</v>
      </c>
      <c r="J1424" s="411">
        <f t="shared" si="757"/>
        <v>-2.0481634350028866E-3</v>
      </c>
      <c r="K1424" s="411">
        <f t="shared" si="757"/>
        <v>-2.0481634350028866E-3</v>
      </c>
      <c r="L1424" s="411">
        <f t="shared" si="757"/>
        <v>-2.0481634350028866E-3</v>
      </c>
      <c r="M1424" s="411">
        <f t="shared" si="757"/>
        <v>-2.0481634350028866E-3</v>
      </c>
      <c r="N1424" s="411">
        <f t="shared" si="757"/>
        <v>-2.0481634350028866E-3</v>
      </c>
      <c r="O1424" s="217" t="s">
        <v>2617</v>
      </c>
    </row>
    <row r="1425" spans="1:18" s="217" customFormat="1">
      <c r="C1425" s="217" t="s">
        <v>1757</v>
      </c>
      <c r="E1425" s="411"/>
      <c r="F1425" s="411"/>
      <c r="G1425" s="411"/>
      <c r="H1425" s="411"/>
      <c r="I1425" s="411"/>
      <c r="J1425" s="411"/>
      <c r="K1425" s="411"/>
      <c r="L1425" s="411"/>
      <c r="M1425" s="411"/>
      <c r="N1425" s="411"/>
    </row>
    <row r="1426" spans="1:18">
      <c r="D1426" s="69" t="s">
        <v>1151</v>
      </c>
      <c r="E1426" s="425">
        <f>IF(calcOrg62Timeline&lt;=$Q1426,INDEX(datatblOrg62Timeline,MATCH(decGTMOrg62Timeline,Data!$C$106:$C$111,0),2),0)*paramOrg62Impacts</f>
        <v>0</v>
      </c>
      <c r="F1426" s="425">
        <f>IF(calcOrg62Timeline&lt;=$Q1426,INDEX(datatblOrg62Timeline,MATCH(decGTMOrg62Timeline,Data!$C$106:$C$111,0),2),0)*paramOrg62Impacts</f>
        <v>0</v>
      </c>
      <c r="G1426" s="425">
        <f>IF(calcOrg62Timeline&lt;=$Q1426,INDEX(datatblOrg62Timeline,MATCH(decGTMOrg62Timeline,Data!$C$106:$C$111,0),2),0)*paramOrg62Impacts</f>
        <v>0</v>
      </c>
      <c r="H1426" s="425">
        <f>IF(calcOrg62Timeline&lt;=$Q1426,INDEX(datatblOrg62Timeline,MATCH(decGTMOrg62Timeline,Data!$C$106:$C$111,0),2),0)*paramOrg62Impacts</f>
        <v>0</v>
      </c>
      <c r="I1426" s="425">
        <f>IF(calcOrg62Timeline&lt;=$Q1426,INDEX(datatblOrg62Timeline,MATCH(decGTMOrg62Timeline,Data!$C$106:$C$111,0),2),0)*paramOrg62Impacts</f>
        <v>0</v>
      </c>
      <c r="J1426" s="425">
        <f>IF(calcOrg62Timeline&lt;=$Q1426,INDEX(datatblOrg62Timeline,MATCH(decGTMOrg62Timeline,Data!$C$106:$C$111,0),2),0)*paramOrg62Impacts</f>
        <v>0</v>
      </c>
      <c r="K1426" s="425">
        <f>IF(calcOrg62Timeline&lt;=$Q1426,INDEX(datatblOrg62Timeline,MATCH(decGTMOrg62Timeline,Data!$C$106:$C$111,0),2),0)*paramOrg62Impacts</f>
        <v>0</v>
      </c>
      <c r="L1426" s="425">
        <f>IF(calcOrg62Timeline&lt;=$Q1426,INDEX(datatblOrg62Timeline,MATCH(decGTMOrg62Timeline,Data!$C$106:$C$111,0),2),0)*paramOrg62Impacts</f>
        <v>0</v>
      </c>
      <c r="M1426" s="425">
        <f>IF(calcOrg62Timeline&lt;=$Q1426,INDEX(datatblOrg62Timeline,MATCH(decGTMOrg62Timeline,Data!$C$106:$C$111,0),2),0)*paramOrg62Impacts</f>
        <v>0</v>
      </c>
      <c r="N1426" s="425">
        <f>IF(calcOrg62Timeline&lt;=$Q1426,INDEX(datatblOrg62Timeline,MATCH(decGTMOrg62Timeline,Data!$C$106:$C$111,0),2),0)*paramOrg62Impacts</f>
        <v>0</v>
      </c>
      <c r="Q1426" s="69">
        <v>24</v>
      </c>
    </row>
    <row r="1427" spans="1:18">
      <c r="D1427" s="69" t="s">
        <v>507</v>
      </c>
      <c r="E1427" s="425">
        <f>IF(calcProductTimeline&lt;=$Q1427,INDEX(datatblStackFocusImpact,MATCH(decProductStackFocus,Data!$C$96:$C$101,0),2),0)+paramACVGrowthStack</f>
        <v>0</v>
      </c>
      <c r="F1427" s="425">
        <f>IF(calcProductTimeline&lt;=$Q1427,INDEX(datatblStackFocusImpact,MATCH(decProductStackFocus,Data!$C$96:$C$101,0),2),0)+paramACVGrowthStack</f>
        <v>0</v>
      </c>
      <c r="G1427" s="425">
        <f>IF(calcProductTimeline&lt;=$Q1427,INDEX(datatblStackFocusImpact,MATCH(decProductStackFocus,Data!$C$96:$C$101,0),2),0)+paramACVGrowthStack</f>
        <v>0</v>
      </c>
      <c r="H1427" s="425">
        <f>IF(calcProductTimeline&lt;=$Q1427,INDEX(datatblStackFocusImpact,MATCH(decProductStackFocus,Data!$C$96:$C$101,0),2),0)+paramACVGrowthStack</f>
        <v>0</v>
      </c>
      <c r="I1427" s="425">
        <f>IF(calcProductTimeline&lt;=$Q1427,INDEX(datatblStackFocusImpact,MATCH(decProductStackFocus,Data!$C$96:$C$101,0),2),0)+paramACVGrowthStack</f>
        <v>0</v>
      </c>
      <c r="J1427" s="425">
        <f>IF(calcProductTimeline&lt;=$Q1427,INDEX(datatblStackFocusImpact,MATCH(decProductStackFocus,Data!$C$96:$C$101,0),2),0)+paramACVGrowthStack</f>
        <v>0</v>
      </c>
      <c r="K1427" s="425">
        <f>IF(calcProductTimeline&lt;=$Q1427,INDEX(datatblStackFocusImpact,MATCH(decProductStackFocus,Data!$C$96:$C$101,0),2),0)+paramACVGrowthStack</f>
        <v>0</v>
      </c>
      <c r="L1427" s="425">
        <f>IF(calcProductTimeline&lt;=$Q1427,INDEX(datatblStackFocusImpact,MATCH(decProductStackFocus,Data!$C$96:$C$101,0),2),0)+paramACVGrowthStack</f>
        <v>0</v>
      </c>
      <c r="M1427" s="425">
        <f>IF(calcProductTimeline&lt;=$Q1427,INDEX(datatblStackFocusImpact,MATCH(decProductStackFocus,Data!$C$96:$C$101,0),2),0)+paramACVGrowthStack</f>
        <v>0</v>
      </c>
      <c r="N1427" s="425">
        <f>IF(calcProductTimeline&lt;=$Q1427,INDEX(datatblStackFocusImpact,MATCH(decProductStackFocus,Data!$C$96:$C$101,0),2),0)+paramACVGrowthStack</f>
        <v>0</v>
      </c>
      <c r="Q1427" s="69">
        <f>Q1426</f>
        <v>24</v>
      </c>
    </row>
    <row r="1428" spans="1:18">
      <c r="D1428" s="69" t="s">
        <v>2237</v>
      </c>
      <c r="E1428" s="425">
        <f>IF(calcExternalSalesTimeline&lt;=$Q1428,INDEX(datatblExternalSalesImpact,MATCH(decGTMExternalSales,Data!$C$85:$C$90,0),2),0)</f>
        <v>0</v>
      </c>
      <c r="F1428" s="425">
        <f>IF(calcExternalSalesTimeline&lt;=$Q1428,INDEX(datatblExternalSalesImpact,MATCH(decGTMExternalSales,Data!$C$85:$C$90,0),2),0)</f>
        <v>0</v>
      </c>
      <c r="G1428" s="425">
        <f>IF(calcExternalSalesTimeline&lt;=$Q1428,INDEX(datatblExternalSalesImpact,MATCH(decGTMExternalSales,Data!$C$85:$C$90,0),2),0)</f>
        <v>0</v>
      </c>
      <c r="H1428" s="425">
        <f>IF(calcExternalSalesTimeline&lt;=$Q1428,INDEX(datatblExternalSalesImpact,MATCH(decGTMExternalSales,Data!$C$85:$C$90,0),2),0)</f>
        <v>0</v>
      </c>
      <c r="I1428" s="425">
        <f>IF(calcExternalSalesTimeline&lt;=$Q1428,INDEX(datatblExternalSalesImpact,MATCH(decGTMExternalSales,Data!$C$85:$C$90,0),2),0)</f>
        <v>0</v>
      </c>
      <c r="J1428" s="425">
        <f>IF(calcExternalSalesTimeline&lt;=$Q1428,INDEX(datatblExternalSalesImpact,MATCH(decGTMExternalSales,Data!$C$85:$C$90,0),2),0)</f>
        <v>0</v>
      </c>
      <c r="K1428" s="425">
        <f>IF(calcExternalSalesTimeline&lt;=$Q1428,INDEX(datatblExternalSalesImpact,MATCH(decGTMExternalSales,Data!$C$85:$C$90,0),2),0)</f>
        <v>0</v>
      </c>
      <c r="L1428" s="425">
        <f>IF(calcExternalSalesTimeline&lt;=$Q1428,INDEX(datatblExternalSalesImpact,MATCH(decGTMExternalSales,Data!$C$85:$C$90,0),2),0)</f>
        <v>0</v>
      </c>
      <c r="M1428" s="425">
        <f>IF(calcExternalSalesTimeline&lt;=$Q1428,INDEX(datatblExternalSalesImpact,MATCH(decGTMExternalSales,Data!$C$85:$C$90,0),2),0)</f>
        <v>0</v>
      </c>
      <c r="N1428" s="425">
        <f>IF(calcExternalSalesTimeline&lt;=$Q1428,INDEX(datatblExternalSalesImpact,MATCH(decGTMExternalSales,Data!$C$85:$C$90,0),2),0)</f>
        <v>0</v>
      </c>
      <c r="O1428" s="482"/>
      <c r="P1428" s="482"/>
      <c r="Q1428" s="69">
        <f>Q1427</f>
        <v>24</v>
      </c>
    </row>
    <row r="1429" spans="1:18">
      <c r="D1429" s="69" t="s">
        <v>2284</v>
      </c>
      <c r="E1429" s="425">
        <f>IF(calcCSGTimeline&lt;=$Q1429,INDEX(datatblCSGPostSales,MATCH(decGTMCSGPostSales,Data!$C$204:$C$209,0),3),0)</f>
        <v>0</v>
      </c>
      <c r="F1429" s="425">
        <f>IF(calcCSGTimeline&lt;=$Q1429,INDEX(datatblCSGPostSales,MATCH(decGTMCSGPostSales,Data!$C$204:$C$209,0),3),0)</f>
        <v>0</v>
      </c>
      <c r="G1429" s="425">
        <f>IF(calcCSGTimeline&lt;=$Q1429,INDEX(datatblCSGPostSales,MATCH(decGTMCSGPostSales,Data!$C$204:$C$209,0),3),0)</f>
        <v>0</v>
      </c>
      <c r="H1429" s="425">
        <f>IF(calcCSGTimeline&lt;=$Q1429,INDEX(datatblCSGPostSales,MATCH(decGTMCSGPostSales,Data!$C$204:$C$209,0),3),0)</f>
        <v>0</v>
      </c>
      <c r="I1429" s="425">
        <f>IF(calcCSGTimeline&lt;=$Q1429,INDEX(datatblCSGPostSales,MATCH(decGTMCSGPostSales,Data!$C$204:$C$209,0),3),0)</f>
        <v>0</v>
      </c>
      <c r="J1429" s="425">
        <f>IF(calcCSGTimeline&lt;=$Q1429,INDEX(datatblCSGPostSales,MATCH(decGTMCSGPostSales,Data!$C$204:$C$209,0),3),0)</f>
        <v>0</v>
      </c>
      <c r="K1429" s="425">
        <f>IF(calcCSGTimeline&lt;=$Q1429,INDEX(datatblCSGPostSales,MATCH(decGTMCSGPostSales,Data!$C$204:$C$209,0),3),0)</f>
        <v>0</v>
      </c>
      <c r="L1429" s="425">
        <f>IF(calcCSGTimeline&lt;=$Q1429,INDEX(datatblCSGPostSales,MATCH(decGTMCSGPostSales,Data!$C$204:$C$209,0),3),0)</f>
        <v>0</v>
      </c>
      <c r="M1429" s="425">
        <f>IF(calcCSGTimeline&lt;=$Q1429,INDEX(datatblCSGPostSales,MATCH(decGTMCSGPostSales,Data!$C$204:$C$209,0),3),0)</f>
        <v>0</v>
      </c>
      <c r="N1429" s="425">
        <f>IF(calcCSGTimeline&lt;=$Q1429,INDEX(datatblCSGPostSales,MATCH(decGTMCSGPostSales,Data!$C$204:$C$209,0),3),0)</f>
        <v>0</v>
      </c>
      <c r="O1429" s="482"/>
      <c r="P1429" s="482"/>
      <c r="Q1429" s="69">
        <f>Q1428</f>
        <v>24</v>
      </c>
    </row>
    <row r="1430" spans="1:18">
      <c r="D1430" s="69" t="s">
        <v>3079</v>
      </c>
      <c r="E1430" s="425">
        <f>IF(calcBrandIntegrationTimeline&lt;=$Q1430,INDEX(datatblBrandIntegration,MATCH(decGTMBrandIntegration,Data!$C$220:$C$226,0),3),0)</f>
        <v>0</v>
      </c>
      <c r="F1430" s="425">
        <f>IF(calcBrandIntegrationTimeline&lt;=$Q1430,INDEX(datatblBrandIntegration,MATCH(decGTMBrandIntegration,Data!$C$220:$C$226,0),3),0)</f>
        <v>0</v>
      </c>
      <c r="G1430" s="425">
        <f>IF(calcBrandIntegrationTimeline&lt;=$Q1430,INDEX(datatblBrandIntegration,MATCH(decGTMBrandIntegration,Data!$C$220:$C$226,0),3),0)</f>
        <v>0</v>
      </c>
      <c r="H1430" s="425">
        <f>IF(calcBrandIntegrationTimeline&lt;=$Q1430,INDEX(datatblBrandIntegration,MATCH(decGTMBrandIntegration,Data!$C$220:$C$226,0),3),0)</f>
        <v>0</v>
      </c>
      <c r="I1430" s="425">
        <f>IF(calcBrandIntegrationTimeline&lt;=$Q1430,INDEX(datatblBrandIntegration,MATCH(decGTMBrandIntegration,Data!$C$220:$C$226,0),3),0)</f>
        <v>0</v>
      </c>
      <c r="J1430" s="425">
        <f>IF(calcBrandIntegrationTimeline&lt;=$Q1430,INDEX(datatblBrandIntegration,MATCH(decGTMBrandIntegration,Data!$C$220:$C$226,0),3),0)</f>
        <v>0</v>
      </c>
      <c r="K1430" s="425">
        <f>IF(calcBrandIntegrationTimeline&lt;=$Q1430,INDEX(datatblBrandIntegration,MATCH(decGTMBrandIntegration,Data!$C$220:$C$226,0),3),0)</f>
        <v>0</v>
      </c>
      <c r="L1430" s="425">
        <f>IF(calcBrandIntegrationTimeline&lt;=$Q1430,INDEX(datatblBrandIntegration,MATCH(decGTMBrandIntegration,Data!$C$220:$C$226,0),3),0)</f>
        <v>0</v>
      </c>
      <c r="M1430" s="425">
        <f>IF(calcBrandIntegrationTimeline&lt;=$Q1430,INDEX(datatblBrandIntegration,MATCH(decGTMBrandIntegration,Data!$C$220:$C$226,0),3),0)</f>
        <v>0</v>
      </c>
      <c r="N1430" s="425">
        <f>IF(calcBrandIntegrationTimeline&lt;=$Q1430,INDEX(datatblBrandIntegration,MATCH(decGTMBrandIntegration,Data!$C$220:$C$226,0),3),0)</f>
        <v>0</v>
      </c>
      <c r="O1430" s="482"/>
      <c r="P1430" s="482"/>
      <c r="Q1430" s="69">
        <f>Q1429</f>
        <v>24</v>
      </c>
    </row>
    <row r="1431" spans="1:18">
      <c r="D1431" s="69" t="s">
        <v>2277</v>
      </c>
      <c r="E1431" s="425">
        <f>IF(decGTMOrg62Timeline="choose",0,IF(E1426=0,INDEX(datatblLeadPass,MATCH(decGTMLeadPass,Data!$C$212:$C$217,0),3),0))</f>
        <v>0</v>
      </c>
      <c r="F1431" s="425">
        <f>IF(decGTMOrg62Timeline="choose",0,IF(F1426=0,INDEX(datatblLeadPass,MATCH(decGTMLeadPass,Data!$C$212:$C$217,0),3),0))</f>
        <v>0</v>
      </c>
      <c r="G1431" s="425">
        <f>IF(decGTMOrg62Timeline="choose",0,IF(G1426=0,INDEX(datatblLeadPass,MATCH(decGTMLeadPass,Data!$C$212:$C$217,0),3),0))</f>
        <v>0</v>
      </c>
      <c r="H1431" s="425">
        <f>IF(decGTMOrg62Timeline="choose",0,IF(H1426=0,INDEX(datatblLeadPass,MATCH(decGTMLeadPass,Data!$C$212:$C$217,0),3),0))</f>
        <v>0</v>
      </c>
      <c r="I1431" s="425">
        <f>IF(decGTMOrg62Timeline="choose",0,IF(I1426=0,INDEX(datatblLeadPass,MATCH(decGTMLeadPass,Data!$C$212:$C$217,0),3),0))</f>
        <v>0</v>
      </c>
      <c r="J1431" s="425">
        <f>IF(decGTMOrg62Timeline="choose",0,IF(J1426=0,INDEX(datatblLeadPass,MATCH(decGTMLeadPass,Data!$C$212:$C$217,0),3),0))</f>
        <v>0</v>
      </c>
      <c r="K1431" s="425">
        <f>IF(decGTMOrg62Timeline="choose",0,IF(K1426=0,INDEX(datatblLeadPass,MATCH(decGTMLeadPass,Data!$C$212:$C$217,0),3),0))</f>
        <v>0</v>
      </c>
      <c r="L1431" s="425">
        <f>IF(decGTMOrg62Timeline="choose",0,IF(L1426=0,INDEX(datatblLeadPass,MATCH(decGTMLeadPass,Data!$C$212:$C$217,0),3),0))</f>
        <v>0</v>
      </c>
      <c r="M1431" s="425">
        <f>IF(decGTMOrg62Timeline="choose",0,IF(M1426=0,INDEX(datatblLeadPass,MATCH(decGTMLeadPass,Data!$C$212:$C$217,0),3),0))</f>
        <v>0</v>
      </c>
      <c r="N1431" s="425">
        <f>IF(decGTMOrg62Timeline="choose",0,IF(N1426=0,INDEX(datatblLeadPass,MATCH(decGTMLeadPass,Data!$C$212:$C$217,0),3),0))</f>
        <v>0</v>
      </c>
      <c r="O1431" s="482"/>
      <c r="P1431" s="482"/>
    </row>
    <row r="1432" spans="1:18">
      <c r="D1432" s="69" t="s">
        <v>1032</v>
      </c>
      <c r="E1432" s="425">
        <f>IF(decSecurityProductRestrictions="Yes",$Q1432,IF(decSecurityProductRestrictions="No",$R1432,$S1432))</f>
        <v>0</v>
      </c>
      <c r="F1432" s="425">
        <f t="shared" ref="F1432:N1432" si="758">IF(decSecurityProductRestrictions="Yes",$Q1432,IF(decSecurityProductRestrictions="No",$R1432,$S1432))</f>
        <v>0</v>
      </c>
      <c r="G1432" s="425">
        <f t="shared" si="758"/>
        <v>0</v>
      </c>
      <c r="H1432" s="425">
        <f t="shared" si="758"/>
        <v>0</v>
      </c>
      <c r="I1432" s="425">
        <f t="shared" si="758"/>
        <v>0</v>
      </c>
      <c r="J1432" s="425">
        <f t="shared" si="758"/>
        <v>0</v>
      </c>
      <c r="K1432" s="425">
        <f t="shared" si="758"/>
        <v>0</v>
      </c>
      <c r="L1432" s="425">
        <f t="shared" si="758"/>
        <v>0</v>
      </c>
      <c r="M1432" s="425">
        <f t="shared" si="758"/>
        <v>0</v>
      </c>
      <c r="N1432" s="425">
        <f t="shared" si="758"/>
        <v>0</v>
      </c>
      <c r="Q1432" s="482">
        <f>xxProductRestrictionACVHit</f>
        <v>-0.02</v>
      </c>
      <c r="R1432" s="482">
        <f>xxProductRestrictionACVIncrease</f>
        <v>0.02</v>
      </c>
    </row>
    <row r="1433" spans="1:18" s="217" customFormat="1">
      <c r="D1433" s="217" t="s">
        <v>1758</v>
      </c>
      <c r="E1433" s="411">
        <f t="shared" ref="E1433:N1433" si="759">SUM(E1426:E1432)+paramACVGrowthBaseline</f>
        <v>0</v>
      </c>
      <c r="F1433" s="411">
        <f t="shared" si="759"/>
        <v>0</v>
      </c>
      <c r="G1433" s="411">
        <f t="shared" si="759"/>
        <v>0</v>
      </c>
      <c r="H1433" s="411">
        <f t="shared" si="759"/>
        <v>0</v>
      </c>
      <c r="I1433" s="411">
        <f t="shared" si="759"/>
        <v>0</v>
      </c>
      <c r="J1433" s="411">
        <f t="shared" si="759"/>
        <v>0</v>
      </c>
      <c r="K1433" s="411">
        <f t="shared" si="759"/>
        <v>0</v>
      </c>
      <c r="L1433" s="411">
        <f t="shared" si="759"/>
        <v>0</v>
      </c>
      <c r="M1433" s="411">
        <f t="shared" si="759"/>
        <v>0</v>
      </c>
      <c r="N1433" s="411">
        <f t="shared" si="759"/>
        <v>0</v>
      </c>
      <c r="O1433" s="217" t="s">
        <v>2618</v>
      </c>
    </row>
    <row r="1434" spans="1:18" s="217" customFormat="1">
      <c r="E1434" s="411"/>
      <c r="F1434" s="411"/>
      <c r="G1434" s="411"/>
      <c r="H1434" s="411"/>
      <c r="I1434" s="411"/>
      <c r="J1434" s="411"/>
      <c r="K1434" s="411"/>
      <c r="L1434" s="411"/>
      <c r="M1434" s="411"/>
      <c r="N1434" s="411"/>
    </row>
    <row r="1435" spans="1:18" s="217" customFormat="1">
      <c r="A1435" s="217">
        <v>1</v>
      </c>
      <c r="B1435" s="10" t="s">
        <v>1735</v>
      </c>
      <c r="C1435" s="11" t="s">
        <v>899</v>
      </c>
      <c r="D1435" s="217">
        <f>IF(A1435=B1420,"New Revenue Adjustments",IF(AND(C1435=D1420,A1435&lt;B1420),"Attrition Necessary",0))</f>
        <v>0</v>
      </c>
      <c r="E1435" s="522">
        <f t="shared" ref="E1435:N1444" si="760">IF($B$1420&gt;$A1435,INDEX(calcY3Q3RevFlow,$A1435,calcTeamNum)*(IF($D1435="Attrition Necessary",1-calcQ2AttritionDifference,1)*(IF($D1435="New Revenue Adjustments",1+calcY3Q4RevenueAdjustment,1))),INDEX(dataY3Q4Rev,$A1435,)*(IF($D1435="Attrition Necessary",1-calcQ2AttritionDifference,1))*(IF($D1435="New Revenue Adjustments",1+calcY3Q4RevenueAdjustment,1)))</f>
        <v>923563.84528244205</v>
      </c>
      <c r="F1435" s="522">
        <f t="shared" si="760"/>
        <v>923563.84528244205</v>
      </c>
      <c r="G1435" s="522">
        <f t="shared" si="760"/>
        <v>923563.84528244205</v>
      </c>
      <c r="H1435" s="522">
        <f t="shared" si="760"/>
        <v>923563.84528244205</v>
      </c>
      <c r="I1435" s="522">
        <f t="shared" si="760"/>
        <v>923563.84528244205</v>
      </c>
      <c r="J1435" s="522">
        <f t="shared" si="760"/>
        <v>923563.84528244205</v>
      </c>
      <c r="K1435" s="522">
        <f t="shared" si="760"/>
        <v>923563.84528244205</v>
      </c>
      <c r="L1435" s="522">
        <f t="shared" si="760"/>
        <v>923563.84528244205</v>
      </c>
      <c r="M1435" s="522">
        <f t="shared" si="760"/>
        <v>923563.84528244205</v>
      </c>
      <c r="N1435" s="522">
        <f t="shared" si="760"/>
        <v>923563.84528244205</v>
      </c>
      <c r="O1435" s="410" t="s">
        <v>2619</v>
      </c>
    </row>
    <row r="1436" spans="1:18" s="217" customFormat="1">
      <c r="A1436" s="217">
        <v>2</v>
      </c>
      <c r="B1436" s="10" t="s">
        <v>1735</v>
      </c>
      <c r="C1436" s="11" t="s">
        <v>900</v>
      </c>
      <c r="D1436" s="217">
        <f>IF(A1436=B1420,"New Revenue Adjustments",IF(AND(C1436=D1420,A1436&lt;B1420),"Attrition Necessary",0))</f>
        <v>0</v>
      </c>
      <c r="E1436" s="522">
        <f t="shared" si="760"/>
        <v>1629818.5504984274</v>
      </c>
      <c r="F1436" s="522">
        <f t="shared" si="760"/>
        <v>1629818.5504984274</v>
      </c>
      <c r="G1436" s="522">
        <f t="shared" si="760"/>
        <v>1629818.5504984274</v>
      </c>
      <c r="H1436" s="522">
        <f t="shared" si="760"/>
        <v>1629818.5504984274</v>
      </c>
      <c r="I1436" s="522">
        <f t="shared" si="760"/>
        <v>1629818.5504984274</v>
      </c>
      <c r="J1436" s="522">
        <f t="shared" si="760"/>
        <v>1629818.5504984274</v>
      </c>
      <c r="K1436" s="522">
        <f t="shared" si="760"/>
        <v>1629818.5504984274</v>
      </c>
      <c r="L1436" s="522">
        <f t="shared" si="760"/>
        <v>1629818.5504984274</v>
      </c>
      <c r="M1436" s="522">
        <f t="shared" si="760"/>
        <v>1629818.5504984274</v>
      </c>
      <c r="N1436" s="522">
        <f t="shared" si="760"/>
        <v>1629818.5504984274</v>
      </c>
      <c r="O1436" s="410" t="s">
        <v>2620</v>
      </c>
    </row>
    <row r="1437" spans="1:18" s="217" customFormat="1">
      <c r="A1437" s="217">
        <v>3</v>
      </c>
      <c r="B1437" s="10" t="s">
        <v>1735</v>
      </c>
      <c r="C1437" s="11" t="s">
        <v>901</v>
      </c>
      <c r="D1437" s="217">
        <f>IF(A1437=B1420,"New Revenue Adjustments",IF(AND(C1437=D1420,A1437&lt;B1420),"Attrition Necessary",0))</f>
        <v>0</v>
      </c>
      <c r="E1437" s="522">
        <f t="shared" si="760"/>
        <v>2173091.4006645698</v>
      </c>
      <c r="F1437" s="522">
        <f t="shared" si="760"/>
        <v>2173091.4006645698</v>
      </c>
      <c r="G1437" s="522">
        <f t="shared" si="760"/>
        <v>2173091.4006645698</v>
      </c>
      <c r="H1437" s="522">
        <f t="shared" si="760"/>
        <v>2173091.4006645698</v>
      </c>
      <c r="I1437" s="522">
        <f t="shared" si="760"/>
        <v>2173091.4006645698</v>
      </c>
      <c r="J1437" s="522">
        <f t="shared" si="760"/>
        <v>2173091.4006645698</v>
      </c>
      <c r="K1437" s="522">
        <f t="shared" si="760"/>
        <v>2173091.4006645698</v>
      </c>
      <c r="L1437" s="522">
        <f t="shared" si="760"/>
        <v>2173091.4006645698</v>
      </c>
      <c r="M1437" s="522">
        <f t="shared" si="760"/>
        <v>2173091.4006645698</v>
      </c>
      <c r="N1437" s="522">
        <f t="shared" si="760"/>
        <v>2173091.4006645698</v>
      </c>
      <c r="O1437" s="410" t="s">
        <v>2621</v>
      </c>
    </row>
    <row r="1438" spans="1:18" s="217" customFormat="1">
      <c r="A1438" s="217">
        <v>4</v>
      </c>
      <c r="B1438" s="10" t="s">
        <v>1735</v>
      </c>
      <c r="C1438" s="11" t="s">
        <v>902</v>
      </c>
      <c r="D1438" s="217" t="str">
        <f>IF(A1438=B1420,"New Revenue Adjustments",IF(AND(C1438=D1420,A1438&lt;B1420),"Attrition Necessary",0))</f>
        <v>Attrition Necessary</v>
      </c>
      <c r="E1438" s="522">
        <f t="shared" si="760"/>
        <v>2716364.2508307123</v>
      </c>
      <c r="F1438" s="522">
        <f t="shared" si="760"/>
        <v>2716364.2508307123</v>
      </c>
      <c r="G1438" s="522">
        <f t="shared" si="760"/>
        <v>2716364.2508307123</v>
      </c>
      <c r="H1438" s="522">
        <f t="shared" si="760"/>
        <v>2716364.2508307123</v>
      </c>
      <c r="I1438" s="522">
        <f t="shared" si="760"/>
        <v>2716364.2508307123</v>
      </c>
      <c r="J1438" s="522">
        <f t="shared" si="760"/>
        <v>2716364.2508307123</v>
      </c>
      <c r="K1438" s="522">
        <f t="shared" si="760"/>
        <v>2716364.2508307123</v>
      </c>
      <c r="L1438" s="522">
        <f t="shared" si="760"/>
        <v>2716364.2508307123</v>
      </c>
      <c r="M1438" s="522">
        <f t="shared" si="760"/>
        <v>2716364.2508307123</v>
      </c>
      <c r="N1438" s="522">
        <f t="shared" si="760"/>
        <v>2716364.2508307123</v>
      </c>
      <c r="O1438" s="410" t="s">
        <v>2622</v>
      </c>
    </row>
    <row r="1439" spans="1:18" s="217" customFormat="1">
      <c r="A1439" s="217">
        <v>5</v>
      </c>
      <c r="B1439" s="10" t="s">
        <v>1729</v>
      </c>
      <c r="C1439" s="11" t="s">
        <v>899</v>
      </c>
      <c r="D1439" s="217">
        <f>IF(A1439=B1420,"New Revenue Adjustments",IF(AND(C1439=D1420,A1439&lt;B1420),"Attrition Necessary",0))</f>
        <v>0</v>
      </c>
      <c r="E1439" s="522">
        <f t="shared" si="760"/>
        <v>1086545.7003322849</v>
      </c>
      <c r="F1439" s="522">
        <f t="shared" si="760"/>
        <v>1086545.7003322849</v>
      </c>
      <c r="G1439" s="522">
        <f t="shared" si="760"/>
        <v>1086545.7003322849</v>
      </c>
      <c r="H1439" s="522">
        <f t="shared" si="760"/>
        <v>1086545.7003322849</v>
      </c>
      <c r="I1439" s="522">
        <f t="shared" si="760"/>
        <v>1086545.7003322849</v>
      </c>
      <c r="J1439" s="522">
        <f t="shared" si="760"/>
        <v>1086545.7003322849</v>
      </c>
      <c r="K1439" s="522">
        <f t="shared" si="760"/>
        <v>1086545.7003322849</v>
      </c>
      <c r="L1439" s="522">
        <f t="shared" si="760"/>
        <v>1086545.7003322849</v>
      </c>
      <c r="M1439" s="522">
        <f t="shared" si="760"/>
        <v>1086545.7003322849</v>
      </c>
      <c r="N1439" s="522">
        <f t="shared" si="760"/>
        <v>1086545.7003322849</v>
      </c>
      <c r="O1439" s="410" t="s">
        <v>2623</v>
      </c>
    </row>
    <row r="1440" spans="1:18" s="217" customFormat="1">
      <c r="A1440" s="217">
        <v>6</v>
      </c>
      <c r="B1440" s="10" t="s">
        <v>1729</v>
      </c>
      <c r="C1440" s="11" t="s">
        <v>900</v>
      </c>
      <c r="D1440" s="217">
        <f>IF(A1440=B1420,"New Revenue Adjustments",IF(AND(C1440=D1420,A1440&lt;B1420),"Attrition Necessary",0))</f>
        <v>0</v>
      </c>
      <c r="E1440" s="522">
        <f t="shared" si="760"/>
        <v>1565138.2263353716</v>
      </c>
      <c r="F1440" s="522">
        <f t="shared" si="760"/>
        <v>1565138.2263353716</v>
      </c>
      <c r="G1440" s="522">
        <f t="shared" si="760"/>
        <v>1565138.2263353716</v>
      </c>
      <c r="H1440" s="522">
        <f t="shared" si="760"/>
        <v>1565138.2263353716</v>
      </c>
      <c r="I1440" s="522">
        <f t="shared" si="760"/>
        <v>1565138.2263353716</v>
      </c>
      <c r="J1440" s="522">
        <f t="shared" si="760"/>
        <v>1565138.2263353716</v>
      </c>
      <c r="K1440" s="522">
        <f t="shared" si="760"/>
        <v>1565138.2263353716</v>
      </c>
      <c r="L1440" s="522">
        <f t="shared" si="760"/>
        <v>1565138.2263353716</v>
      </c>
      <c r="M1440" s="522">
        <f t="shared" si="760"/>
        <v>1565138.2263353716</v>
      </c>
      <c r="N1440" s="522">
        <f t="shared" si="760"/>
        <v>1565138.2263353716</v>
      </c>
      <c r="O1440" s="410" t="s">
        <v>2624</v>
      </c>
    </row>
    <row r="1441" spans="1:15" s="217" customFormat="1">
      <c r="A1441" s="217">
        <v>7</v>
      </c>
      <c r="B1441" s="10" t="s">
        <v>1729</v>
      </c>
      <c r="C1441" s="11" t="s">
        <v>901</v>
      </c>
      <c r="D1441" s="217">
        <f>IF(A1441=B1420,"New Revenue Adjustments",IF(AND(C1441=D1420,A1441&lt;B1420),"Attrition Necessary",0))</f>
        <v>0</v>
      </c>
      <c r="E1441" s="522">
        <f t="shared" si="760"/>
        <v>2418849.9861546657</v>
      </c>
      <c r="F1441" s="522">
        <f t="shared" si="760"/>
        <v>2418849.9861546657</v>
      </c>
      <c r="G1441" s="522">
        <f t="shared" si="760"/>
        <v>2418849.9861546657</v>
      </c>
      <c r="H1441" s="522">
        <f t="shared" si="760"/>
        <v>2418849.9861546657</v>
      </c>
      <c r="I1441" s="522">
        <f t="shared" si="760"/>
        <v>2418849.9861546657</v>
      </c>
      <c r="J1441" s="522">
        <f t="shared" si="760"/>
        <v>2418849.9861546657</v>
      </c>
      <c r="K1441" s="522">
        <f t="shared" si="760"/>
        <v>2418849.9861546657</v>
      </c>
      <c r="L1441" s="522">
        <f t="shared" si="760"/>
        <v>2418849.9861546657</v>
      </c>
      <c r="M1441" s="522">
        <f t="shared" si="760"/>
        <v>2418849.9861546657</v>
      </c>
      <c r="N1441" s="522">
        <f t="shared" si="760"/>
        <v>2418849.9861546657</v>
      </c>
      <c r="O1441" s="410" t="s">
        <v>2625</v>
      </c>
    </row>
    <row r="1442" spans="1:15" s="217" customFormat="1">
      <c r="A1442" s="217">
        <v>8</v>
      </c>
      <c r="B1442" s="10" t="s">
        <v>1729</v>
      </c>
      <c r="C1442" s="11" t="s">
        <v>902</v>
      </c>
      <c r="D1442" s="217" t="str">
        <f>IF(A1442=B1420,"New Revenue Adjustments",IF(AND(C1442=D1420,A1442&lt;B1420),"Attrition Necessary",0))</f>
        <v>Attrition Necessary</v>
      </c>
      <c r="E1442" s="522">
        <f t="shared" si="760"/>
        <v>3557132.3325803904</v>
      </c>
      <c r="F1442" s="522">
        <f t="shared" si="760"/>
        <v>3557132.3325803904</v>
      </c>
      <c r="G1442" s="522">
        <f t="shared" si="760"/>
        <v>3557132.3325803904</v>
      </c>
      <c r="H1442" s="522">
        <f t="shared" si="760"/>
        <v>3557132.3325803904</v>
      </c>
      <c r="I1442" s="522">
        <f t="shared" si="760"/>
        <v>3557132.3325803904</v>
      </c>
      <c r="J1442" s="522">
        <f t="shared" si="760"/>
        <v>3557132.3325803904</v>
      </c>
      <c r="K1442" s="522">
        <f t="shared" si="760"/>
        <v>3557132.3325803904</v>
      </c>
      <c r="L1442" s="522">
        <f t="shared" si="760"/>
        <v>3557132.3325803904</v>
      </c>
      <c r="M1442" s="522">
        <f t="shared" si="760"/>
        <v>3557132.3325803904</v>
      </c>
      <c r="N1442" s="522">
        <f t="shared" si="760"/>
        <v>3557132.3325803904</v>
      </c>
      <c r="O1442" s="410" t="s">
        <v>2626</v>
      </c>
    </row>
    <row r="1443" spans="1:15" s="217" customFormat="1">
      <c r="A1443" s="217">
        <v>9</v>
      </c>
      <c r="B1443" s="10" t="s">
        <v>405</v>
      </c>
      <c r="C1443" s="11" t="s">
        <v>899</v>
      </c>
      <c r="D1443" s="217">
        <f>IF(A1443=B1420,"New Revenue Adjustments",IF(AND(C1443=D1420,A1443&lt;B1420),"Attrition Necessary",0))</f>
        <v>0</v>
      </c>
      <c r="E1443" s="522">
        <f t="shared" si="760"/>
        <v>1600709.5496611758</v>
      </c>
      <c r="F1443" s="522">
        <f t="shared" si="760"/>
        <v>1600709.5496611758</v>
      </c>
      <c r="G1443" s="522">
        <f t="shared" si="760"/>
        <v>1600709.5496611758</v>
      </c>
      <c r="H1443" s="522">
        <f t="shared" si="760"/>
        <v>1600709.5496611758</v>
      </c>
      <c r="I1443" s="522">
        <f t="shared" si="760"/>
        <v>1600709.5496611758</v>
      </c>
      <c r="J1443" s="522">
        <f t="shared" si="760"/>
        <v>1600709.5496611758</v>
      </c>
      <c r="K1443" s="522">
        <f t="shared" si="760"/>
        <v>1600709.5496611758</v>
      </c>
      <c r="L1443" s="522">
        <f t="shared" si="760"/>
        <v>1600709.5496611758</v>
      </c>
      <c r="M1443" s="522">
        <f t="shared" si="760"/>
        <v>1600709.5496611758</v>
      </c>
      <c r="N1443" s="522">
        <f t="shared" si="760"/>
        <v>1600709.5496611758</v>
      </c>
      <c r="O1443" s="410" t="s">
        <v>2627</v>
      </c>
    </row>
    <row r="1444" spans="1:15" s="217" customFormat="1">
      <c r="A1444" s="217">
        <v>10</v>
      </c>
      <c r="B1444" s="10" t="s">
        <v>405</v>
      </c>
      <c r="C1444" s="11" t="s">
        <v>900</v>
      </c>
      <c r="D1444" s="217">
        <f>IF(A1444=B1420,"New Revenue Adjustments",IF(AND(C1444=D1420,A1444&lt;B1420),"Attrition Necessary",0))</f>
        <v>0</v>
      </c>
      <c r="E1444" s="522">
        <f t="shared" si="760"/>
        <v>2305776.6504148049</v>
      </c>
      <c r="F1444" s="522">
        <f t="shared" si="760"/>
        <v>2305776.6504148049</v>
      </c>
      <c r="G1444" s="522">
        <f t="shared" si="760"/>
        <v>2305776.6504148049</v>
      </c>
      <c r="H1444" s="522">
        <f t="shared" si="760"/>
        <v>2305776.6504148049</v>
      </c>
      <c r="I1444" s="522">
        <f t="shared" si="760"/>
        <v>2305776.6504148049</v>
      </c>
      <c r="J1444" s="522">
        <f t="shared" si="760"/>
        <v>2305776.6504148049</v>
      </c>
      <c r="K1444" s="522">
        <f t="shared" si="760"/>
        <v>2305776.6504148049</v>
      </c>
      <c r="L1444" s="522">
        <f t="shared" si="760"/>
        <v>2305776.6504148049</v>
      </c>
      <c r="M1444" s="522">
        <f t="shared" si="760"/>
        <v>2305776.6504148049</v>
      </c>
      <c r="N1444" s="522">
        <f t="shared" si="760"/>
        <v>2305776.6504148049</v>
      </c>
      <c r="O1444" s="410" t="s">
        <v>2628</v>
      </c>
    </row>
    <row r="1445" spans="1:15" s="217" customFormat="1">
      <c r="A1445" s="217">
        <v>11</v>
      </c>
      <c r="B1445" s="10" t="s">
        <v>405</v>
      </c>
      <c r="C1445" s="11" t="s">
        <v>901</v>
      </c>
      <c r="D1445" s="217">
        <f>IF(A1445=B1420,"New Revenue Adjustments",IF(AND(C1445=D1420,A1445&lt;B1420),"Attrition Necessary",0))</f>
        <v>0</v>
      </c>
      <c r="E1445" s="522">
        <f t="shared" ref="E1445:N1454" si="761">IF($B$1420&gt;$A1445,INDEX(calcY3Q3RevFlow,$A1445,calcTeamNum)*(IF($D1445="Attrition Necessary",1-calcQ2AttritionDifference,1)*(IF($D1445="New Revenue Adjustments",1+calcY3Q4RevenueAdjustment,1))),INDEX(dataY3Q4Rev,$A1445,)*(IF($D1445="Attrition Necessary",1-calcQ2AttritionDifference,1))*(IF($D1445="New Revenue Adjustments",1+calcY3Q4RevenueAdjustment,1)))</f>
        <v>3563473.0051865173</v>
      </c>
      <c r="F1445" s="522">
        <f t="shared" si="761"/>
        <v>3563473.0051865173</v>
      </c>
      <c r="G1445" s="522">
        <f t="shared" si="761"/>
        <v>3563473.0051865173</v>
      </c>
      <c r="H1445" s="522">
        <f t="shared" si="761"/>
        <v>3563473.0051865173</v>
      </c>
      <c r="I1445" s="522">
        <f t="shared" si="761"/>
        <v>3563473.0051865173</v>
      </c>
      <c r="J1445" s="522">
        <f t="shared" si="761"/>
        <v>3563473.0051865173</v>
      </c>
      <c r="K1445" s="522">
        <f t="shared" si="761"/>
        <v>3563473.0051865173</v>
      </c>
      <c r="L1445" s="522">
        <f t="shared" si="761"/>
        <v>3563473.0051865173</v>
      </c>
      <c r="M1445" s="522">
        <f t="shared" si="761"/>
        <v>3563473.0051865173</v>
      </c>
      <c r="N1445" s="522">
        <f t="shared" si="761"/>
        <v>3563473.0051865173</v>
      </c>
      <c r="O1445" s="410" t="s">
        <v>2629</v>
      </c>
    </row>
    <row r="1446" spans="1:15" s="217" customFormat="1">
      <c r="A1446" s="217">
        <v>12</v>
      </c>
      <c r="B1446" s="10" t="s">
        <v>405</v>
      </c>
      <c r="C1446" s="11" t="s">
        <v>902</v>
      </c>
      <c r="D1446" s="217" t="str">
        <f>IF(A1446=B1420,"New Revenue Adjustments",IF(AND(C1446=D1420,A1446&lt;B1420),"Attrition Necessary",0))</f>
        <v>Attrition Necessary</v>
      </c>
      <c r="E1446" s="522">
        <f t="shared" si="761"/>
        <v>5240401.4782154663</v>
      </c>
      <c r="F1446" s="522">
        <f t="shared" si="761"/>
        <v>5240401.4782154663</v>
      </c>
      <c r="G1446" s="522">
        <f t="shared" si="761"/>
        <v>5240401.4782154663</v>
      </c>
      <c r="H1446" s="522">
        <f t="shared" si="761"/>
        <v>5240401.4782154663</v>
      </c>
      <c r="I1446" s="522">
        <f t="shared" si="761"/>
        <v>5240401.4782154663</v>
      </c>
      <c r="J1446" s="522">
        <f t="shared" si="761"/>
        <v>5240401.4782154663</v>
      </c>
      <c r="K1446" s="522">
        <f t="shared" si="761"/>
        <v>5240401.4782154663</v>
      </c>
      <c r="L1446" s="522">
        <f t="shared" si="761"/>
        <v>5240401.4782154663</v>
      </c>
      <c r="M1446" s="522">
        <f t="shared" si="761"/>
        <v>5240401.4782154663</v>
      </c>
      <c r="N1446" s="522">
        <f t="shared" si="761"/>
        <v>5240401.4782154663</v>
      </c>
      <c r="O1446" s="410" t="s">
        <v>2630</v>
      </c>
    </row>
    <row r="1447" spans="1:15" s="217" customFormat="1">
      <c r="A1447" s="217">
        <v>13</v>
      </c>
      <c r="B1447" s="10" t="s">
        <v>1278</v>
      </c>
      <c r="C1447" s="11" t="s">
        <v>899</v>
      </c>
      <c r="D1447" s="217">
        <f>IF(A1447=B1420,"New Revenue Adjustments",IF(AND(C1447=D1420,A1447&lt;B1420),"Attrition Necessary",0))</f>
        <v>0</v>
      </c>
      <c r="E1447" s="522">
        <f t="shared" si="761"/>
        <v>2353360.598070615</v>
      </c>
      <c r="F1447" s="522">
        <f t="shared" si="761"/>
        <v>2353360.598070615</v>
      </c>
      <c r="G1447" s="522">
        <f t="shared" si="761"/>
        <v>2353360.598070615</v>
      </c>
      <c r="H1447" s="522">
        <f t="shared" si="761"/>
        <v>2353360.598070615</v>
      </c>
      <c r="I1447" s="522">
        <f t="shared" si="761"/>
        <v>2353360.598070615</v>
      </c>
      <c r="J1447" s="522">
        <f t="shared" si="761"/>
        <v>2353360.598070615</v>
      </c>
      <c r="K1447" s="522">
        <f t="shared" si="761"/>
        <v>2353360.598070615</v>
      </c>
      <c r="L1447" s="522">
        <f t="shared" si="761"/>
        <v>2353360.598070615</v>
      </c>
      <c r="M1447" s="522">
        <f t="shared" si="761"/>
        <v>2353360.598070615</v>
      </c>
      <c r="N1447" s="522">
        <f t="shared" si="761"/>
        <v>2353360.598070615</v>
      </c>
      <c r="O1447" s="410" t="s">
        <v>2631</v>
      </c>
    </row>
    <row r="1448" spans="1:15" s="217" customFormat="1">
      <c r="A1448" s="217">
        <v>14</v>
      </c>
      <c r="B1448" s="10" t="s">
        <v>1278</v>
      </c>
      <c r="C1448" s="11" t="s">
        <v>900</v>
      </c>
      <c r="D1448" s="217">
        <f>IF(A1448=B1420,"New Revenue Adjustments",IF(AND(C1448=D1420,A1448&lt;B1420),"Attrition Necessary",0))</f>
        <v>0</v>
      </c>
      <c r="E1448" s="522">
        <f t="shared" si="761"/>
        <v>2876329.6198640843</v>
      </c>
      <c r="F1448" s="522">
        <f t="shared" si="761"/>
        <v>2876329.6198640843</v>
      </c>
      <c r="G1448" s="522">
        <f t="shared" si="761"/>
        <v>2876329.6198640843</v>
      </c>
      <c r="H1448" s="522">
        <f t="shared" si="761"/>
        <v>2876329.6198640843</v>
      </c>
      <c r="I1448" s="522">
        <f t="shared" si="761"/>
        <v>2876329.6198640843</v>
      </c>
      <c r="J1448" s="522">
        <f t="shared" si="761"/>
        <v>2876329.6198640843</v>
      </c>
      <c r="K1448" s="522">
        <f t="shared" si="761"/>
        <v>2876329.6198640843</v>
      </c>
      <c r="L1448" s="522">
        <f t="shared" si="761"/>
        <v>2876329.6198640843</v>
      </c>
      <c r="M1448" s="522">
        <f t="shared" si="761"/>
        <v>2876329.6198640843</v>
      </c>
      <c r="N1448" s="522">
        <f t="shared" si="761"/>
        <v>2876329.6198640843</v>
      </c>
      <c r="O1448" s="410" t="s">
        <v>2632</v>
      </c>
    </row>
    <row r="1449" spans="1:15" s="217" customFormat="1">
      <c r="A1449" s="217">
        <v>15</v>
      </c>
      <c r="B1449" s="10" t="s">
        <v>1278</v>
      </c>
      <c r="C1449" s="11" t="s">
        <v>901</v>
      </c>
      <c r="D1449" s="217">
        <f>IF(A1449=B1420,"New Revenue Adjustments",IF(AND(C1449=D1420,A1449&lt;B1420),"Attrition Necessary",0))</f>
        <v>0</v>
      </c>
      <c r="E1449" s="522">
        <f t="shared" si="761"/>
        <v>4445236.685244495</v>
      </c>
      <c r="F1449" s="522">
        <f t="shared" si="761"/>
        <v>4445236.685244495</v>
      </c>
      <c r="G1449" s="522">
        <f t="shared" si="761"/>
        <v>4445236.685244495</v>
      </c>
      <c r="H1449" s="522">
        <f t="shared" si="761"/>
        <v>4445236.685244495</v>
      </c>
      <c r="I1449" s="522">
        <f t="shared" si="761"/>
        <v>4445236.685244495</v>
      </c>
      <c r="J1449" s="522">
        <f t="shared" si="761"/>
        <v>4445236.685244495</v>
      </c>
      <c r="K1449" s="522">
        <f t="shared" si="761"/>
        <v>4445236.685244495</v>
      </c>
      <c r="L1449" s="522">
        <f t="shared" si="761"/>
        <v>4445236.685244495</v>
      </c>
      <c r="M1449" s="522">
        <f t="shared" si="761"/>
        <v>4445236.685244495</v>
      </c>
      <c r="N1449" s="522">
        <f t="shared" si="761"/>
        <v>4445236.685244495</v>
      </c>
      <c r="O1449" s="410" t="s">
        <v>2633</v>
      </c>
    </row>
    <row r="1450" spans="1:15" s="217" customFormat="1">
      <c r="A1450" s="217">
        <v>16</v>
      </c>
      <c r="B1450" s="10" t="s">
        <v>1278</v>
      </c>
      <c r="C1450" s="11" t="s">
        <v>902</v>
      </c>
      <c r="D1450" s="217" t="str">
        <f>IF(A1450=B1420,"New Revenue Adjustments",IF(AND(C1450=D1420,A1450&lt;B1420),"Attrition Necessary",0))</f>
        <v>Attrition Necessary</v>
      </c>
      <c r="E1450" s="522">
        <f t="shared" si="761"/>
        <v>6537112.7724183742</v>
      </c>
      <c r="F1450" s="522">
        <f t="shared" si="761"/>
        <v>6537112.7724183742</v>
      </c>
      <c r="G1450" s="522">
        <f t="shared" si="761"/>
        <v>6537112.7724183742</v>
      </c>
      <c r="H1450" s="522">
        <f t="shared" si="761"/>
        <v>6537112.7724183742</v>
      </c>
      <c r="I1450" s="522">
        <f t="shared" si="761"/>
        <v>6537112.7724183742</v>
      </c>
      <c r="J1450" s="522">
        <f t="shared" si="761"/>
        <v>6537112.7724183742</v>
      </c>
      <c r="K1450" s="522">
        <f t="shared" si="761"/>
        <v>6537112.7724183742</v>
      </c>
      <c r="L1450" s="522">
        <f t="shared" si="761"/>
        <v>6537112.7724183742</v>
      </c>
      <c r="M1450" s="522">
        <f t="shared" si="761"/>
        <v>6537112.7724183742</v>
      </c>
      <c r="N1450" s="522">
        <f t="shared" si="761"/>
        <v>6537112.7724183742</v>
      </c>
      <c r="O1450" s="410" t="s">
        <v>2634</v>
      </c>
    </row>
    <row r="1451" spans="1:15" s="217" customFormat="1">
      <c r="A1451" s="217">
        <v>17</v>
      </c>
      <c r="B1451" s="10" t="s">
        <v>1279</v>
      </c>
      <c r="C1451" s="11" t="s">
        <v>899</v>
      </c>
      <c r="D1451" s="217">
        <f>IF(A1451=B1420,"New Revenue Adjustments",IF(AND(C1451=D1420,A1451&lt;B1420),"Attrition Necessary",0))</f>
        <v>0</v>
      </c>
      <c r="E1451" s="522">
        <f t="shared" si="761"/>
        <v>2935687.9788134852</v>
      </c>
      <c r="F1451" s="522">
        <f t="shared" si="761"/>
        <v>2935687.9788134852</v>
      </c>
      <c r="G1451" s="522">
        <f t="shared" si="761"/>
        <v>2935687.9788134852</v>
      </c>
      <c r="H1451" s="522">
        <f t="shared" si="761"/>
        <v>2935687.9788134852</v>
      </c>
      <c r="I1451" s="522">
        <f t="shared" si="761"/>
        <v>2935687.9788134852</v>
      </c>
      <c r="J1451" s="522">
        <f t="shared" si="761"/>
        <v>2935687.9788134852</v>
      </c>
      <c r="K1451" s="522">
        <f t="shared" si="761"/>
        <v>2935687.9788134852</v>
      </c>
      <c r="L1451" s="522">
        <f t="shared" si="761"/>
        <v>2935687.9788134852</v>
      </c>
      <c r="M1451" s="522">
        <f t="shared" si="761"/>
        <v>2935687.9788134852</v>
      </c>
      <c r="N1451" s="522">
        <f t="shared" si="761"/>
        <v>2935687.9788134852</v>
      </c>
      <c r="O1451" s="410" t="s">
        <v>2656</v>
      </c>
    </row>
    <row r="1452" spans="1:15" s="217" customFormat="1">
      <c r="A1452" s="217">
        <v>18</v>
      </c>
      <c r="B1452" s="10" t="s">
        <v>1279</v>
      </c>
      <c r="C1452" s="11" t="s">
        <v>900</v>
      </c>
      <c r="D1452" s="217">
        <f>IF(A1452=B1420,"New Revenue Adjustments",IF(AND(C1452=D1420,A1452&lt;B1420),"Attrition Necessary",0))</f>
        <v>0</v>
      </c>
      <c r="E1452" s="522">
        <f t="shared" si="761"/>
        <v>3588063.0852164812</v>
      </c>
      <c r="F1452" s="522">
        <f t="shared" si="761"/>
        <v>3588063.0852164812</v>
      </c>
      <c r="G1452" s="522">
        <f t="shared" si="761"/>
        <v>3588063.0852164812</v>
      </c>
      <c r="H1452" s="522">
        <f t="shared" si="761"/>
        <v>3588063.0852164812</v>
      </c>
      <c r="I1452" s="522">
        <f t="shared" si="761"/>
        <v>3588063.0852164812</v>
      </c>
      <c r="J1452" s="522">
        <f t="shared" si="761"/>
        <v>3588063.0852164812</v>
      </c>
      <c r="K1452" s="522">
        <f t="shared" si="761"/>
        <v>3588063.0852164812</v>
      </c>
      <c r="L1452" s="522">
        <f t="shared" si="761"/>
        <v>3588063.0852164812</v>
      </c>
      <c r="M1452" s="522">
        <f t="shared" si="761"/>
        <v>3588063.0852164812</v>
      </c>
      <c r="N1452" s="522">
        <f t="shared" si="761"/>
        <v>3588063.0852164812</v>
      </c>
      <c r="O1452" s="410" t="s">
        <v>2657</v>
      </c>
    </row>
    <row r="1453" spans="1:15" s="217" customFormat="1">
      <c r="A1453" s="217">
        <v>19</v>
      </c>
      <c r="B1453" s="10" t="s">
        <v>1279</v>
      </c>
      <c r="C1453" s="11" t="s">
        <v>901</v>
      </c>
      <c r="D1453" s="217">
        <f>IF(A1453=B1420,"New Revenue Adjustments",IF(AND(C1453=D1420,A1453&lt;B1420),"Attrition Necessary",0))</f>
        <v>0</v>
      </c>
      <c r="E1453" s="522">
        <f t="shared" si="761"/>
        <v>5545188.404425473</v>
      </c>
      <c r="F1453" s="522">
        <f t="shared" si="761"/>
        <v>5545188.404425473</v>
      </c>
      <c r="G1453" s="522">
        <f t="shared" si="761"/>
        <v>5545188.404425473</v>
      </c>
      <c r="H1453" s="522">
        <f t="shared" si="761"/>
        <v>5545188.404425473</v>
      </c>
      <c r="I1453" s="522">
        <f t="shared" si="761"/>
        <v>5545188.404425473</v>
      </c>
      <c r="J1453" s="522">
        <f t="shared" si="761"/>
        <v>5545188.404425473</v>
      </c>
      <c r="K1453" s="522">
        <f t="shared" si="761"/>
        <v>5545188.404425473</v>
      </c>
      <c r="L1453" s="522">
        <f t="shared" si="761"/>
        <v>5545188.404425473</v>
      </c>
      <c r="M1453" s="522">
        <f t="shared" si="761"/>
        <v>5545188.404425473</v>
      </c>
      <c r="N1453" s="522">
        <f t="shared" si="761"/>
        <v>5545188.404425473</v>
      </c>
      <c r="O1453" s="410" t="s">
        <v>2658</v>
      </c>
    </row>
    <row r="1454" spans="1:15" s="217" customFormat="1">
      <c r="A1454" s="217">
        <v>20</v>
      </c>
      <c r="B1454" s="10" t="s">
        <v>1279</v>
      </c>
      <c r="C1454" s="11" t="s">
        <v>902</v>
      </c>
      <c r="D1454" s="217" t="str">
        <f>IF(A1454=B1420,"New Revenue Adjustments",IF(AND(C1454=D1420,A1454&lt;B1420),"Attrition Necessary",0))</f>
        <v>Attrition Necessary</v>
      </c>
      <c r="E1454" s="522">
        <f t="shared" si="761"/>
        <v>8154688.8300374569</v>
      </c>
      <c r="F1454" s="522">
        <f t="shared" si="761"/>
        <v>8154688.8300374569</v>
      </c>
      <c r="G1454" s="522">
        <f t="shared" si="761"/>
        <v>8154688.8300374569</v>
      </c>
      <c r="H1454" s="522">
        <f t="shared" si="761"/>
        <v>8154688.8300374569</v>
      </c>
      <c r="I1454" s="522">
        <f t="shared" si="761"/>
        <v>8154688.8300374569</v>
      </c>
      <c r="J1454" s="522">
        <f t="shared" si="761"/>
        <v>8154688.8300374569</v>
      </c>
      <c r="K1454" s="522">
        <f t="shared" si="761"/>
        <v>8154688.8300374569</v>
      </c>
      <c r="L1454" s="522">
        <f t="shared" si="761"/>
        <v>8154688.8300374569</v>
      </c>
      <c r="M1454" s="522">
        <f t="shared" si="761"/>
        <v>8154688.8300374569</v>
      </c>
      <c r="N1454" s="522">
        <f t="shared" si="761"/>
        <v>8154688.8300374569</v>
      </c>
      <c r="O1454" s="410" t="s">
        <v>2659</v>
      </c>
    </row>
    <row r="1455" spans="1:15" s="217" customFormat="1">
      <c r="A1455" s="217">
        <v>21</v>
      </c>
      <c r="B1455" s="10" t="s">
        <v>2052</v>
      </c>
      <c r="C1455" s="11" t="s">
        <v>899</v>
      </c>
      <c r="D1455" s="217">
        <f>IF(A1455=B1420,"New Revenue Adjustments",IF(AND(C1455=D1420,A1455&lt;B1420),"Attrition Necessary",0))</f>
        <v>0</v>
      </c>
      <c r="E1455" s="522">
        <f t="shared" ref="E1455:N1466" si="762">IF($B$1420&gt;$A1455,INDEX(calcY3Q3RevFlow,$A1455,calcTeamNum)*(IF($D1455="Attrition Necessary",1-calcQ2AttritionDifference,1)*(IF($D1455="New Revenue Adjustments",1+calcY3Q4RevenueAdjustment,1))),INDEX(dataY3Q4Rev,$A1455,)*(IF($D1455="Attrition Necessary",1-calcQ2AttritionDifference,1))*(IF($D1455="New Revenue Adjustments",1+calcY3Q4RevenueAdjustment,1)))</f>
        <v>3222656.2500000005</v>
      </c>
      <c r="F1455" s="522">
        <f t="shared" si="762"/>
        <v>3222656.2500000005</v>
      </c>
      <c r="G1455" s="522">
        <f t="shared" si="762"/>
        <v>3222656.2500000005</v>
      </c>
      <c r="H1455" s="522">
        <f t="shared" si="762"/>
        <v>3222656.2500000005</v>
      </c>
      <c r="I1455" s="522">
        <f t="shared" si="762"/>
        <v>3222656.2500000005</v>
      </c>
      <c r="J1455" s="522">
        <f t="shared" si="762"/>
        <v>3222656.2500000005</v>
      </c>
      <c r="K1455" s="522">
        <f t="shared" si="762"/>
        <v>3222656.2500000005</v>
      </c>
      <c r="L1455" s="522">
        <f t="shared" si="762"/>
        <v>3222656.2500000005</v>
      </c>
      <c r="M1455" s="522">
        <f t="shared" si="762"/>
        <v>3222656.2500000005</v>
      </c>
      <c r="N1455" s="522">
        <f t="shared" si="762"/>
        <v>3222656.2500000005</v>
      </c>
      <c r="O1455" s="410" t="s">
        <v>2635</v>
      </c>
    </row>
    <row r="1456" spans="1:15" s="217" customFormat="1">
      <c r="A1456" s="217">
        <v>22</v>
      </c>
      <c r="B1456" s="10" t="s">
        <v>2052</v>
      </c>
      <c r="C1456" s="11" t="s">
        <v>900</v>
      </c>
      <c r="D1456" s="217">
        <f>IF(A1456=B1420,"New Revenue Adjustments",IF(AND(C1456=D1420,A1456&lt;B1420),"Attrition Necessary",0))</f>
        <v>0</v>
      </c>
      <c r="E1456" s="522">
        <f t="shared" si="762"/>
        <v>3938802.083333333</v>
      </c>
      <c r="F1456" s="522">
        <f t="shared" si="762"/>
        <v>3938802.083333333</v>
      </c>
      <c r="G1456" s="522">
        <f t="shared" si="762"/>
        <v>3938802.083333333</v>
      </c>
      <c r="H1456" s="522">
        <f t="shared" si="762"/>
        <v>3938802.083333333</v>
      </c>
      <c r="I1456" s="522">
        <f t="shared" si="762"/>
        <v>3938802.083333333</v>
      </c>
      <c r="J1456" s="522">
        <f t="shared" si="762"/>
        <v>3938802.083333333</v>
      </c>
      <c r="K1456" s="522">
        <f t="shared" si="762"/>
        <v>3938802.083333333</v>
      </c>
      <c r="L1456" s="522">
        <f t="shared" si="762"/>
        <v>3938802.083333333</v>
      </c>
      <c r="M1456" s="522">
        <f t="shared" si="762"/>
        <v>3938802.083333333</v>
      </c>
      <c r="N1456" s="522">
        <f t="shared" si="762"/>
        <v>3938802.083333333</v>
      </c>
      <c r="O1456" s="410" t="s">
        <v>2636</v>
      </c>
    </row>
    <row r="1457" spans="1:15" s="217" customFormat="1">
      <c r="A1457" s="217">
        <v>23</v>
      </c>
      <c r="B1457" s="10" t="s">
        <v>2052</v>
      </c>
      <c r="C1457" s="11" t="s">
        <v>901</v>
      </c>
      <c r="D1457" s="217">
        <f>IF(A1457=B1420,"New Revenue Adjustments",IF(AND(C1457=D1420,A1457&lt;B1420),"Attrition Necessary",0))</f>
        <v>0</v>
      </c>
      <c r="E1457" s="522">
        <f t="shared" si="762"/>
        <v>6087239.5833333349</v>
      </c>
      <c r="F1457" s="522">
        <f t="shared" si="762"/>
        <v>6087239.5833333349</v>
      </c>
      <c r="G1457" s="522">
        <f t="shared" si="762"/>
        <v>6087239.5833333349</v>
      </c>
      <c r="H1457" s="522">
        <f t="shared" si="762"/>
        <v>6087239.5833333349</v>
      </c>
      <c r="I1457" s="522">
        <f t="shared" si="762"/>
        <v>6087239.5833333349</v>
      </c>
      <c r="J1457" s="522">
        <f t="shared" si="762"/>
        <v>6087239.5833333349</v>
      </c>
      <c r="K1457" s="522">
        <f t="shared" si="762"/>
        <v>6087239.5833333349</v>
      </c>
      <c r="L1457" s="522">
        <f t="shared" si="762"/>
        <v>6087239.5833333349</v>
      </c>
      <c r="M1457" s="522">
        <f t="shared" si="762"/>
        <v>6087239.5833333349</v>
      </c>
      <c r="N1457" s="522">
        <f t="shared" si="762"/>
        <v>6087239.5833333349</v>
      </c>
      <c r="O1457" s="410" t="s">
        <v>2637</v>
      </c>
    </row>
    <row r="1458" spans="1:15" s="217" customFormat="1">
      <c r="A1458" s="217">
        <v>24</v>
      </c>
      <c r="B1458" s="10" t="s">
        <v>2052</v>
      </c>
      <c r="C1458" s="11" t="s">
        <v>902</v>
      </c>
      <c r="D1458" s="217" t="str">
        <f>IF(A1458=B1420,"New Revenue Adjustments",IF(AND(C1458=D1420,A1458&lt;B1420),"Attrition Necessary",0))</f>
        <v>New Revenue Adjustments</v>
      </c>
      <c r="E1458" s="522">
        <f t="shared" si="762"/>
        <v>8951822.916666666</v>
      </c>
      <c r="F1458" s="522">
        <f t="shared" si="762"/>
        <v>8951822.916666666</v>
      </c>
      <c r="G1458" s="522">
        <f t="shared" si="762"/>
        <v>8951822.916666666</v>
      </c>
      <c r="H1458" s="522">
        <f t="shared" si="762"/>
        <v>8951822.916666666</v>
      </c>
      <c r="I1458" s="522">
        <f t="shared" si="762"/>
        <v>8951822.916666666</v>
      </c>
      <c r="J1458" s="522">
        <f t="shared" si="762"/>
        <v>8951822.916666666</v>
      </c>
      <c r="K1458" s="522">
        <f t="shared" si="762"/>
        <v>8951822.916666666</v>
      </c>
      <c r="L1458" s="522">
        <f t="shared" si="762"/>
        <v>8951822.916666666</v>
      </c>
      <c r="M1458" s="522">
        <f t="shared" si="762"/>
        <v>8951822.916666666</v>
      </c>
      <c r="N1458" s="522">
        <f t="shared" si="762"/>
        <v>8951822.916666666</v>
      </c>
      <c r="O1458" s="410" t="s">
        <v>2638</v>
      </c>
    </row>
    <row r="1459" spans="1:15" s="217" customFormat="1">
      <c r="A1459" s="217">
        <v>25</v>
      </c>
      <c r="B1459" s="10" t="s">
        <v>2408</v>
      </c>
      <c r="C1459" s="11" t="s">
        <v>899</v>
      </c>
      <c r="D1459" s="217">
        <f>IF(A1459=B1420,"New Revenue Adjustments",IF(AND(C1459=D1420,A1459&lt;B1420),"Attrition Necessary",0))</f>
        <v>0</v>
      </c>
      <c r="E1459" s="522">
        <f t="shared" si="762"/>
        <v>0</v>
      </c>
      <c r="F1459" s="522">
        <f t="shared" si="762"/>
        <v>0</v>
      </c>
      <c r="G1459" s="522">
        <f t="shared" si="762"/>
        <v>0</v>
      </c>
      <c r="H1459" s="522">
        <f t="shared" si="762"/>
        <v>0</v>
      </c>
      <c r="I1459" s="522">
        <f t="shared" si="762"/>
        <v>0</v>
      </c>
      <c r="J1459" s="522">
        <f t="shared" si="762"/>
        <v>0</v>
      </c>
      <c r="K1459" s="522">
        <f t="shared" si="762"/>
        <v>0</v>
      </c>
      <c r="L1459" s="522">
        <f t="shared" si="762"/>
        <v>0</v>
      </c>
      <c r="M1459" s="522">
        <f t="shared" si="762"/>
        <v>0</v>
      </c>
      <c r="N1459" s="522">
        <f t="shared" si="762"/>
        <v>0</v>
      </c>
      <c r="O1459" s="410" t="s">
        <v>2639</v>
      </c>
    </row>
    <row r="1460" spans="1:15" s="217" customFormat="1">
      <c r="A1460" s="217">
        <v>26</v>
      </c>
      <c r="B1460" s="10" t="s">
        <v>2408</v>
      </c>
      <c r="C1460" s="11" t="s">
        <v>900</v>
      </c>
      <c r="D1460" s="217">
        <f>IF(A1460=B1420,"New Revenue Adjustments",IF(AND(C1460=D1420,A1460&lt;B1420),"Attrition Necessary",0))</f>
        <v>0</v>
      </c>
      <c r="E1460" s="522">
        <f t="shared" si="762"/>
        <v>0</v>
      </c>
      <c r="F1460" s="522">
        <f t="shared" si="762"/>
        <v>0</v>
      </c>
      <c r="G1460" s="522">
        <f t="shared" si="762"/>
        <v>0</v>
      </c>
      <c r="H1460" s="522">
        <f t="shared" si="762"/>
        <v>0</v>
      </c>
      <c r="I1460" s="522">
        <f t="shared" si="762"/>
        <v>0</v>
      </c>
      <c r="J1460" s="522">
        <f t="shared" si="762"/>
        <v>0</v>
      </c>
      <c r="K1460" s="522">
        <f t="shared" si="762"/>
        <v>0</v>
      </c>
      <c r="L1460" s="522">
        <f t="shared" si="762"/>
        <v>0</v>
      </c>
      <c r="M1460" s="522">
        <f t="shared" si="762"/>
        <v>0</v>
      </c>
      <c r="N1460" s="522">
        <f t="shared" si="762"/>
        <v>0</v>
      </c>
      <c r="O1460" s="410" t="s">
        <v>2640</v>
      </c>
    </row>
    <row r="1461" spans="1:15" s="217" customFormat="1">
      <c r="A1461" s="217">
        <v>27</v>
      </c>
      <c r="B1461" s="10" t="s">
        <v>2408</v>
      </c>
      <c r="C1461" s="11" t="s">
        <v>901</v>
      </c>
      <c r="D1461" s="217">
        <f>IF(A1461=B1420,"New Revenue Adjustments",IF(AND(C1461=D1420,A1461&lt;B1420),"Attrition Necessary",0))</f>
        <v>0</v>
      </c>
      <c r="E1461" s="522">
        <f t="shared" si="762"/>
        <v>0</v>
      </c>
      <c r="F1461" s="522">
        <f t="shared" si="762"/>
        <v>0</v>
      </c>
      <c r="G1461" s="522">
        <f t="shared" si="762"/>
        <v>0</v>
      </c>
      <c r="H1461" s="522">
        <f t="shared" si="762"/>
        <v>0</v>
      </c>
      <c r="I1461" s="522">
        <f t="shared" si="762"/>
        <v>0</v>
      </c>
      <c r="J1461" s="522">
        <f t="shared" si="762"/>
        <v>0</v>
      </c>
      <c r="K1461" s="522">
        <f t="shared" si="762"/>
        <v>0</v>
      </c>
      <c r="L1461" s="522">
        <f t="shared" si="762"/>
        <v>0</v>
      </c>
      <c r="M1461" s="522">
        <f t="shared" si="762"/>
        <v>0</v>
      </c>
      <c r="N1461" s="522">
        <f t="shared" si="762"/>
        <v>0</v>
      </c>
      <c r="O1461" s="410" t="s">
        <v>2641</v>
      </c>
    </row>
    <row r="1462" spans="1:15" s="217" customFormat="1">
      <c r="A1462" s="217">
        <v>28</v>
      </c>
      <c r="B1462" s="10" t="s">
        <v>2408</v>
      </c>
      <c r="C1462" s="11" t="s">
        <v>902</v>
      </c>
      <c r="D1462" s="217">
        <f>IF(A1462=B1420,"New Revenue Adjustments",IF(AND(C1462=D1420,A1462&lt;B1420),"Attrition Necessary",0))</f>
        <v>0</v>
      </c>
      <c r="E1462" s="522">
        <f t="shared" si="762"/>
        <v>0</v>
      </c>
      <c r="F1462" s="522">
        <f t="shared" si="762"/>
        <v>0</v>
      </c>
      <c r="G1462" s="522">
        <f t="shared" si="762"/>
        <v>0</v>
      </c>
      <c r="H1462" s="522">
        <f t="shared" si="762"/>
        <v>0</v>
      </c>
      <c r="I1462" s="522">
        <f t="shared" si="762"/>
        <v>0</v>
      </c>
      <c r="J1462" s="522">
        <f t="shared" si="762"/>
        <v>0</v>
      </c>
      <c r="K1462" s="522">
        <f t="shared" si="762"/>
        <v>0</v>
      </c>
      <c r="L1462" s="522">
        <f t="shared" si="762"/>
        <v>0</v>
      </c>
      <c r="M1462" s="522">
        <f t="shared" si="762"/>
        <v>0</v>
      </c>
      <c r="N1462" s="522">
        <f t="shared" si="762"/>
        <v>0</v>
      </c>
      <c r="O1462" s="410" t="s">
        <v>2642</v>
      </c>
    </row>
    <row r="1463" spans="1:15" s="217" customFormat="1">
      <c r="A1463" s="217">
        <v>29</v>
      </c>
      <c r="B1463" s="10" t="s">
        <v>2413</v>
      </c>
      <c r="C1463" s="11" t="s">
        <v>899</v>
      </c>
      <c r="D1463" s="217">
        <f>IF(A1463=B1420,"New Revenue Adjustments",IF(AND(C1463=D1420,A1463&lt;B1420),"Attrition Necessary",0))</f>
        <v>0</v>
      </c>
      <c r="E1463" s="522">
        <f t="shared" si="762"/>
        <v>0</v>
      </c>
      <c r="F1463" s="522">
        <f t="shared" si="762"/>
        <v>0</v>
      </c>
      <c r="G1463" s="522">
        <f t="shared" si="762"/>
        <v>0</v>
      </c>
      <c r="H1463" s="522">
        <f t="shared" si="762"/>
        <v>0</v>
      </c>
      <c r="I1463" s="522">
        <f t="shared" si="762"/>
        <v>0</v>
      </c>
      <c r="J1463" s="522">
        <f t="shared" si="762"/>
        <v>0</v>
      </c>
      <c r="K1463" s="522">
        <f t="shared" si="762"/>
        <v>0</v>
      </c>
      <c r="L1463" s="522">
        <f t="shared" si="762"/>
        <v>0</v>
      </c>
      <c r="M1463" s="522">
        <f t="shared" si="762"/>
        <v>0</v>
      </c>
      <c r="N1463" s="522">
        <f t="shared" si="762"/>
        <v>0</v>
      </c>
      <c r="O1463" s="410" t="s">
        <v>2643</v>
      </c>
    </row>
    <row r="1464" spans="1:15" s="217" customFormat="1">
      <c r="A1464" s="217">
        <v>30</v>
      </c>
      <c r="B1464" s="10" t="s">
        <v>2413</v>
      </c>
      <c r="C1464" s="11" t="s">
        <v>900</v>
      </c>
      <c r="D1464" s="217">
        <f>IF(A1464=B1420,"New Revenue Adjustments",IF(AND(C1464=D1420,A1464&lt;B1420),"Attrition Necessary",0))</f>
        <v>0</v>
      </c>
      <c r="E1464" s="522">
        <f t="shared" si="762"/>
        <v>0</v>
      </c>
      <c r="F1464" s="522">
        <f t="shared" si="762"/>
        <v>0</v>
      </c>
      <c r="G1464" s="522">
        <f t="shared" si="762"/>
        <v>0</v>
      </c>
      <c r="H1464" s="522">
        <f t="shared" si="762"/>
        <v>0</v>
      </c>
      <c r="I1464" s="522">
        <f t="shared" si="762"/>
        <v>0</v>
      </c>
      <c r="J1464" s="522">
        <f t="shared" si="762"/>
        <v>0</v>
      </c>
      <c r="K1464" s="522">
        <f t="shared" si="762"/>
        <v>0</v>
      </c>
      <c r="L1464" s="522">
        <f t="shared" si="762"/>
        <v>0</v>
      </c>
      <c r="M1464" s="522">
        <f t="shared" si="762"/>
        <v>0</v>
      </c>
      <c r="N1464" s="522">
        <f t="shared" si="762"/>
        <v>0</v>
      </c>
      <c r="O1464" s="410" t="s">
        <v>2644</v>
      </c>
    </row>
    <row r="1465" spans="1:15" s="217" customFormat="1">
      <c r="A1465" s="217">
        <v>31</v>
      </c>
      <c r="B1465" s="10" t="s">
        <v>2413</v>
      </c>
      <c r="C1465" s="11" t="s">
        <v>901</v>
      </c>
      <c r="D1465" s="217">
        <f>IF(A1465=B1420,"New Revenue Adjustments",IF(AND(C1465=D1420,A1465&lt;B1420),"Attrition Necessary",0))</f>
        <v>0</v>
      </c>
      <c r="E1465" s="522">
        <f t="shared" si="762"/>
        <v>0</v>
      </c>
      <c r="F1465" s="522">
        <f t="shared" si="762"/>
        <v>0</v>
      </c>
      <c r="G1465" s="522">
        <f t="shared" si="762"/>
        <v>0</v>
      </c>
      <c r="H1465" s="522">
        <f t="shared" si="762"/>
        <v>0</v>
      </c>
      <c r="I1465" s="522">
        <f t="shared" si="762"/>
        <v>0</v>
      </c>
      <c r="J1465" s="522">
        <f t="shared" si="762"/>
        <v>0</v>
      </c>
      <c r="K1465" s="522">
        <f t="shared" si="762"/>
        <v>0</v>
      </c>
      <c r="L1465" s="522">
        <f t="shared" si="762"/>
        <v>0</v>
      </c>
      <c r="M1465" s="522">
        <f t="shared" si="762"/>
        <v>0</v>
      </c>
      <c r="N1465" s="522">
        <f t="shared" si="762"/>
        <v>0</v>
      </c>
      <c r="O1465" s="410" t="s">
        <v>2645</v>
      </c>
    </row>
    <row r="1466" spans="1:15" s="217" customFormat="1">
      <c r="A1466" s="217">
        <v>32</v>
      </c>
      <c r="B1466" s="10" t="s">
        <v>2413</v>
      </c>
      <c r="C1466" s="11" t="s">
        <v>902</v>
      </c>
      <c r="D1466" s="217">
        <f>IF(A1466=B1420,"New Revenue Adjustments",IF(AND(C1466=D1420,A1466&lt;B1420),"Attrition Necessary",0))</f>
        <v>0</v>
      </c>
      <c r="E1466" s="522">
        <f t="shared" si="762"/>
        <v>0</v>
      </c>
      <c r="F1466" s="522">
        <f t="shared" si="762"/>
        <v>0</v>
      </c>
      <c r="G1466" s="522">
        <f t="shared" si="762"/>
        <v>0</v>
      </c>
      <c r="H1466" s="522">
        <f t="shared" si="762"/>
        <v>0</v>
      </c>
      <c r="I1466" s="522">
        <f t="shared" si="762"/>
        <v>0</v>
      </c>
      <c r="J1466" s="522">
        <f t="shared" si="762"/>
        <v>0</v>
      </c>
      <c r="K1466" s="522">
        <f t="shared" si="762"/>
        <v>0</v>
      </c>
      <c r="L1466" s="522">
        <f t="shared" si="762"/>
        <v>0</v>
      </c>
      <c r="M1466" s="522">
        <f t="shared" si="762"/>
        <v>0</v>
      </c>
      <c r="N1466" s="522">
        <f t="shared" si="762"/>
        <v>0</v>
      </c>
      <c r="O1466" s="410" t="s">
        <v>2646</v>
      </c>
    </row>
    <row r="1467" spans="1:15" s="217" customFormat="1">
      <c r="D1467" s="217" t="s">
        <v>910</v>
      </c>
      <c r="E1467" s="427">
        <f>SUM(E1435:E1466)</f>
        <v>87417053.783580616</v>
      </c>
      <c r="F1467" s="427">
        <f t="shared" ref="F1467" si="763">SUM(F1435:F1466)</f>
        <v>87417053.783580616</v>
      </c>
      <c r="G1467" s="427">
        <f t="shared" ref="G1467" si="764">SUM(G1435:G1466)</f>
        <v>87417053.783580616</v>
      </c>
      <c r="H1467" s="427">
        <f t="shared" ref="H1467" si="765">SUM(H1435:H1466)</f>
        <v>87417053.783580616</v>
      </c>
      <c r="I1467" s="427">
        <f t="shared" ref="I1467:N1467" si="766">SUM(I1435:I1466)</f>
        <v>87417053.783580616</v>
      </c>
      <c r="J1467" s="427">
        <f t="shared" si="766"/>
        <v>87417053.783580616</v>
      </c>
      <c r="K1467" s="427">
        <f t="shared" si="766"/>
        <v>87417053.783580616</v>
      </c>
      <c r="L1467" s="427">
        <f t="shared" si="766"/>
        <v>87417053.783580616</v>
      </c>
      <c r="M1467" s="427">
        <f t="shared" si="766"/>
        <v>87417053.783580616</v>
      </c>
      <c r="N1467" s="427">
        <f t="shared" si="766"/>
        <v>87417053.783580616</v>
      </c>
      <c r="O1467" s="217" t="s">
        <v>2647</v>
      </c>
    </row>
    <row r="1470" spans="1:15" s="473" customFormat="1">
      <c r="A1470" s="473" t="s">
        <v>2408</v>
      </c>
    </row>
    <row r="1471" spans="1:15">
      <c r="E1471" s="357"/>
      <c r="F1471" s="357"/>
      <c r="G1471" s="357"/>
      <c r="H1471" s="357"/>
      <c r="I1471" s="357"/>
      <c r="J1471" s="357"/>
      <c r="K1471" s="357"/>
      <c r="L1471" s="357"/>
      <c r="M1471" s="357"/>
      <c r="N1471" s="357"/>
    </row>
    <row r="1472" spans="1:15">
      <c r="A1472" s="217"/>
      <c r="B1472" s="69">
        <v>25</v>
      </c>
      <c r="C1472" s="217" t="s">
        <v>2408</v>
      </c>
      <c r="D1472" s="217" t="s">
        <v>899</v>
      </c>
    </row>
    <row r="1473" spans="1:18" s="217" customFormat="1">
      <c r="C1473" s="217" t="s">
        <v>1736</v>
      </c>
      <c r="E1473" s="409"/>
      <c r="F1473" s="409"/>
      <c r="G1473" s="409"/>
      <c r="H1473" s="409"/>
      <c r="I1473" s="409"/>
      <c r="J1473" s="409"/>
      <c r="K1473" s="409"/>
      <c r="L1473" s="409"/>
      <c r="M1473" s="409"/>
      <c r="N1473" s="409"/>
    </row>
    <row r="1474" spans="1:18" s="410" customFormat="1">
      <c r="D1474" s="410" t="s">
        <v>1754</v>
      </c>
      <c r="E1474" s="547">
        <f t="shared" ref="E1474:N1474" si="767">FORECAST(calcNPS,datatblNPSAttrition,datatblNPSScore)</f>
        <v>0.14946428571428572</v>
      </c>
      <c r="F1474" s="547">
        <f t="shared" si="767"/>
        <v>0.14946428571428572</v>
      </c>
      <c r="G1474" s="547">
        <f t="shared" si="767"/>
        <v>0.14946428571428572</v>
      </c>
      <c r="H1474" s="547">
        <f t="shared" si="767"/>
        <v>0.14946428571428572</v>
      </c>
      <c r="I1474" s="547">
        <f t="shared" si="767"/>
        <v>0.14946428571428572</v>
      </c>
      <c r="J1474" s="547">
        <f t="shared" si="767"/>
        <v>0.14946428571428572</v>
      </c>
      <c r="K1474" s="547">
        <f t="shared" si="767"/>
        <v>0.14946428571428572</v>
      </c>
      <c r="L1474" s="547">
        <f t="shared" si="767"/>
        <v>0.14946428571428572</v>
      </c>
      <c r="M1474" s="547">
        <f t="shared" si="767"/>
        <v>0.14946428571428572</v>
      </c>
      <c r="N1474" s="547">
        <f t="shared" si="767"/>
        <v>0.14946428571428572</v>
      </c>
    </row>
    <row r="1475" spans="1:18" s="410" customFormat="1">
      <c r="D1475" s="410" t="s">
        <v>1753</v>
      </c>
      <c r="E1475" s="547">
        <f>Data!$D$277</f>
        <v>0.1515124491492886</v>
      </c>
      <c r="F1475" s="547">
        <f>Data!$D$277</f>
        <v>0.1515124491492886</v>
      </c>
      <c r="G1475" s="547">
        <f>Data!$D$277</f>
        <v>0.1515124491492886</v>
      </c>
      <c r="H1475" s="547">
        <f>Data!$D$277</f>
        <v>0.1515124491492886</v>
      </c>
      <c r="I1475" s="547">
        <f>Data!$D$277</f>
        <v>0.1515124491492886</v>
      </c>
      <c r="J1475" s="547">
        <f>Data!$D$277</f>
        <v>0.1515124491492886</v>
      </c>
      <c r="K1475" s="547">
        <f>Data!$D$277</f>
        <v>0.1515124491492886</v>
      </c>
      <c r="L1475" s="547">
        <f>Data!$D$277</f>
        <v>0.1515124491492886</v>
      </c>
      <c r="M1475" s="547">
        <f>Data!$D$277</f>
        <v>0.1515124491492886</v>
      </c>
      <c r="N1475" s="547">
        <f>Data!$D$277</f>
        <v>0.1515124491492886</v>
      </c>
    </row>
    <row r="1476" spans="1:18" s="217" customFormat="1">
      <c r="D1476" s="217" t="s">
        <v>1755</v>
      </c>
      <c r="E1476" s="411">
        <f>E1474-E1475</f>
        <v>-2.0481634350028866E-3</v>
      </c>
      <c r="F1476" s="411">
        <f t="shared" ref="F1476" si="768">F1474-F1475</f>
        <v>-2.0481634350028866E-3</v>
      </c>
      <c r="G1476" s="411">
        <f t="shared" ref="G1476" si="769">G1474-G1475</f>
        <v>-2.0481634350028866E-3</v>
      </c>
      <c r="H1476" s="411">
        <f t="shared" ref="H1476" si="770">H1474-H1475</f>
        <v>-2.0481634350028866E-3</v>
      </c>
      <c r="I1476" s="411">
        <f t="shared" ref="I1476:N1476" si="771">I1474-I1475</f>
        <v>-2.0481634350028866E-3</v>
      </c>
      <c r="J1476" s="411">
        <f t="shared" si="771"/>
        <v>-2.0481634350028866E-3</v>
      </c>
      <c r="K1476" s="411">
        <f t="shared" si="771"/>
        <v>-2.0481634350028866E-3</v>
      </c>
      <c r="L1476" s="411">
        <f t="shared" si="771"/>
        <v>-2.0481634350028866E-3</v>
      </c>
      <c r="M1476" s="411">
        <f t="shared" si="771"/>
        <v>-2.0481634350028866E-3</v>
      </c>
      <c r="N1476" s="411">
        <f t="shared" si="771"/>
        <v>-2.0481634350028866E-3</v>
      </c>
      <c r="O1476" s="217" t="s">
        <v>2660</v>
      </c>
    </row>
    <row r="1477" spans="1:18" s="217" customFormat="1">
      <c r="C1477" s="217" t="s">
        <v>1757</v>
      </c>
      <c r="E1477" s="411"/>
      <c r="F1477" s="411"/>
      <c r="G1477" s="411"/>
      <c r="H1477" s="411"/>
      <c r="I1477" s="411"/>
      <c r="J1477" s="411"/>
      <c r="K1477" s="411"/>
      <c r="L1477" s="411"/>
      <c r="M1477" s="411"/>
      <c r="N1477" s="411"/>
    </row>
    <row r="1478" spans="1:18">
      <c r="D1478" s="69" t="s">
        <v>1151</v>
      </c>
      <c r="E1478" s="425">
        <f>IF(calcOrg62Timeline&lt;=$Q1478,INDEX(datatblOrg62Timeline,MATCH(decGTMOrg62Timeline,Data!$C$106:$C$111,0),2),0)*paramOrg62Impacts</f>
        <v>0</v>
      </c>
      <c r="F1478" s="425">
        <f>IF(calcOrg62Timeline&lt;=$Q1478,INDEX(datatblOrg62Timeline,MATCH(decGTMOrg62Timeline,Data!$C$106:$C$111,0),2),0)*paramOrg62Impacts</f>
        <v>0</v>
      </c>
      <c r="G1478" s="425">
        <f>IF(calcOrg62Timeline&lt;=$Q1478,INDEX(datatblOrg62Timeline,MATCH(decGTMOrg62Timeline,Data!$C$106:$C$111,0),2),0)*paramOrg62Impacts</f>
        <v>0</v>
      </c>
      <c r="H1478" s="425">
        <f>IF(calcOrg62Timeline&lt;=$Q1478,INDEX(datatblOrg62Timeline,MATCH(decGTMOrg62Timeline,Data!$C$106:$C$111,0),2),0)*paramOrg62Impacts</f>
        <v>0</v>
      </c>
      <c r="I1478" s="425">
        <f>IF(calcOrg62Timeline&lt;=$Q1478,INDEX(datatblOrg62Timeline,MATCH(decGTMOrg62Timeline,Data!$C$106:$C$111,0),2),0)*paramOrg62Impacts</f>
        <v>0</v>
      </c>
      <c r="J1478" s="425">
        <f>IF(calcOrg62Timeline&lt;=$Q1478,INDEX(datatblOrg62Timeline,MATCH(decGTMOrg62Timeline,Data!$C$106:$C$111,0),2),0)*paramOrg62Impacts</f>
        <v>0</v>
      </c>
      <c r="K1478" s="425">
        <f>IF(calcOrg62Timeline&lt;=$Q1478,INDEX(datatblOrg62Timeline,MATCH(decGTMOrg62Timeline,Data!$C$106:$C$111,0),2),0)*paramOrg62Impacts</f>
        <v>0</v>
      </c>
      <c r="L1478" s="425">
        <f>IF(calcOrg62Timeline&lt;=$Q1478,INDEX(datatblOrg62Timeline,MATCH(decGTMOrg62Timeline,Data!$C$106:$C$111,0),2),0)*paramOrg62Impacts</f>
        <v>0</v>
      </c>
      <c r="M1478" s="425">
        <f>IF(calcOrg62Timeline&lt;=$Q1478,INDEX(datatblOrg62Timeline,MATCH(decGTMOrg62Timeline,Data!$C$106:$C$111,0),2),0)*paramOrg62Impacts</f>
        <v>0</v>
      </c>
      <c r="N1478" s="425">
        <f>IF(calcOrg62Timeline&lt;=$Q1478,INDEX(datatblOrg62Timeline,MATCH(decGTMOrg62Timeline,Data!$C$106:$C$111,0),2),0)*paramOrg62Impacts</f>
        <v>0</v>
      </c>
      <c r="Q1478" s="69">
        <v>24</v>
      </c>
    </row>
    <row r="1479" spans="1:18">
      <c r="D1479" s="69" t="s">
        <v>507</v>
      </c>
      <c r="E1479" s="425">
        <f>IF(calcProductTimeline&lt;=$Q1479,INDEX(datatblStackFocusImpact,MATCH(decProductStackFocus,Data!$C$96:$C$101,0),2),0)+paramACVGrowthStack</f>
        <v>0</v>
      </c>
      <c r="F1479" s="425">
        <f>IF(calcProductTimeline&lt;=$Q1479,INDEX(datatblStackFocusImpact,MATCH(decProductStackFocus,Data!$C$96:$C$101,0),2),0)+paramACVGrowthStack</f>
        <v>0</v>
      </c>
      <c r="G1479" s="425">
        <f>IF(calcProductTimeline&lt;=$Q1479,INDEX(datatblStackFocusImpact,MATCH(decProductStackFocus,Data!$C$96:$C$101,0),2),0)+paramACVGrowthStack</f>
        <v>0</v>
      </c>
      <c r="H1479" s="425">
        <f>IF(calcProductTimeline&lt;=$Q1479,INDEX(datatblStackFocusImpact,MATCH(decProductStackFocus,Data!$C$96:$C$101,0),2),0)+paramACVGrowthStack</f>
        <v>0</v>
      </c>
      <c r="I1479" s="425">
        <f>IF(calcProductTimeline&lt;=$Q1479,INDEX(datatblStackFocusImpact,MATCH(decProductStackFocus,Data!$C$96:$C$101,0),2),0)+paramACVGrowthStack</f>
        <v>0</v>
      </c>
      <c r="J1479" s="425">
        <f>IF(calcProductTimeline&lt;=$Q1479,INDEX(datatblStackFocusImpact,MATCH(decProductStackFocus,Data!$C$96:$C$101,0),2),0)+paramACVGrowthStack</f>
        <v>0</v>
      </c>
      <c r="K1479" s="425">
        <f>IF(calcProductTimeline&lt;=$Q1479,INDEX(datatblStackFocusImpact,MATCH(decProductStackFocus,Data!$C$96:$C$101,0),2),0)+paramACVGrowthStack</f>
        <v>0</v>
      </c>
      <c r="L1479" s="425">
        <f>IF(calcProductTimeline&lt;=$Q1479,INDEX(datatblStackFocusImpact,MATCH(decProductStackFocus,Data!$C$96:$C$101,0),2),0)+paramACVGrowthStack</f>
        <v>0</v>
      </c>
      <c r="M1479" s="425">
        <f>IF(calcProductTimeline&lt;=$Q1479,INDEX(datatblStackFocusImpact,MATCH(decProductStackFocus,Data!$C$96:$C$101,0),2),0)+paramACVGrowthStack</f>
        <v>0</v>
      </c>
      <c r="N1479" s="425">
        <f>IF(calcProductTimeline&lt;=$Q1479,INDEX(datatblStackFocusImpact,MATCH(decProductStackFocus,Data!$C$96:$C$101,0),2),0)+paramACVGrowthStack</f>
        <v>0</v>
      </c>
      <c r="Q1479" s="69">
        <f>Q1478</f>
        <v>24</v>
      </c>
    </row>
    <row r="1480" spans="1:18">
      <c r="D1480" s="69" t="s">
        <v>2237</v>
      </c>
      <c r="E1480" s="425">
        <f>IF(calcExternalSalesTimeline&lt;=$Q1480,INDEX(datatblExternalSalesImpact,MATCH(decGTMExternalSales,Data!$C$85:$C$90,0),2),0)</f>
        <v>0</v>
      </c>
      <c r="F1480" s="425">
        <f>IF(calcExternalSalesTimeline&lt;=$Q1480,INDEX(datatblExternalSalesImpact,MATCH(decGTMExternalSales,Data!$C$85:$C$90,0),2),0)</f>
        <v>0</v>
      </c>
      <c r="G1480" s="425">
        <f>IF(calcExternalSalesTimeline&lt;=$Q1480,INDEX(datatblExternalSalesImpact,MATCH(decGTMExternalSales,Data!$C$85:$C$90,0),2),0)</f>
        <v>0</v>
      </c>
      <c r="H1480" s="425">
        <f>IF(calcExternalSalesTimeline&lt;=$Q1480,INDEX(datatblExternalSalesImpact,MATCH(decGTMExternalSales,Data!$C$85:$C$90,0),2),0)</f>
        <v>0</v>
      </c>
      <c r="I1480" s="425">
        <f>IF(calcExternalSalesTimeline&lt;=$Q1480,INDEX(datatblExternalSalesImpact,MATCH(decGTMExternalSales,Data!$C$85:$C$90,0),2),0)</f>
        <v>0</v>
      </c>
      <c r="J1480" s="425">
        <f>IF(calcExternalSalesTimeline&lt;=$Q1480,INDEX(datatblExternalSalesImpact,MATCH(decGTMExternalSales,Data!$C$85:$C$90,0),2),0)</f>
        <v>0</v>
      </c>
      <c r="K1480" s="425">
        <f>IF(calcExternalSalesTimeline&lt;=$Q1480,INDEX(datatblExternalSalesImpact,MATCH(decGTMExternalSales,Data!$C$85:$C$90,0),2),0)</f>
        <v>0</v>
      </c>
      <c r="L1480" s="425">
        <f>IF(calcExternalSalesTimeline&lt;=$Q1480,INDEX(datatblExternalSalesImpact,MATCH(decGTMExternalSales,Data!$C$85:$C$90,0),2),0)</f>
        <v>0</v>
      </c>
      <c r="M1480" s="425">
        <f>IF(calcExternalSalesTimeline&lt;=$Q1480,INDEX(datatblExternalSalesImpact,MATCH(decGTMExternalSales,Data!$C$85:$C$90,0),2),0)</f>
        <v>0</v>
      </c>
      <c r="N1480" s="425">
        <f>IF(calcExternalSalesTimeline&lt;=$Q1480,INDEX(datatblExternalSalesImpact,MATCH(decGTMExternalSales,Data!$C$85:$C$90,0),2),0)</f>
        <v>0</v>
      </c>
      <c r="O1480" s="482">
        <v>0.05</v>
      </c>
      <c r="P1480" s="482">
        <v>-0.05</v>
      </c>
      <c r="Q1480" s="69">
        <f>Q1479</f>
        <v>24</v>
      </c>
    </row>
    <row r="1481" spans="1:18">
      <c r="D1481" s="69" t="s">
        <v>2284</v>
      </c>
      <c r="E1481" s="425">
        <f>IF(calcCSGTimeline&lt;=$Q1481,INDEX(datatblCSGPostSales,MATCH(decGTMCSGPostSales,Data!$C$204:$C$209,0),3),0)</f>
        <v>0</v>
      </c>
      <c r="F1481" s="425">
        <f>IF(calcCSGTimeline&lt;=$Q1481,INDEX(datatblCSGPostSales,MATCH(decGTMCSGPostSales,Data!$C$204:$C$209,0),3),0)</f>
        <v>0</v>
      </c>
      <c r="G1481" s="425">
        <f>IF(calcCSGTimeline&lt;=$Q1481,INDEX(datatblCSGPostSales,MATCH(decGTMCSGPostSales,Data!$C$204:$C$209,0),3),0)</f>
        <v>0</v>
      </c>
      <c r="H1481" s="425">
        <f>IF(calcCSGTimeline&lt;=$Q1481,INDEX(datatblCSGPostSales,MATCH(decGTMCSGPostSales,Data!$C$204:$C$209,0),3),0)</f>
        <v>0</v>
      </c>
      <c r="I1481" s="425">
        <f>IF(calcCSGTimeline&lt;=$Q1481,INDEX(datatblCSGPostSales,MATCH(decGTMCSGPostSales,Data!$C$204:$C$209,0),3),0)</f>
        <v>0</v>
      </c>
      <c r="J1481" s="425">
        <f>IF(calcCSGTimeline&lt;=$Q1481,INDEX(datatblCSGPostSales,MATCH(decGTMCSGPostSales,Data!$C$204:$C$209,0),3),0)</f>
        <v>0</v>
      </c>
      <c r="K1481" s="425">
        <f>IF(calcCSGTimeline&lt;=$Q1481,INDEX(datatblCSGPostSales,MATCH(decGTMCSGPostSales,Data!$C$204:$C$209,0),3),0)</f>
        <v>0</v>
      </c>
      <c r="L1481" s="425">
        <f>IF(calcCSGTimeline&lt;=$Q1481,INDEX(datatblCSGPostSales,MATCH(decGTMCSGPostSales,Data!$C$204:$C$209,0),3),0)</f>
        <v>0</v>
      </c>
      <c r="M1481" s="425">
        <f>IF(calcCSGTimeline&lt;=$Q1481,INDEX(datatblCSGPostSales,MATCH(decGTMCSGPostSales,Data!$C$204:$C$209,0),3),0)</f>
        <v>0</v>
      </c>
      <c r="N1481" s="425">
        <f>IF(calcCSGTimeline&lt;=$Q1481,INDEX(datatblCSGPostSales,MATCH(decGTMCSGPostSales,Data!$C$204:$C$209,0),3),0)</f>
        <v>0</v>
      </c>
      <c r="O1481" s="482"/>
      <c r="P1481" s="482"/>
      <c r="Q1481" s="69">
        <f>Q1480</f>
        <v>24</v>
      </c>
    </row>
    <row r="1482" spans="1:18">
      <c r="D1482" s="69" t="s">
        <v>3079</v>
      </c>
      <c r="E1482" s="425">
        <f>IF(calcBrandIntegrationTimeline&lt;=$Q1482,INDEX(datatblBrandIntegration,MATCH(decGTMBrandIntegration,Data!$C$220:$C$226,0),3),0)</f>
        <v>0</v>
      </c>
      <c r="F1482" s="425">
        <f>IF(calcBrandIntegrationTimeline&lt;=$Q1482,INDEX(datatblBrandIntegration,MATCH(decGTMBrandIntegration,Data!$C$220:$C$226,0),3),0)</f>
        <v>0</v>
      </c>
      <c r="G1482" s="425">
        <f>IF(calcBrandIntegrationTimeline&lt;=$Q1482,INDEX(datatblBrandIntegration,MATCH(decGTMBrandIntegration,Data!$C$220:$C$226,0),3),0)</f>
        <v>0</v>
      </c>
      <c r="H1482" s="425">
        <f>IF(calcBrandIntegrationTimeline&lt;=$Q1482,INDEX(datatblBrandIntegration,MATCH(decGTMBrandIntegration,Data!$C$220:$C$226,0),3),0)</f>
        <v>0</v>
      </c>
      <c r="I1482" s="425">
        <f>IF(calcBrandIntegrationTimeline&lt;=$Q1482,INDEX(datatblBrandIntegration,MATCH(decGTMBrandIntegration,Data!$C$220:$C$226,0),3),0)</f>
        <v>0</v>
      </c>
      <c r="J1482" s="425">
        <f>IF(calcBrandIntegrationTimeline&lt;=$Q1482,INDEX(datatblBrandIntegration,MATCH(decGTMBrandIntegration,Data!$C$220:$C$226,0),3),0)</f>
        <v>0</v>
      </c>
      <c r="K1482" s="425">
        <f>IF(calcBrandIntegrationTimeline&lt;=$Q1482,INDEX(datatblBrandIntegration,MATCH(decGTMBrandIntegration,Data!$C$220:$C$226,0),3),0)</f>
        <v>0</v>
      </c>
      <c r="L1482" s="425">
        <f>IF(calcBrandIntegrationTimeline&lt;=$Q1482,INDEX(datatblBrandIntegration,MATCH(decGTMBrandIntegration,Data!$C$220:$C$226,0),3),0)</f>
        <v>0</v>
      </c>
      <c r="M1482" s="425">
        <f>IF(calcBrandIntegrationTimeline&lt;=$Q1482,INDEX(datatblBrandIntegration,MATCH(decGTMBrandIntegration,Data!$C$220:$C$226,0),3),0)</f>
        <v>0</v>
      </c>
      <c r="N1482" s="425">
        <f>IF(calcBrandIntegrationTimeline&lt;=$Q1482,INDEX(datatblBrandIntegration,MATCH(decGTMBrandIntegration,Data!$C$220:$C$226,0),3),0)</f>
        <v>0</v>
      </c>
      <c r="O1482" s="482"/>
      <c r="P1482" s="482"/>
      <c r="Q1482" s="69">
        <f>Q1481</f>
        <v>24</v>
      </c>
    </row>
    <row r="1483" spans="1:18">
      <c r="D1483" s="69" t="s">
        <v>2277</v>
      </c>
      <c r="E1483" s="425">
        <f>IF(decGTMOrg62Timeline="choose",0,IF(E1478=0,INDEX(datatblLeadPass,MATCH(decGTMLeadPass,Data!$C$212:$C$217,0),3),0))</f>
        <v>0</v>
      </c>
      <c r="F1483" s="425">
        <f>IF(decGTMOrg62Timeline="choose",0,IF(F1478=0,INDEX(datatblLeadPass,MATCH(decGTMLeadPass,Data!$C$212:$C$217,0),3),0))</f>
        <v>0</v>
      </c>
      <c r="G1483" s="425">
        <f>IF(decGTMOrg62Timeline="choose",0,IF(G1478=0,INDEX(datatblLeadPass,MATCH(decGTMLeadPass,Data!$C$212:$C$217,0),3),0))</f>
        <v>0</v>
      </c>
      <c r="H1483" s="425">
        <f>IF(decGTMOrg62Timeline="choose",0,IF(H1478=0,INDEX(datatblLeadPass,MATCH(decGTMLeadPass,Data!$C$212:$C$217,0),3),0))</f>
        <v>0</v>
      </c>
      <c r="I1483" s="425">
        <f>IF(decGTMOrg62Timeline="choose",0,IF(I1478=0,INDEX(datatblLeadPass,MATCH(decGTMLeadPass,Data!$C$212:$C$217,0),3),0))</f>
        <v>0</v>
      </c>
      <c r="J1483" s="425">
        <f>IF(decGTMOrg62Timeline="choose",0,IF(J1478=0,INDEX(datatblLeadPass,MATCH(decGTMLeadPass,Data!$C$212:$C$217,0),3),0))</f>
        <v>0</v>
      </c>
      <c r="K1483" s="425">
        <f>IF(decGTMOrg62Timeline="choose",0,IF(K1478=0,INDEX(datatblLeadPass,MATCH(decGTMLeadPass,Data!$C$212:$C$217,0),3),0))</f>
        <v>0</v>
      </c>
      <c r="L1483" s="425">
        <f>IF(decGTMOrg62Timeline="choose",0,IF(L1478=0,INDEX(datatblLeadPass,MATCH(decGTMLeadPass,Data!$C$212:$C$217,0),3),0))</f>
        <v>0</v>
      </c>
      <c r="M1483" s="425">
        <f>IF(decGTMOrg62Timeline="choose",0,IF(M1478=0,INDEX(datatblLeadPass,MATCH(decGTMLeadPass,Data!$C$212:$C$217,0),3),0))</f>
        <v>0</v>
      </c>
      <c r="N1483" s="425">
        <f>IF(decGTMOrg62Timeline="choose",0,IF(N1478=0,INDEX(datatblLeadPass,MATCH(decGTMLeadPass,Data!$C$212:$C$217,0),3),0))</f>
        <v>0</v>
      </c>
      <c r="O1483" s="482"/>
      <c r="P1483" s="482"/>
    </row>
    <row r="1484" spans="1:18">
      <c r="D1484" s="69" t="s">
        <v>1032</v>
      </c>
      <c r="E1484" s="425">
        <f>IF(decSecurityProductRestrictions="Yes",$Q1484,IF(decSecurityProductRestrictions="No",$R1484,$S1484))</f>
        <v>0</v>
      </c>
      <c r="F1484" s="425">
        <f t="shared" ref="F1484:N1484" si="772">IF(decSecurityProductRestrictions="Yes",$Q1484,IF(decSecurityProductRestrictions="No",$R1484,$S1484))</f>
        <v>0</v>
      </c>
      <c r="G1484" s="425">
        <f t="shared" si="772"/>
        <v>0</v>
      </c>
      <c r="H1484" s="425">
        <f t="shared" si="772"/>
        <v>0</v>
      </c>
      <c r="I1484" s="425">
        <f t="shared" si="772"/>
        <v>0</v>
      </c>
      <c r="J1484" s="425">
        <f t="shared" si="772"/>
        <v>0</v>
      </c>
      <c r="K1484" s="425">
        <f t="shared" si="772"/>
        <v>0</v>
      </c>
      <c r="L1484" s="425">
        <f t="shared" si="772"/>
        <v>0</v>
      </c>
      <c r="M1484" s="425">
        <f t="shared" si="772"/>
        <v>0</v>
      </c>
      <c r="N1484" s="425">
        <f t="shared" si="772"/>
        <v>0</v>
      </c>
      <c r="Q1484" s="482">
        <f>xxProductRestrictionACVHit</f>
        <v>-0.02</v>
      </c>
      <c r="R1484" s="482">
        <f>xxProductRestrictionACVIncrease</f>
        <v>0.02</v>
      </c>
    </row>
    <row r="1485" spans="1:18" s="217" customFormat="1">
      <c r="D1485" s="217" t="s">
        <v>1758</v>
      </c>
      <c r="E1485" s="411">
        <f t="shared" ref="E1485:N1485" si="773">SUM(E1478:E1484)+paramACVGrowthBaseline</f>
        <v>0</v>
      </c>
      <c r="F1485" s="411">
        <f t="shared" si="773"/>
        <v>0</v>
      </c>
      <c r="G1485" s="411">
        <f t="shared" si="773"/>
        <v>0</v>
      </c>
      <c r="H1485" s="411">
        <f t="shared" si="773"/>
        <v>0</v>
      </c>
      <c r="I1485" s="411">
        <f t="shared" si="773"/>
        <v>0</v>
      </c>
      <c r="J1485" s="411">
        <f t="shared" si="773"/>
        <v>0</v>
      </c>
      <c r="K1485" s="411">
        <f t="shared" si="773"/>
        <v>0</v>
      </c>
      <c r="L1485" s="411">
        <f t="shared" si="773"/>
        <v>0</v>
      </c>
      <c r="M1485" s="411">
        <f t="shared" si="773"/>
        <v>0</v>
      </c>
      <c r="N1485" s="411">
        <f t="shared" si="773"/>
        <v>0</v>
      </c>
      <c r="O1485" s="217" t="s">
        <v>2661</v>
      </c>
    </row>
    <row r="1486" spans="1:18" s="217" customFormat="1">
      <c r="E1486" s="411"/>
      <c r="F1486" s="411"/>
      <c r="G1486" s="411"/>
      <c r="H1486" s="411"/>
      <c r="I1486" s="411"/>
      <c r="J1486" s="411"/>
      <c r="K1486" s="411"/>
      <c r="L1486" s="411"/>
      <c r="M1486" s="411"/>
      <c r="N1486" s="411"/>
    </row>
    <row r="1487" spans="1:18" s="217" customFormat="1">
      <c r="A1487" s="217">
        <v>1</v>
      </c>
      <c r="B1487" s="10" t="s">
        <v>1735</v>
      </c>
      <c r="C1487" s="11" t="s">
        <v>899</v>
      </c>
      <c r="D1487" s="217" t="str">
        <f>IF(A1487=B1472,"New Revenue Adjustments",IF(AND(C1487=D1472,A1487&lt;B1472),"Attrition Necessary",0))</f>
        <v>Attrition Necessary</v>
      </c>
      <c r="E1487" s="522">
        <f t="shared" ref="E1487:E1518" si="774">IF($B$1472&gt;$A1487,INDEX(calcY3Q4RevFlow,$A1487,calcTeamNum)*(IF($D1487="Attrition Necessary",1-calcQ2AttritionDifference,1)*(IF($D1487="New Revenue Adjustments",1+calcY4Q1RevenueAdjustment,1))),INDEX(dataY4Q1Rev,$A1487,)*(IF($D1487="Attrition Necessary",1-calcQ2AttritionDifference,1))*(IF($D1487="New Revenue Adjustments",1+calcY4Q1RevenueAdjustment,1)))</f>
        <v>925455.4549802402</v>
      </c>
      <c r="F1487" s="522">
        <f t="shared" ref="F1487:N1496" si="775">IF($B$1472&gt;$A1487,INDEX(calcY3Q4RevFlow,$A1487,calcTeamNum)*(IF($D1487="Attrition Necessary",1-calcQ2AttritionDifference,1)*(IF($D1487="New Revenue Adjustments",1+calcY4Q1RevenueAdjustment,1))),INDEX(dataY4Q1Rev,$A1487,)*(IF($D1487="Attrition Necessary",1-calcQ2AttritionDifference,1))*(IF($D1487="New Revenue Adjustments",1+calcY4Q1RevenueAdjustment,1)))</f>
        <v>925455.4549802402</v>
      </c>
      <c r="G1487" s="522">
        <f t="shared" si="775"/>
        <v>925455.4549802402</v>
      </c>
      <c r="H1487" s="522">
        <f t="shared" si="775"/>
        <v>925455.4549802402</v>
      </c>
      <c r="I1487" s="522">
        <f t="shared" si="775"/>
        <v>925455.4549802402</v>
      </c>
      <c r="J1487" s="522">
        <f t="shared" si="775"/>
        <v>925455.4549802402</v>
      </c>
      <c r="K1487" s="522">
        <f t="shared" si="775"/>
        <v>925455.4549802402</v>
      </c>
      <c r="L1487" s="522">
        <f t="shared" si="775"/>
        <v>925455.4549802402</v>
      </c>
      <c r="M1487" s="522">
        <f t="shared" si="775"/>
        <v>925455.4549802402</v>
      </c>
      <c r="N1487" s="522">
        <f t="shared" si="775"/>
        <v>925455.4549802402</v>
      </c>
      <c r="O1487" s="410" t="s">
        <v>2662</v>
      </c>
    </row>
    <row r="1488" spans="1:18" s="217" customFormat="1">
      <c r="A1488" s="217">
        <v>2</v>
      </c>
      <c r="B1488" s="10" t="s">
        <v>1735</v>
      </c>
      <c r="C1488" s="11" t="s">
        <v>900</v>
      </c>
      <c r="D1488" s="217">
        <f>IF(A1488=B1472,"New Revenue Adjustments",IF(AND(C1488=D1472,A1488&lt;B1472),"Attrition Necessary",0))</f>
        <v>0</v>
      </c>
      <c r="E1488" s="522">
        <f t="shared" si="774"/>
        <v>1629818.5504984274</v>
      </c>
      <c r="F1488" s="522">
        <f t="shared" si="775"/>
        <v>1629818.5504984274</v>
      </c>
      <c r="G1488" s="522">
        <f t="shared" si="775"/>
        <v>1629818.5504984274</v>
      </c>
      <c r="H1488" s="522">
        <f t="shared" si="775"/>
        <v>1629818.5504984274</v>
      </c>
      <c r="I1488" s="522">
        <f t="shared" si="775"/>
        <v>1629818.5504984274</v>
      </c>
      <c r="J1488" s="522">
        <f t="shared" si="775"/>
        <v>1629818.5504984274</v>
      </c>
      <c r="K1488" s="522">
        <f t="shared" si="775"/>
        <v>1629818.5504984274</v>
      </c>
      <c r="L1488" s="522">
        <f t="shared" si="775"/>
        <v>1629818.5504984274</v>
      </c>
      <c r="M1488" s="522">
        <f t="shared" si="775"/>
        <v>1629818.5504984274</v>
      </c>
      <c r="N1488" s="522">
        <f t="shared" si="775"/>
        <v>1629818.5504984274</v>
      </c>
      <c r="O1488" s="410" t="s">
        <v>2663</v>
      </c>
    </row>
    <row r="1489" spans="1:15" s="217" customFormat="1">
      <c r="A1489" s="217">
        <v>3</v>
      </c>
      <c r="B1489" s="10" t="s">
        <v>1735</v>
      </c>
      <c r="C1489" s="11" t="s">
        <v>901</v>
      </c>
      <c r="D1489" s="217">
        <f>IF(A1489=B1472,"New Revenue Adjustments",IF(AND(C1489=D1472,A1489&lt;B1472),"Attrition Necessary",0))</f>
        <v>0</v>
      </c>
      <c r="E1489" s="522">
        <f t="shared" si="774"/>
        <v>2173091.4006645698</v>
      </c>
      <c r="F1489" s="522">
        <f t="shared" si="775"/>
        <v>2173091.4006645698</v>
      </c>
      <c r="G1489" s="522">
        <f t="shared" si="775"/>
        <v>2173091.4006645698</v>
      </c>
      <c r="H1489" s="522">
        <f t="shared" si="775"/>
        <v>2173091.4006645698</v>
      </c>
      <c r="I1489" s="522">
        <f t="shared" si="775"/>
        <v>2173091.4006645698</v>
      </c>
      <c r="J1489" s="522">
        <f t="shared" si="775"/>
        <v>2173091.4006645698</v>
      </c>
      <c r="K1489" s="522">
        <f t="shared" si="775"/>
        <v>2173091.4006645698</v>
      </c>
      <c r="L1489" s="522">
        <f t="shared" si="775"/>
        <v>2173091.4006645698</v>
      </c>
      <c r="M1489" s="522">
        <f t="shared" si="775"/>
        <v>2173091.4006645698</v>
      </c>
      <c r="N1489" s="522">
        <f t="shared" si="775"/>
        <v>2173091.4006645698</v>
      </c>
      <c r="O1489" s="410" t="s">
        <v>2664</v>
      </c>
    </row>
    <row r="1490" spans="1:15" s="217" customFormat="1">
      <c r="A1490" s="217">
        <v>4</v>
      </c>
      <c r="B1490" s="10" t="s">
        <v>1735</v>
      </c>
      <c r="C1490" s="11" t="s">
        <v>902</v>
      </c>
      <c r="D1490" s="217">
        <f>IF(A1490=B1472,"New Revenue Adjustments",IF(AND(C1490=D1472,A1490&lt;B1472),"Attrition Necessary",0))</f>
        <v>0</v>
      </c>
      <c r="E1490" s="522">
        <f t="shared" si="774"/>
        <v>2716364.2508307123</v>
      </c>
      <c r="F1490" s="522">
        <f t="shared" si="775"/>
        <v>2716364.2508307123</v>
      </c>
      <c r="G1490" s="522">
        <f t="shared" si="775"/>
        <v>2716364.2508307123</v>
      </c>
      <c r="H1490" s="522">
        <f t="shared" si="775"/>
        <v>2716364.2508307123</v>
      </c>
      <c r="I1490" s="522">
        <f t="shared" si="775"/>
        <v>2716364.2508307123</v>
      </c>
      <c r="J1490" s="522">
        <f t="shared" si="775"/>
        <v>2716364.2508307123</v>
      </c>
      <c r="K1490" s="522">
        <f t="shared" si="775"/>
        <v>2716364.2508307123</v>
      </c>
      <c r="L1490" s="522">
        <f t="shared" si="775"/>
        <v>2716364.2508307123</v>
      </c>
      <c r="M1490" s="522">
        <f t="shared" si="775"/>
        <v>2716364.2508307123</v>
      </c>
      <c r="N1490" s="522">
        <f t="shared" si="775"/>
        <v>2716364.2508307123</v>
      </c>
      <c r="O1490" s="410" t="s">
        <v>2665</v>
      </c>
    </row>
    <row r="1491" spans="1:15" s="217" customFormat="1">
      <c r="A1491" s="217">
        <v>5</v>
      </c>
      <c r="B1491" s="10" t="s">
        <v>1729</v>
      </c>
      <c r="C1491" s="11" t="s">
        <v>899</v>
      </c>
      <c r="D1491" s="217" t="str">
        <f>IF(A1491=B1472,"New Revenue Adjustments",IF(AND(C1491=D1472,A1491&lt;B1472),"Attrition Necessary",0))</f>
        <v>Attrition Necessary</v>
      </c>
      <c r="E1491" s="522">
        <f t="shared" si="774"/>
        <v>1088771.1235061651</v>
      </c>
      <c r="F1491" s="522">
        <f t="shared" si="775"/>
        <v>1088771.1235061651</v>
      </c>
      <c r="G1491" s="522">
        <f t="shared" si="775"/>
        <v>1088771.1235061651</v>
      </c>
      <c r="H1491" s="522">
        <f t="shared" si="775"/>
        <v>1088771.1235061651</v>
      </c>
      <c r="I1491" s="522">
        <f t="shared" si="775"/>
        <v>1088771.1235061651</v>
      </c>
      <c r="J1491" s="522">
        <f t="shared" si="775"/>
        <v>1088771.1235061651</v>
      </c>
      <c r="K1491" s="522">
        <f t="shared" si="775"/>
        <v>1088771.1235061651</v>
      </c>
      <c r="L1491" s="522">
        <f t="shared" si="775"/>
        <v>1088771.1235061651</v>
      </c>
      <c r="M1491" s="522">
        <f t="shared" si="775"/>
        <v>1088771.1235061651</v>
      </c>
      <c r="N1491" s="522">
        <f t="shared" si="775"/>
        <v>1088771.1235061651</v>
      </c>
      <c r="O1491" s="410" t="s">
        <v>2666</v>
      </c>
    </row>
    <row r="1492" spans="1:15" s="217" customFormat="1">
      <c r="A1492" s="217">
        <v>6</v>
      </c>
      <c r="B1492" s="10" t="s">
        <v>1729</v>
      </c>
      <c r="C1492" s="11" t="s">
        <v>900</v>
      </c>
      <c r="D1492" s="217">
        <f>IF(A1492=B1472,"New Revenue Adjustments",IF(AND(C1492=D1472,A1492&lt;B1472),"Attrition Necessary",0))</f>
        <v>0</v>
      </c>
      <c r="E1492" s="522">
        <f t="shared" si="774"/>
        <v>1565138.2263353716</v>
      </c>
      <c r="F1492" s="522">
        <f t="shared" si="775"/>
        <v>1565138.2263353716</v>
      </c>
      <c r="G1492" s="522">
        <f t="shared" si="775"/>
        <v>1565138.2263353716</v>
      </c>
      <c r="H1492" s="522">
        <f t="shared" si="775"/>
        <v>1565138.2263353716</v>
      </c>
      <c r="I1492" s="522">
        <f t="shared" si="775"/>
        <v>1565138.2263353716</v>
      </c>
      <c r="J1492" s="522">
        <f t="shared" si="775"/>
        <v>1565138.2263353716</v>
      </c>
      <c r="K1492" s="522">
        <f t="shared" si="775"/>
        <v>1565138.2263353716</v>
      </c>
      <c r="L1492" s="522">
        <f t="shared" si="775"/>
        <v>1565138.2263353716</v>
      </c>
      <c r="M1492" s="522">
        <f t="shared" si="775"/>
        <v>1565138.2263353716</v>
      </c>
      <c r="N1492" s="522">
        <f t="shared" si="775"/>
        <v>1565138.2263353716</v>
      </c>
      <c r="O1492" s="410" t="s">
        <v>2667</v>
      </c>
    </row>
    <row r="1493" spans="1:15" s="217" customFormat="1">
      <c r="A1493" s="217">
        <v>7</v>
      </c>
      <c r="B1493" s="10" t="s">
        <v>1729</v>
      </c>
      <c r="C1493" s="11" t="s">
        <v>901</v>
      </c>
      <c r="D1493" s="217">
        <f>IF(A1493=B1472,"New Revenue Adjustments",IF(AND(C1493=D1472,A1493&lt;B1472),"Attrition Necessary",0))</f>
        <v>0</v>
      </c>
      <c r="E1493" s="522">
        <f t="shared" si="774"/>
        <v>2418849.9861546657</v>
      </c>
      <c r="F1493" s="522">
        <f t="shared" si="775"/>
        <v>2418849.9861546657</v>
      </c>
      <c r="G1493" s="522">
        <f t="shared" si="775"/>
        <v>2418849.9861546657</v>
      </c>
      <c r="H1493" s="522">
        <f t="shared" si="775"/>
        <v>2418849.9861546657</v>
      </c>
      <c r="I1493" s="522">
        <f t="shared" si="775"/>
        <v>2418849.9861546657</v>
      </c>
      <c r="J1493" s="522">
        <f t="shared" si="775"/>
        <v>2418849.9861546657</v>
      </c>
      <c r="K1493" s="522">
        <f t="shared" si="775"/>
        <v>2418849.9861546657</v>
      </c>
      <c r="L1493" s="522">
        <f t="shared" si="775"/>
        <v>2418849.9861546657</v>
      </c>
      <c r="M1493" s="522">
        <f t="shared" si="775"/>
        <v>2418849.9861546657</v>
      </c>
      <c r="N1493" s="522">
        <f t="shared" si="775"/>
        <v>2418849.9861546657</v>
      </c>
      <c r="O1493" s="410" t="s">
        <v>2668</v>
      </c>
    </row>
    <row r="1494" spans="1:15" s="217" customFormat="1">
      <c r="A1494" s="217">
        <v>8</v>
      </c>
      <c r="B1494" s="10" t="s">
        <v>1729</v>
      </c>
      <c r="C1494" s="11" t="s">
        <v>902</v>
      </c>
      <c r="D1494" s="217">
        <f>IF(A1494=B1472,"New Revenue Adjustments",IF(AND(C1494=D1472,A1494&lt;B1472),"Attrition Necessary",0))</f>
        <v>0</v>
      </c>
      <c r="E1494" s="522">
        <f t="shared" si="774"/>
        <v>3557132.3325803904</v>
      </c>
      <c r="F1494" s="522">
        <f t="shared" si="775"/>
        <v>3557132.3325803904</v>
      </c>
      <c r="G1494" s="522">
        <f t="shared" si="775"/>
        <v>3557132.3325803904</v>
      </c>
      <c r="H1494" s="522">
        <f t="shared" si="775"/>
        <v>3557132.3325803904</v>
      </c>
      <c r="I1494" s="522">
        <f t="shared" si="775"/>
        <v>3557132.3325803904</v>
      </c>
      <c r="J1494" s="522">
        <f t="shared" si="775"/>
        <v>3557132.3325803904</v>
      </c>
      <c r="K1494" s="522">
        <f t="shared" si="775"/>
        <v>3557132.3325803904</v>
      </c>
      <c r="L1494" s="522">
        <f t="shared" si="775"/>
        <v>3557132.3325803904</v>
      </c>
      <c r="M1494" s="522">
        <f t="shared" si="775"/>
        <v>3557132.3325803904</v>
      </c>
      <c r="N1494" s="522">
        <f t="shared" si="775"/>
        <v>3557132.3325803904</v>
      </c>
      <c r="O1494" s="410" t="s">
        <v>2669</v>
      </c>
    </row>
    <row r="1495" spans="1:15" s="217" customFormat="1">
      <c r="A1495" s="217">
        <v>9</v>
      </c>
      <c r="B1495" s="10" t="s">
        <v>405</v>
      </c>
      <c r="C1495" s="11" t="s">
        <v>899</v>
      </c>
      <c r="D1495" s="217" t="str">
        <f>IF(A1495=B1472,"New Revenue Adjustments",IF(AND(C1495=D1472,A1495&lt;B1472),"Attrition Necessary",0))</f>
        <v>Attrition Necessary</v>
      </c>
      <c r="E1495" s="522">
        <f t="shared" si="774"/>
        <v>1603988.0644308517</v>
      </c>
      <c r="F1495" s="522">
        <f t="shared" si="775"/>
        <v>1603988.0644308517</v>
      </c>
      <c r="G1495" s="522">
        <f t="shared" si="775"/>
        <v>1603988.0644308517</v>
      </c>
      <c r="H1495" s="522">
        <f t="shared" si="775"/>
        <v>1603988.0644308517</v>
      </c>
      <c r="I1495" s="522">
        <f t="shared" si="775"/>
        <v>1603988.0644308517</v>
      </c>
      <c r="J1495" s="522">
        <f t="shared" si="775"/>
        <v>1603988.0644308517</v>
      </c>
      <c r="K1495" s="522">
        <f t="shared" si="775"/>
        <v>1603988.0644308517</v>
      </c>
      <c r="L1495" s="522">
        <f t="shared" si="775"/>
        <v>1603988.0644308517</v>
      </c>
      <c r="M1495" s="522">
        <f t="shared" si="775"/>
        <v>1603988.0644308517</v>
      </c>
      <c r="N1495" s="522">
        <f t="shared" si="775"/>
        <v>1603988.0644308517</v>
      </c>
      <c r="O1495" s="410" t="s">
        <v>2670</v>
      </c>
    </row>
    <row r="1496" spans="1:15" s="217" customFormat="1">
      <c r="A1496" s="217">
        <v>10</v>
      </c>
      <c r="B1496" s="10" t="s">
        <v>405</v>
      </c>
      <c r="C1496" s="11" t="s">
        <v>900</v>
      </c>
      <c r="D1496" s="217">
        <f>IF(A1496=B1472,"New Revenue Adjustments",IF(AND(C1496=D1472,A1496&lt;B1472),"Attrition Necessary",0))</f>
        <v>0</v>
      </c>
      <c r="E1496" s="522">
        <f t="shared" si="774"/>
        <v>2305776.6504148049</v>
      </c>
      <c r="F1496" s="522">
        <f t="shared" si="775"/>
        <v>2305776.6504148049</v>
      </c>
      <c r="G1496" s="522">
        <f t="shared" si="775"/>
        <v>2305776.6504148049</v>
      </c>
      <c r="H1496" s="522">
        <f t="shared" si="775"/>
        <v>2305776.6504148049</v>
      </c>
      <c r="I1496" s="522">
        <f t="shared" si="775"/>
        <v>2305776.6504148049</v>
      </c>
      <c r="J1496" s="522">
        <f t="shared" si="775"/>
        <v>2305776.6504148049</v>
      </c>
      <c r="K1496" s="522">
        <f t="shared" si="775"/>
        <v>2305776.6504148049</v>
      </c>
      <c r="L1496" s="522">
        <f t="shared" si="775"/>
        <v>2305776.6504148049</v>
      </c>
      <c r="M1496" s="522">
        <f t="shared" si="775"/>
        <v>2305776.6504148049</v>
      </c>
      <c r="N1496" s="522">
        <f t="shared" si="775"/>
        <v>2305776.6504148049</v>
      </c>
      <c r="O1496" s="410" t="s">
        <v>2671</v>
      </c>
    </row>
    <row r="1497" spans="1:15" s="217" customFormat="1">
      <c r="A1497" s="217">
        <v>11</v>
      </c>
      <c r="B1497" s="10" t="s">
        <v>405</v>
      </c>
      <c r="C1497" s="11" t="s">
        <v>901</v>
      </c>
      <c r="D1497" s="217">
        <f>IF(A1497=B1472,"New Revenue Adjustments",IF(AND(C1497=D1472,A1497&lt;B1472),"Attrition Necessary",0))</f>
        <v>0</v>
      </c>
      <c r="E1497" s="522">
        <f t="shared" si="774"/>
        <v>3563473.0051865173</v>
      </c>
      <c r="F1497" s="522">
        <f t="shared" ref="F1497:N1506" si="776">IF($B$1472&gt;$A1497,INDEX(calcY3Q4RevFlow,$A1497,calcTeamNum)*(IF($D1497="Attrition Necessary",1-calcQ2AttritionDifference,1)*(IF($D1497="New Revenue Adjustments",1+calcY4Q1RevenueAdjustment,1))),INDEX(dataY4Q1Rev,$A1497,)*(IF($D1497="Attrition Necessary",1-calcQ2AttritionDifference,1))*(IF($D1497="New Revenue Adjustments",1+calcY4Q1RevenueAdjustment,1)))</f>
        <v>3563473.0051865173</v>
      </c>
      <c r="G1497" s="522">
        <f t="shared" si="776"/>
        <v>3563473.0051865173</v>
      </c>
      <c r="H1497" s="522">
        <f t="shared" si="776"/>
        <v>3563473.0051865173</v>
      </c>
      <c r="I1497" s="522">
        <f t="shared" si="776"/>
        <v>3563473.0051865173</v>
      </c>
      <c r="J1497" s="522">
        <f t="shared" si="776"/>
        <v>3563473.0051865173</v>
      </c>
      <c r="K1497" s="522">
        <f t="shared" si="776"/>
        <v>3563473.0051865173</v>
      </c>
      <c r="L1497" s="522">
        <f t="shared" si="776"/>
        <v>3563473.0051865173</v>
      </c>
      <c r="M1497" s="522">
        <f t="shared" si="776"/>
        <v>3563473.0051865173</v>
      </c>
      <c r="N1497" s="522">
        <f t="shared" si="776"/>
        <v>3563473.0051865173</v>
      </c>
      <c r="O1497" s="410" t="s">
        <v>2672</v>
      </c>
    </row>
    <row r="1498" spans="1:15" s="217" customFormat="1">
      <c r="A1498" s="217">
        <v>12</v>
      </c>
      <c r="B1498" s="10" t="s">
        <v>405</v>
      </c>
      <c r="C1498" s="11" t="s">
        <v>902</v>
      </c>
      <c r="D1498" s="217">
        <f>IF(A1498=B1472,"New Revenue Adjustments",IF(AND(C1498=D1472,A1498&lt;B1472),"Attrition Necessary",0))</f>
        <v>0</v>
      </c>
      <c r="E1498" s="522">
        <f t="shared" si="774"/>
        <v>5240401.4782154663</v>
      </c>
      <c r="F1498" s="522">
        <f t="shared" si="776"/>
        <v>5240401.4782154663</v>
      </c>
      <c r="G1498" s="522">
        <f t="shared" si="776"/>
        <v>5240401.4782154663</v>
      </c>
      <c r="H1498" s="522">
        <f t="shared" si="776"/>
        <v>5240401.4782154663</v>
      </c>
      <c r="I1498" s="522">
        <f t="shared" si="776"/>
        <v>5240401.4782154663</v>
      </c>
      <c r="J1498" s="522">
        <f t="shared" si="776"/>
        <v>5240401.4782154663</v>
      </c>
      <c r="K1498" s="522">
        <f t="shared" si="776"/>
        <v>5240401.4782154663</v>
      </c>
      <c r="L1498" s="522">
        <f t="shared" si="776"/>
        <v>5240401.4782154663</v>
      </c>
      <c r="M1498" s="522">
        <f t="shared" si="776"/>
        <v>5240401.4782154663</v>
      </c>
      <c r="N1498" s="522">
        <f t="shared" si="776"/>
        <v>5240401.4782154663</v>
      </c>
      <c r="O1498" s="410" t="s">
        <v>2673</v>
      </c>
    </row>
    <row r="1499" spans="1:15" s="217" customFormat="1">
      <c r="A1499" s="217">
        <v>13</v>
      </c>
      <c r="B1499" s="10" t="s">
        <v>1278</v>
      </c>
      <c r="C1499" s="11" t="s">
        <v>899</v>
      </c>
      <c r="D1499" s="217" t="str">
        <f>IF(A1499=B1472,"New Revenue Adjustments",IF(AND(C1499=D1472,A1499&lt;B1472),"Attrition Necessary",0))</f>
        <v>Attrition Necessary</v>
      </c>
      <c r="E1499" s="522">
        <f t="shared" si="774"/>
        <v>2358180.6651969599</v>
      </c>
      <c r="F1499" s="522">
        <f t="shared" si="776"/>
        <v>2358180.6651969599</v>
      </c>
      <c r="G1499" s="522">
        <f t="shared" si="776"/>
        <v>2358180.6651969599</v>
      </c>
      <c r="H1499" s="522">
        <f t="shared" si="776"/>
        <v>2358180.6651969599</v>
      </c>
      <c r="I1499" s="522">
        <f t="shared" si="776"/>
        <v>2358180.6651969599</v>
      </c>
      <c r="J1499" s="522">
        <f t="shared" si="776"/>
        <v>2358180.6651969599</v>
      </c>
      <c r="K1499" s="522">
        <f t="shared" si="776"/>
        <v>2358180.6651969599</v>
      </c>
      <c r="L1499" s="522">
        <f t="shared" si="776"/>
        <v>2358180.6651969599</v>
      </c>
      <c r="M1499" s="522">
        <f t="shared" si="776"/>
        <v>2358180.6651969599</v>
      </c>
      <c r="N1499" s="522">
        <f t="shared" si="776"/>
        <v>2358180.6651969599</v>
      </c>
      <c r="O1499" s="410" t="s">
        <v>2674</v>
      </c>
    </row>
    <row r="1500" spans="1:15" s="217" customFormat="1">
      <c r="A1500" s="217">
        <v>14</v>
      </c>
      <c r="B1500" s="10" t="s">
        <v>1278</v>
      </c>
      <c r="C1500" s="11" t="s">
        <v>900</v>
      </c>
      <c r="D1500" s="217">
        <f>IF(A1500=B1472,"New Revenue Adjustments",IF(AND(C1500=D1472,A1500&lt;B1472),"Attrition Necessary",0))</f>
        <v>0</v>
      </c>
      <c r="E1500" s="522">
        <f t="shared" si="774"/>
        <v>2876329.6198640843</v>
      </c>
      <c r="F1500" s="522">
        <f t="shared" si="776"/>
        <v>2876329.6198640843</v>
      </c>
      <c r="G1500" s="522">
        <f t="shared" si="776"/>
        <v>2876329.6198640843</v>
      </c>
      <c r="H1500" s="522">
        <f t="shared" si="776"/>
        <v>2876329.6198640843</v>
      </c>
      <c r="I1500" s="522">
        <f t="shared" si="776"/>
        <v>2876329.6198640843</v>
      </c>
      <c r="J1500" s="522">
        <f t="shared" si="776"/>
        <v>2876329.6198640843</v>
      </c>
      <c r="K1500" s="522">
        <f t="shared" si="776"/>
        <v>2876329.6198640843</v>
      </c>
      <c r="L1500" s="522">
        <f t="shared" si="776"/>
        <v>2876329.6198640843</v>
      </c>
      <c r="M1500" s="522">
        <f t="shared" si="776"/>
        <v>2876329.6198640843</v>
      </c>
      <c r="N1500" s="522">
        <f t="shared" si="776"/>
        <v>2876329.6198640843</v>
      </c>
      <c r="O1500" s="410" t="s">
        <v>2675</v>
      </c>
    </row>
    <row r="1501" spans="1:15" s="217" customFormat="1">
      <c r="A1501" s="217">
        <v>15</v>
      </c>
      <c r="B1501" s="10" t="s">
        <v>1278</v>
      </c>
      <c r="C1501" s="11" t="s">
        <v>901</v>
      </c>
      <c r="D1501" s="217">
        <f>IF(A1501=B1472,"New Revenue Adjustments",IF(AND(C1501=D1472,A1501&lt;B1472),"Attrition Necessary",0))</f>
        <v>0</v>
      </c>
      <c r="E1501" s="522">
        <f t="shared" si="774"/>
        <v>4445236.685244495</v>
      </c>
      <c r="F1501" s="522">
        <f t="shared" si="776"/>
        <v>4445236.685244495</v>
      </c>
      <c r="G1501" s="522">
        <f t="shared" si="776"/>
        <v>4445236.685244495</v>
      </c>
      <c r="H1501" s="522">
        <f t="shared" si="776"/>
        <v>4445236.685244495</v>
      </c>
      <c r="I1501" s="522">
        <f t="shared" si="776"/>
        <v>4445236.685244495</v>
      </c>
      <c r="J1501" s="522">
        <f t="shared" si="776"/>
        <v>4445236.685244495</v>
      </c>
      <c r="K1501" s="522">
        <f t="shared" si="776"/>
        <v>4445236.685244495</v>
      </c>
      <c r="L1501" s="522">
        <f t="shared" si="776"/>
        <v>4445236.685244495</v>
      </c>
      <c r="M1501" s="522">
        <f t="shared" si="776"/>
        <v>4445236.685244495</v>
      </c>
      <c r="N1501" s="522">
        <f t="shared" si="776"/>
        <v>4445236.685244495</v>
      </c>
      <c r="O1501" s="410" t="s">
        <v>2676</v>
      </c>
    </row>
    <row r="1502" spans="1:15" s="217" customFormat="1">
      <c r="A1502" s="217">
        <v>16</v>
      </c>
      <c r="B1502" s="10" t="s">
        <v>1278</v>
      </c>
      <c r="C1502" s="11" t="s">
        <v>902</v>
      </c>
      <c r="D1502" s="217">
        <f>IF(A1502=B1472,"New Revenue Adjustments",IF(AND(C1502=D1472,A1502&lt;B1472),"Attrition Necessary",0))</f>
        <v>0</v>
      </c>
      <c r="E1502" s="522">
        <f t="shared" si="774"/>
        <v>6537112.7724183742</v>
      </c>
      <c r="F1502" s="522">
        <f t="shared" si="776"/>
        <v>6537112.7724183742</v>
      </c>
      <c r="G1502" s="522">
        <f t="shared" si="776"/>
        <v>6537112.7724183742</v>
      </c>
      <c r="H1502" s="522">
        <f t="shared" si="776"/>
        <v>6537112.7724183742</v>
      </c>
      <c r="I1502" s="522">
        <f t="shared" si="776"/>
        <v>6537112.7724183742</v>
      </c>
      <c r="J1502" s="522">
        <f t="shared" si="776"/>
        <v>6537112.7724183742</v>
      </c>
      <c r="K1502" s="522">
        <f t="shared" si="776"/>
        <v>6537112.7724183742</v>
      </c>
      <c r="L1502" s="522">
        <f t="shared" si="776"/>
        <v>6537112.7724183742</v>
      </c>
      <c r="M1502" s="522">
        <f t="shared" si="776"/>
        <v>6537112.7724183742</v>
      </c>
      <c r="N1502" s="522">
        <f t="shared" si="776"/>
        <v>6537112.7724183742</v>
      </c>
      <c r="O1502" s="410" t="s">
        <v>2677</v>
      </c>
    </row>
    <row r="1503" spans="1:15" s="217" customFormat="1">
      <c r="A1503" s="217">
        <v>17</v>
      </c>
      <c r="B1503" s="10" t="s">
        <v>1279</v>
      </c>
      <c r="C1503" s="11" t="s">
        <v>899</v>
      </c>
      <c r="D1503" s="217" t="str">
        <f>IF(A1503=B1472,"New Revenue Adjustments",IF(AND(C1503=D1472,A1503&lt;B1472),"Attrition Necessary",0))</f>
        <v>Attrition Necessary</v>
      </c>
      <c r="E1503" s="522">
        <f t="shared" si="774"/>
        <v>2941700.7475882685</v>
      </c>
      <c r="F1503" s="522">
        <f t="shared" si="776"/>
        <v>2941700.7475882685</v>
      </c>
      <c r="G1503" s="522">
        <f t="shared" si="776"/>
        <v>2941700.7475882685</v>
      </c>
      <c r="H1503" s="522">
        <f t="shared" si="776"/>
        <v>2941700.7475882685</v>
      </c>
      <c r="I1503" s="522">
        <f t="shared" si="776"/>
        <v>2941700.7475882685</v>
      </c>
      <c r="J1503" s="522">
        <f t="shared" si="776"/>
        <v>2941700.7475882685</v>
      </c>
      <c r="K1503" s="522">
        <f t="shared" si="776"/>
        <v>2941700.7475882685</v>
      </c>
      <c r="L1503" s="522">
        <f t="shared" si="776"/>
        <v>2941700.7475882685</v>
      </c>
      <c r="M1503" s="522">
        <f t="shared" si="776"/>
        <v>2941700.7475882685</v>
      </c>
      <c r="N1503" s="522">
        <f t="shared" si="776"/>
        <v>2941700.7475882685</v>
      </c>
      <c r="O1503" s="410" t="s">
        <v>2678</v>
      </c>
    </row>
    <row r="1504" spans="1:15" s="217" customFormat="1">
      <c r="A1504" s="217">
        <v>18</v>
      </c>
      <c r="B1504" s="10" t="s">
        <v>1279</v>
      </c>
      <c r="C1504" s="11" t="s">
        <v>900</v>
      </c>
      <c r="D1504" s="217">
        <f>IF(A1504=B1472,"New Revenue Adjustments",IF(AND(C1504=D1472,A1504&lt;B1472),"Attrition Necessary",0))</f>
        <v>0</v>
      </c>
      <c r="E1504" s="522">
        <f t="shared" si="774"/>
        <v>3588063.0852164812</v>
      </c>
      <c r="F1504" s="522">
        <f t="shared" si="776"/>
        <v>3588063.0852164812</v>
      </c>
      <c r="G1504" s="522">
        <f t="shared" si="776"/>
        <v>3588063.0852164812</v>
      </c>
      <c r="H1504" s="522">
        <f t="shared" si="776"/>
        <v>3588063.0852164812</v>
      </c>
      <c r="I1504" s="522">
        <f t="shared" si="776"/>
        <v>3588063.0852164812</v>
      </c>
      <c r="J1504" s="522">
        <f t="shared" si="776"/>
        <v>3588063.0852164812</v>
      </c>
      <c r="K1504" s="522">
        <f t="shared" si="776"/>
        <v>3588063.0852164812</v>
      </c>
      <c r="L1504" s="522">
        <f t="shared" si="776"/>
        <v>3588063.0852164812</v>
      </c>
      <c r="M1504" s="522">
        <f t="shared" si="776"/>
        <v>3588063.0852164812</v>
      </c>
      <c r="N1504" s="522">
        <f t="shared" si="776"/>
        <v>3588063.0852164812</v>
      </c>
      <c r="O1504" s="410" t="s">
        <v>2679</v>
      </c>
    </row>
    <row r="1505" spans="1:15" s="217" customFormat="1">
      <c r="A1505" s="217">
        <v>19</v>
      </c>
      <c r="B1505" s="10" t="s">
        <v>1279</v>
      </c>
      <c r="C1505" s="11" t="s">
        <v>901</v>
      </c>
      <c r="D1505" s="217">
        <f>IF(A1505=B1472,"New Revenue Adjustments",IF(AND(C1505=D1472,A1505&lt;B1472),"Attrition Necessary",0))</f>
        <v>0</v>
      </c>
      <c r="E1505" s="522">
        <f t="shared" si="774"/>
        <v>5545188.404425473</v>
      </c>
      <c r="F1505" s="522">
        <f t="shared" si="776"/>
        <v>5545188.404425473</v>
      </c>
      <c r="G1505" s="522">
        <f t="shared" si="776"/>
        <v>5545188.404425473</v>
      </c>
      <c r="H1505" s="522">
        <f t="shared" si="776"/>
        <v>5545188.404425473</v>
      </c>
      <c r="I1505" s="522">
        <f t="shared" si="776"/>
        <v>5545188.404425473</v>
      </c>
      <c r="J1505" s="522">
        <f t="shared" si="776"/>
        <v>5545188.404425473</v>
      </c>
      <c r="K1505" s="522">
        <f t="shared" si="776"/>
        <v>5545188.404425473</v>
      </c>
      <c r="L1505" s="522">
        <f t="shared" si="776"/>
        <v>5545188.404425473</v>
      </c>
      <c r="M1505" s="522">
        <f t="shared" si="776"/>
        <v>5545188.404425473</v>
      </c>
      <c r="N1505" s="522">
        <f t="shared" si="776"/>
        <v>5545188.404425473</v>
      </c>
      <c r="O1505" s="410" t="s">
        <v>2680</v>
      </c>
    </row>
    <row r="1506" spans="1:15" s="217" customFormat="1">
      <c r="A1506" s="217">
        <v>20</v>
      </c>
      <c r="B1506" s="10" t="s">
        <v>1279</v>
      </c>
      <c r="C1506" s="11" t="s">
        <v>902</v>
      </c>
      <c r="D1506" s="217">
        <f>IF(A1506=B1472,"New Revenue Adjustments",IF(AND(C1506=D1472,A1506&lt;B1472),"Attrition Necessary",0))</f>
        <v>0</v>
      </c>
      <c r="E1506" s="522">
        <f t="shared" si="774"/>
        <v>8154688.8300374569</v>
      </c>
      <c r="F1506" s="522">
        <f t="shared" si="776"/>
        <v>8154688.8300374569</v>
      </c>
      <c r="G1506" s="522">
        <f t="shared" si="776"/>
        <v>8154688.8300374569</v>
      </c>
      <c r="H1506" s="522">
        <f t="shared" si="776"/>
        <v>8154688.8300374569</v>
      </c>
      <c r="I1506" s="522">
        <f t="shared" si="776"/>
        <v>8154688.8300374569</v>
      </c>
      <c r="J1506" s="522">
        <f t="shared" si="776"/>
        <v>8154688.8300374569</v>
      </c>
      <c r="K1506" s="522">
        <f t="shared" si="776"/>
        <v>8154688.8300374569</v>
      </c>
      <c r="L1506" s="522">
        <f t="shared" si="776"/>
        <v>8154688.8300374569</v>
      </c>
      <c r="M1506" s="522">
        <f t="shared" si="776"/>
        <v>8154688.8300374569</v>
      </c>
      <c r="N1506" s="522">
        <f t="shared" si="776"/>
        <v>8154688.8300374569</v>
      </c>
      <c r="O1506" s="410" t="s">
        <v>2681</v>
      </c>
    </row>
    <row r="1507" spans="1:15" s="217" customFormat="1">
      <c r="A1507" s="217">
        <v>21</v>
      </c>
      <c r="B1507" s="10" t="s">
        <v>2052</v>
      </c>
      <c r="C1507" s="11" t="s">
        <v>899</v>
      </c>
      <c r="D1507" s="217" t="str">
        <f>IF(A1507=B1472,"New Revenue Adjustments",IF(AND(C1507=D1472,A1507&lt;B1472),"Attrition Necessary",0))</f>
        <v>Attrition Necessary</v>
      </c>
      <c r="E1507" s="522">
        <f t="shared" si="774"/>
        <v>3229256.7766948342</v>
      </c>
      <c r="F1507" s="522">
        <f t="shared" ref="F1507:N1518" si="777">IF($B$1472&gt;$A1507,INDEX(calcY3Q4RevFlow,$A1507,calcTeamNum)*(IF($D1507="Attrition Necessary",1-calcQ2AttritionDifference,1)*(IF($D1507="New Revenue Adjustments",1+calcY4Q1RevenueAdjustment,1))),INDEX(dataY4Q1Rev,$A1507,)*(IF($D1507="Attrition Necessary",1-calcQ2AttritionDifference,1))*(IF($D1507="New Revenue Adjustments",1+calcY4Q1RevenueAdjustment,1)))</f>
        <v>3229256.7766948342</v>
      </c>
      <c r="G1507" s="522">
        <f t="shared" si="777"/>
        <v>3229256.7766948342</v>
      </c>
      <c r="H1507" s="522">
        <f t="shared" si="777"/>
        <v>3229256.7766948342</v>
      </c>
      <c r="I1507" s="522">
        <f t="shared" si="777"/>
        <v>3229256.7766948342</v>
      </c>
      <c r="J1507" s="522">
        <f t="shared" si="777"/>
        <v>3229256.7766948342</v>
      </c>
      <c r="K1507" s="522">
        <f t="shared" si="777"/>
        <v>3229256.7766948342</v>
      </c>
      <c r="L1507" s="522">
        <f t="shared" si="777"/>
        <v>3229256.7766948342</v>
      </c>
      <c r="M1507" s="522">
        <f t="shared" si="777"/>
        <v>3229256.7766948342</v>
      </c>
      <c r="N1507" s="522">
        <f t="shared" si="777"/>
        <v>3229256.7766948342</v>
      </c>
      <c r="O1507" s="410" t="s">
        <v>2682</v>
      </c>
    </row>
    <row r="1508" spans="1:15" s="217" customFormat="1">
      <c r="A1508" s="217">
        <v>22</v>
      </c>
      <c r="B1508" s="10" t="s">
        <v>2052</v>
      </c>
      <c r="C1508" s="11" t="s">
        <v>900</v>
      </c>
      <c r="D1508" s="217">
        <f>IF(A1508=B1472,"New Revenue Adjustments",IF(AND(C1508=D1472,A1508&lt;B1472),"Attrition Necessary",0))</f>
        <v>0</v>
      </c>
      <c r="E1508" s="522">
        <f t="shared" si="774"/>
        <v>3938802.083333333</v>
      </c>
      <c r="F1508" s="522">
        <f t="shared" si="777"/>
        <v>3938802.083333333</v>
      </c>
      <c r="G1508" s="522">
        <f t="shared" si="777"/>
        <v>3938802.083333333</v>
      </c>
      <c r="H1508" s="522">
        <f t="shared" si="777"/>
        <v>3938802.083333333</v>
      </c>
      <c r="I1508" s="522">
        <f t="shared" si="777"/>
        <v>3938802.083333333</v>
      </c>
      <c r="J1508" s="522">
        <f t="shared" si="777"/>
        <v>3938802.083333333</v>
      </c>
      <c r="K1508" s="522">
        <f t="shared" si="777"/>
        <v>3938802.083333333</v>
      </c>
      <c r="L1508" s="522">
        <f t="shared" si="777"/>
        <v>3938802.083333333</v>
      </c>
      <c r="M1508" s="522">
        <f t="shared" si="777"/>
        <v>3938802.083333333</v>
      </c>
      <c r="N1508" s="522">
        <f t="shared" si="777"/>
        <v>3938802.083333333</v>
      </c>
      <c r="O1508" s="410" t="s">
        <v>2683</v>
      </c>
    </row>
    <row r="1509" spans="1:15" s="217" customFormat="1">
      <c r="A1509" s="217">
        <v>23</v>
      </c>
      <c r="B1509" s="10" t="s">
        <v>2052</v>
      </c>
      <c r="C1509" s="11" t="s">
        <v>901</v>
      </c>
      <c r="D1509" s="217">
        <f>IF(A1509=B1472,"New Revenue Adjustments",IF(AND(C1509=D1472,A1509&lt;B1472),"Attrition Necessary",0))</f>
        <v>0</v>
      </c>
      <c r="E1509" s="522">
        <f t="shared" si="774"/>
        <v>6087239.5833333349</v>
      </c>
      <c r="F1509" s="522">
        <f t="shared" si="777"/>
        <v>6087239.5833333349</v>
      </c>
      <c r="G1509" s="522">
        <f t="shared" si="777"/>
        <v>6087239.5833333349</v>
      </c>
      <c r="H1509" s="522">
        <f t="shared" si="777"/>
        <v>6087239.5833333349</v>
      </c>
      <c r="I1509" s="522">
        <f t="shared" si="777"/>
        <v>6087239.5833333349</v>
      </c>
      <c r="J1509" s="522">
        <f t="shared" si="777"/>
        <v>6087239.5833333349</v>
      </c>
      <c r="K1509" s="522">
        <f t="shared" si="777"/>
        <v>6087239.5833333349</v>
      </c>
      <c r="L1509" s="522">
        <f t="shared" si="777"/>
        <v>6087239.5833333349</v>
      </c>
      <c r="M1509" s="522">
        <f t="shared" si="777"/>
        <v>6087239.5833333349</v>
      </c>
      <c r="N1509" s="522">
        <f t="shared" si="777"/>
        <v>6087239.5833333349</v>
      </c>
      <c r="O1509" s="410" t="s">
        <v>2684</v>
      </c>
    </row>
    <row r="1510" spans="1:15" s="217" customFormat="1">
      <c r="A1510" s="217">
        <v>24</v>
      </c>
      <c r="B1510" s="10" t="s">
        <v>2052</v>
      </c>
      <c r="C1510" s="11" t="s">
        <v>902</v>
      </c>
      <c r="D1510" s="217">
        <f>IF(A1510=B1472,"New Revenue Adjustments",IF(AND(C1510=D1472,A1510&lt;B1472),"Attrition Necessary",0))</f>
        <v>0</v>
      </c>
      <c r="E1510" s="522">
        <f t="shared" si="774"/>
        <v>8951822.916666666</v>
      </c>
      <c r="F1510" s="522">
        <f t="shared" si="777"/>
        <v>8951822.916666666</v>
      </c>
      <c r="G1510" s="522">
        <f t="shared" si="777"/>
        <v>8951822.916666666</v>
      </c>
      <c r="H1510" s="522">
        <f t="shared" si="777"/>
        <v>8951822.916666666</v>
      </c>
      <c r="I1510" s="522">
        <f t="shared" si="777"/>
        <v>8951822.916666666</v>
      </c>
      <c r="J1510" s="522">
        <f t="shared" si="777"/>
        <v>8951822.916666666</v>
      </c>
      <c r="K1510" s="522">
        <f t="shared" si="777"/>
        <v>8951822.916666666</v>
      </c>
      <c r="L1510" s="522">
        <f t="shared" si="777"/>
        <v>8951822.916666666</v>
      </c>
      <c r="M1510" s="522">
        <f t="shared" si="777"/>
        <v>8951822.916666666</v>
      </c>
      <c r="N1510" s="522">
        <f t="shared" si="777"/>
        <v>8951822.916666666</v>
      </c>
      <c r="O1510" s="410" t="s">
        <v>2685</v>
      </c>
    </row>
    <row r="1511" spans="1:15" s="217" customFormat="1">
      <c r="A1511" s="217">
        <v>25</v>
      </c>
      <c r="B1511" s="10" t="s">
        <v>2408</v>
      </c>
      <c r="C1511" s="11" t="s">
        <v>899</v>
      </c>
      <c r="D1511" s="217" t="str">
        <f>IF(A1511=B1472,"New Revenue Adjustments",IF(AND(C1511=D1472,A1511&lt;B1472),"Attrition Necessary",0))</f>
        <v>New Revenue Adjustments</v>
      </c>
      <c r="E1511" s="522">
        <f t="shared" si="774"/>
        <v>3464355.4687500005</v>
      </c>
      <c r="F1511" s="522">
        <f t="shared" si="777"/>
        <v>3464355.4687500005</v>
      </c>
      <c r="G1511" s="522">
        <f t="shared" si="777"/>
        <v>3464355.4687500005</v>
      </c>
      <c r="H1511" s="522">
        <f t="shared" si="777"/>
        <v>3464355.4687500005</v>
      </c>
      <c r="I1511" s="522">
        <f t="shared" si="777"/>
        <v>3464355.4687500005</v>
      </c>
      <c r="J1511" s="522">
        <f t="shared" si="777"/>
        <v>3464355.4687500005</v>
      </c>
      <c r="K1511" s="522">
        <f t="shared" si="777"/>
        <v>3464355.4687500005</v>
      </c>
      <c r="L1511" s="522">
        <f t="shared" si="777"/>
        <v>3464355.4687500005</v>
      </c>
      <c r="M1511" s="522">
        <f t="shared" si="777"/>
        <v>3464355.4687500005</v>
      </c>
      <c r="N1511" s="522">
        <f t="shared" si="777"/>
        <v>3464355.4687500005</v>
      </c>
      <c r="O1511" s="410" t="s">
        <v>2686</v>
      </c>
    </row>
    <row r="1512" spans="1:15" s="217" customFormat="1">
      <c r="A1512" s="217">
        <v>26</v>
      </c>
      <c r="B1512" s="10" t="s">
        <v>2408</v>
      </c>
      <c r="C1512" s="11" t="s">
        <v>900</v>
      </c>
      <c r="D1512" s="217">
        <f>IF(A1512=B1472,"New Revenue Adjustments",IF(AND(C1512=D1472,A1512&lt;B1472),"Attrition Necessary",0))</f>
        <v>0</v>
      </c>
      <c r="E1512" s="522">
        <f t="shared" si="774"/>
        <v>0</v>
      </c>
      <c r="F1512" s="522">
        <f t="shared" si="777"/>
        <v>0</v>
      </c>
      <c r="G1512" s="522">
        <f t="shared" si="777"/>
        <v>0</v>
      </c>
      <c r="H1512" s="522">
        <f t="shared" si="777"/>
        <v>0</v>
      </c>
      <c r="I1512" s="522">
        <f t="shared" si="777"/>
        <v>0</v>
      </c>
      <c r="J1512" s="522">
        <f t="shared" si="777"/>
        <v>0</v>
      </c>
      <c r="K1512" s="522">
        <f t="shared" si="777"/>
        <v>0</v>
      </c>
      <c r="L1512" s="522">
        <f t="shared" si="777"/>
        <v>0</v>
      </c>
      <c r="M1512" s="522">
        <f t="shared" si="777"/>
        <v>0</v>
      </c>
      <c r="N1512" s="522">
        <f t="shared" si="777"/>
        <v>0</v>
      </c>
      <c r="O1512" s="410" t="s">
        <v>2687</v>
      </c>
    </row>
    <row r="1513" spans="1:15" s="217" customFormat="1">
      <c r="A1513" s="217">
        <v>27</v>
      </c>
      <c r="B1513" s="10" t="s">
        <v>2408</v>
      </c>
      <c r="C1513" s="11" t="s">
        <v>901</v>
      </c>
      <c r="D1513" s="217">
        <f>IF(A1513=B1472,"New Revenue Adjustments",IF(AND(C1513=D1472,A1513&lt;B1472),"Attrition Necessary",0))</f>
        <v>0</v>
      </c>
      <c r="E1513" s="522">
        <f t="shared" si="774"/>
        <v>0</v>
      </c>
      <c r="F1513" s="522">
        <f t="shared" si="777"/>
        <v>0</v>
      </c>
      <c r="G1513" s="522">
        <f t="shared" si="777"/>
        <v>0</v>
      </c>
      <c r="H1513" s="522">
        <f t="shared" si="777"/>
        <v>0</v>
      </c>
      <c r="I1513" s="522">
        <f t="shared" si="777"/>
        <v>0</v>
      </c>
      <c r="J1513" s="522">
        <f t="shared" si="777"/>
        <v>0</v>
      </c>
      <c r="K1513" s="522">
        <f t="shared" si="777"/>
        <v>0</v>
      </c>
      <c r="L1513" s="522">
        <f t="shared" si="777"/>
        <v>0</v>
      </c>
      <c r="M1513" s="522">
        <f t="shared" si="777"/>
        <v>0</v>
      </c>
      <c r="N1513" s="522">
        <f t="shared" si="777"/>
        <v>0</v>
      </c>
      <c r="O1513" s="410" t="s">
        <v>2688</v>
      </c>
    </row>
    <row r="1514" spans="1:15" s="217" customFormat="1">
      <c r="A1514" s="217">
        <v>28</v>
      </c>
      <c r="B1514" s="10" t="s">
        <v>2408</v>
      </c>
      <c r="C1514" s="11" t="s">
        <v>902</v>
      </c>
      <c r="D1514" s="217">
        <f>IF(A1514=B1472,"New Revenue Adjustments",IF(AND(C1514=D1472,A1514&lt;B1472),"Attrition Necessary",0))</f>
        <v>0</v>
      </c>
      <c r="E1514" s="522">
        <f t="shared" si="774"/>
        <v>0</v>
      </c>
      <c r="F1514" s="522">
        <f t="shared" si="777"/>
        <v>0</v>
      </c>
      <c r="G1514" s="522">
        <f t="shared" si="777"/>
        <v>0</v>
      </c>
      <c r="H1514" s="522">
        <f t="shared" si="777"/>
        <v>0</v>
      </c>
      <c r="I1514" s="522">
        <f t="shared" si="777"/>
        <v>0</v>
      </c>
      <c r="J1514" s="522">
        <f t="shared" si="777"/>
        <v>0</v>
      </c>
      <c r="K1514" s="522">
        <f t="shared" si="777"/>
        <v>0</v>
      </c>
      <c r="L1514" s="522">
        <f t="shared" si="777"/>
        <v>0</v>
      </c>
      <c r="M1514" s="522">
        <f t="shared" si="777"/>
        <v>0</v>
      </c>
      <c r="N1514" s="522">
        <f t="shared" si="777"/>
        <v>0</v>
      </c>
      <c r="O1514" s="410" t="s">
        <v>2689</v>
      </c>
    </row>
    <row r="1515" spans="1:15" s="217" customFormat="1">
      <c r="A1515" s="217">
        <v>29</v>
      </c>
      <c r="B1515" s="10" t="s">
        <v>2413</v>
      </c>
      <c r="C1515" s="11" t="s">
        <v>899</v>
      </c>
      <c r="D1515" s="217">
        <f>IF(A1515=B1472,"New Revenue Adjustments",IF(AND(C1515=D1472,A1515&lt;B1472),"Attrition Necessary",0))</f>
        <v>0</v>
      </c>
      <c r="E1515" s="522">
        <f t="shared" si="774"/>
        <v>0</v>
      </c>
      <c r="F1515" s="522">
        <f t="shared" si="777"/>
        <v>0</v>
      </c>
      <c r="G1515" s="522">
        <f t="shared" si="777"/>
        <v>0</v>
      </c>
      <c r="H1515" s="522">
        <f t="shared" si="777"/>
        <v>0</v>
      </c>
      <c r="I1515" s="522">
        <f t="shared" si="777"/>
        <v>0</v>
      </c>
      <c r="J1515" s="522">
        <f t="shared" si="777"/>
        <v>0</v>
      </c>
      <c r="K1515" s="522">
        <f t="shared" si="777"/>
        <v>0</v>
      </c>
      <c r="L1515" s="522">
        <f t="shared" si="777"/>
        <v>0</v>
      </c>
      <c r="M1515" s="522">
        <f t="shared" si="777"/>
        <v>0</v>
      </c>
      <c r="N1515" s="522">
        <f t="shared" si="777"/>
        <v>0</v>
      </c>
      <c r="O1515" s="410" t="s">
        <v>2690</v>
      </c>
    </row>
    <row r="1516" spans="1:15" s="217" customFormat="1">
      <c r="A1516" s="217">
        <v>30</v>
      </c>
      <c r="B1516" s="10" t="s">
        <v>2413</v>
      </c>
      <c r="C1516" s="11" t="s">
        <v>900</v>
      </c>
      <c r="D1516" s="217">
        <f>IF(A1516=B1472,"New Revenue Adjustments",IF(AND(C1516=D1472,A1516&lt;B1472),"Attrition Necessary",0))</f>
        <v>0</v>
      </c>
      <c r="E1516" s="522">
        <f t="shared" si="774"/>
        <v>0</v>
      </c>
      <c r="F1516" s="522">
        <f t="shared" si="777"/>
        <v>0</v>
      </c>
      <c r="G1516" s="522">
        <f t="shared" si="777"/>
        <v>0</v>
      </c>
      <c r="H1516" s="522">
        <f t="shared" si="777"/>
        <v>0</v>
      </c>
      <c r="I1516" s="522">
        <f t="shared" si="777"/>
        <v>0</v>
      </c>
      <c r="J1516" s="522">
        <f t="shared" si="777"/>
        <v>0</v>
      </c>
      <c r="K1516" s="522">
        <f t="shared" si="777"/>
        <v>0</v>
      </c>
      <c r="L1516" s="522">
        <f t="shared" si="777"/>
        <v>0</v>
      </c>
      <c r="M1516" s="522">
        <f t="shared" si="777"/>
        <v>0</v>
      </c>
      <c r="N1516" s="522">
        <f t="shared" si="777"/>
        <v>0</v>
      </c>
      <c r="O1516" s="410" t="s">
        <v>2691</v>
      </c>
    </row>
    <row r="1517" spans="1:15" s="217" customFormat="1">
      <c r="A1517" s="217">
        <v>31</v>
      </c>
      <c r="B1517" s="10" t="s">
        <v>2413</v>
      </c>
      <c r="C1517" s="11" t="s">
        <v>901</v>
      </c>
      <c r="D1517" s="217">
        <f>IF(A1517=B1472,"New Revenue Adjustments",IF(AND(C1517=D1472,A1517&lt;B1472),"Attrition Necessary",0))</f>
        <v>0</v>
      </c>
      <c r="E1517" s="522">
        <f t="shared" si="774"/>
        <v>0</v>
      </c>
      <c r="F1517" s="522">
        <f t="shared" si="777"/>
        <v>0</v>
      </c>
      <c r="G1517" s="522">
        <f t="shared" si="777"/>
        <v>0</v>
      </c>
      <c r="H1517" s="522">
        <f t="shared" si="777"/>
        <v>0</v>
      </c>
      <c r="I1517" s="522">
        <f t="shared" si="777"/>
        <v>0</v>
      </c>
      <c r="J1517" s="522">
        <f t="shared" si="777"/>
        <v>0</v>
      </c>
      <c r="K1517" s="522">
        <f t="shared" si="777"/>
        <v>0</v>
      </c>
      <c r="L1517" s="522">
        <f t="shared" si="777"/>
        <v>0</v>
      </c>
      <c r="M1517" s="522">
        <f t="shared" si="777"/>
        <v>0</v>
      </c>
      <c r="N1517" s="522">
        <f t="shared" si="777"/>
        <v>0</v>
      </c>
      <c r="O1517" s="410" t="s">
        <v>2692</v>
      </c>
    </row>
    <row r="1518" spans="1:15" s="217" customFormat="1">
      <c r="A1518" s="217">
        <v>32</v>
      </c>
      <c r="B1518" s="10" t="s">
        <v>2413</v>
      </c>
      <c r="C1518" s="11" t="s">
        <v>902</v>
      </c>
      <c r="D1518" s="217">
        <f>IF(A1518=B1472,"New Revenue Adjustments",IF(AND(C1518=D1472,A1518&lt;B1472),"Attrition Necessary",0))</f>
        <v>0</v>
      </c>
      <c r="E1518" s="522">
        <f t="shared" si="774"/>
        <v>0</v>
      </c>
      <c r="F1518" s="522">
        <f t="shared" si="777"/>
        <v>0</v>
      </c>
      <c r="G1518" s="522">
        <f t="shared" si="777"/>
        <v>0</v>
      </c>
      <c r="H1518" s="522">
        <f t="shared" si="777"/>
        <v>0</v>
      </c>
      <c r="I1518" s="522">
        <f t="shared" si="777"/>
        <v>0</v>
      </c>
      <c r="J1518" s="522">
        <f t="shared" si="777"/>
        <v>0</v>
      </c>
      <c r="K1518" s="522">
        <f t="shared" si="777"/>
        <v>0</v>
      </c>
      <c r="L1518" s="522">
        <f t="shared" si="777"/>
        <v>0</v>
      </c>
      <c r="M1518" s="522">
        <f t="shared" si="777"/>
        <v>0</v>
      </c>
      <c r="N1518" s="522">
        <f t="shared" si="777"/>
        <v>0</v>
      </c>
      <c r="O1518" s="410" t="s">
        <v>2693</v>
      </c>
    </row>
    <row r="1519" spans="1:15" s="217" customFormat="1">
      <c r="D1519" s="217" t="s">
        <v>905</v>
      </c>
      <c r="E1519" s="427">
        <f>SUM(E1487:E1518)</f>
        <v>90906238.162567943</v>
      </c>
      <c r="F1519" s="427">
        <f t="shared" ref="F1519:I1519" si="778">SUM(F1487:F1518)</f>
        <v>90906238.162567943</v>
      </c>
      <c r="G1519" s="427">
        <f t="shared" si="778"/>
        <v>90906238.162567943</v>
      </c>
      <c r="H1519" s="427">
        <f t="shared" si="778"/>
        <v>90906238.162567943</v>
      </c>
      <c r="I1519" s="427">
        <f t="shared" si="778"/>
        <v>90906238.162567943</v>
      </c>
      <c r="J1519" s="427">
        <f t="shared" ref="J1519:N1519" si="779">SUM(J1487:J1518)</f>
        <v>90906238.162567943</v>
      </c>
      <c r="K1519" s="427">
        <f t="shared" si="779"/>
        <v>90906238.162567943</v>
      </c>
      <c r="L1519" s="427">
        <f t="shared" si="779"/>
        <v>90906238.162567943</v>
      </c>
      <c r="M1519" s="427">
        <f t="shared" si="779"/>
        <v>90906238.162567943</v>
      </c>
      <c r="N1519" s="427">
        <f t="shared" si="779"/>
        <v>90906238.162567943</v>
      </c>
      <c r="O1519" s="217" t="s">
        <v>2694</v>
      </c>
    </row>
    <row r="1520" spans="1:15" s="217" customFormat="1">
      <c r="E1520" s="409"/>
      <c r="F1520" s="409"/>
      <c r="G1520" s="409"/>
      <c r="H1520" s="409"/>
      <c r="I1520" s="409"/>
      <c r="J1520" s="409"/>
      <c r="K1520" s="409"/>
      <c r="L1520" s="409"/>
      <c r="M1520" s="409"/>
      <c r="N1520" s="409"/>
    </row>
    <row r="1521" spans="1:18">
      <c r="A1521" s="217"/>
      <c r="B1521" s="69">
        <v>26</v>
      </c>
      <c r="C1521" s="217" t="s">
        <v>2408</v>
      </c>
      <c r="D1521" s="217" t="s">
        <v>900</v>
      </c>
    </row>
    <row r="1522" spans="1:18" s="217" customFormat="1">
      <c r="C1522" s="217" t="s">
        <v>1736</v>
      </c>
      <c r="E1522" s="409"/>
      <c r="F1522" s="409"/>
      <c r="G1522" s="409"/>
      <c r="H1522" s="409"/>
      <c r="I1522" s="409"/>
      <c r="J1522" s="409"/>
      <c r="K1522" s="409"/>
      <c r="L1522" s="409"/>
      <c r="M1522" s="409"/>
      <c r="N1522" s="409"/>
    </row>
    <row r="1523" spans="1:18" s="410" customFormat="1">
      <c r="D1523" s="410" t="s">
        <v>1754</v>
      </c>
      <c r="E1523" s="547">
        <f t="shared" ref="E1523:N1523" si="780">FORECAST(calcNPS,datatblNPSAttrition,datatblNPSScore)</f>
        <v>0.14946428571428572</v>
      </c>
      <c r="F1523" s="547">
        <f t="shared" si="780"/>
        <v>0.14946428571428572</v>
      </c>
      <c r="G1523" s="547">
        <f t="shared" si="780"/>
        <v>0.14946428571428572</v>
      </c>
      <c r="H1523" s="547">
        <f t="shared" si="780"/>
        <v>0.14946428571428572</v>
      </c>
      <c r="I1523" s="547">
        <f t="shared" si="780"/>
        <v>0.14946428571428572</v>
      </c>
      <c r="J1523" s="547">
        <f t="shared" si="780"/>
        <v>0.14946428571428572</v>
      </c>
      <c r="K1523" s="547">
        <f t="shared" si="780"/>
        <v>0.14946428571428572</v>
      </c>
      <c r="L1523" s="547">
        <f t="shared" si="780"/>
        <v>0.14946428571428572</v>
      </c>
      <c r="M1523" s="547">
        <f t="shared" si="780"/>
        <v>0.14946428571428572</v>
      </c>
      <c r="N1523" s="547">
        <f t="shared" si="780"/>
        <v>0.14946428571428572</v>
      </c>
    </row>
    <row r="1524" spans="1:18" s="410" customFormat="1">
      <c r="D1524" s="410" t="s">
        <v>1753</v>
      </c>
      <c r="E1524" s="547">
        <f>Data!$D$277</f>
        <v>0.1515124491492886</v>
      </c>
      <c r="F1524" s="547">
        <f>Data!$D$277</f>
        <v>0.1515124491492886</v>
      </c>
      <c r="G1524" s="547">
        <f>Data!$D$277</f>
        <v>0.1515124491492886</v>
      </c>
      <c r="H1524" s="547">
        <f>Data!$D$277</f>
        <v>0.1515124491492886</v>
      </c>
      <c r="I1524" s="547">
        <f>Data!$D$277</f>
        <v>0.1515124491492886</v>
      </c>
      <c r="J1524" s="547">
        <f>Data!$D$277</f>
        <v>0.1515124491492886</v>
      </c>
      <c r="K1524" s="547">
        <f>Data!$D$277</f>
        <v>0.1515124491492886</v>
      </c>
      <c r="L1524" s="547">
        <f>Data!$D$277</f>
        <v>0.1515124491492886</v>
      </c>
      <c r="M1524" s="547">
        <f>Data!$D$277</f>
        <v>0.1515124491492886</v>
      </c>
      <c r="N1524" s="547">
        <f>Data!$D$277</f>
        <v>0.1515124491492886</v>
      </c>
    </row>
    <row r="1525" spans="1:18" s="217" customFormat="1">
      <c r="D1525" s="217" t="s">
        <v>1755</v>
      </c>
      <c r="E1525" s="411">
        <f t="shared" ref="E1525" si="781">E1523/E1524-1</f>
        <v>-1.351811977499473E-2</v>
      </c>
      <c r="F1525" s="411">
        <f>F1523/F1524-1</f>
        <v>-1.351811977499473E-2</v>
      </c>
      <c r="G1525" s="411">
        <f t="shared" ref="G1525:I1525" si="782">G1523/G1524-1</f>
        <v>-1.351811977499473E-2</v>
      </c>
      <c r="H1525" s="411">
        <f t="shared" si="782"/>
        <v>-1.351811977499473E-2</v>
      </c>
      <c r="I1525" s="411">
        <f t="shared" si="782"/>
        <v>-1.351811977499473E-2</v>
      </c>
      <c r="J1525" s="411">
        <f t="shared" ref="J1525:N1525" si="783">J1523/J1524-1</f>
        <v>-1.351811977499473E-2</v>
      </c>
      <c r="K1525" s="411">
        <f t="shared" si="783"/>
        <v>-1.351811977499473E-2</v>
      </c>
      <c r="L1525" s="411">
        <f t="shared" si="783"/>
        <v>-1.351811977499473E-2</v>
      </c>
      <c r="M1525" s="411">
        <f t="shared" si="783"/>
        <v>-1.351811977499473E-2</v>
      </c>
      <c r="N1525" s="411">
        <f t="shared" si="783"/>
        <v>-1.351811977499473E-2</v>
      </c>
      <c r="O1525" s="217" t="s">
        <v>2695</v>
      </c>
    </row>
    <row r="1526" spans="1:18" s="217" customFormat="1">
      <c r="C1526" s="217" t="s">
        <v>1757</v>
      </c>
      <c r="E1526" s="411"/>
      <c r="F1526" s="411"/>
      <c r="G1526" s="411"/>
      <c r="H1526" s="411"/>
      <c r="I1526" s="411"/>
      <c r="J1526" s="411"/>
      <c r="K1526" s="411"/>
      <c r="L1526" s="411"/>
      <c r="M1526" s="411"/>
      <c r="N1526" s="411"/>
    </row>
    <row r="1527" spans="1:18">
      <c r="D1527" s="69" t="s">
        <v>1151</v>
      </c>
      <c r="E1527" s="425">
        <f>IF(calcOrg62Timeline&lt;=$Q1527,INDEX(datatblOrg62Timeline,MATCH(decGTMOrg62Timeline,Data!$C$106:$C$111,0),2),0)*paramOrg62Impacts</f>
        <v>0</v>
      </c>
      <c r="F1527" s="425">
        <f>IF(calcOrg62Timeline&lt;=$Q1527,INDEX(datatblOrg62Timeline,MATCH(decGTMOrg62Timeline,Data!$C$106:$C$111,0),2),0)*paramOrg62Impacts</f>
        <v>0</v>
      </c>
      <c r="G1527" s="425">
        <f>IF(calcOrg62Timeline&lt;=$Q1527,INDEX(datatblOrg62Timeline,MATCH(decGTMOrg62Timeline,Data!$C$106:$C$111,0),2),0)*paramOrg62Impacts</f>
        <v>0</v>
      </c>
      <c r="H1527" s="425">
        <f>IF(calcOrg62Timeline&lt;=$Q1527,INDEX(datatblOrg62Timeline,MATCH(decGTMOrg62Timeline,Data!$C$106:$C$111,0),2),0)*paramOrg62Impacts</f>
        <v>0</v>
      </c>
      <c r="I1527" s="425">
        <f>IF(calcOrg62Timeline&lt;=$Q1527,INDEX(datatblOrg62Timeline,MATCH(decGTMOrg62Timeline,Data!$C$106:$C$111,0),2),0)*paramOrg62Impacts</f>
        <v>0</v>
      </c>
      <c r="J1527" s="425">
        <f>IF(calcOrg62Timeline&lt;=$Q1527,INDEX(datatblOrg62Timeline,MATCH(decGTMOrg62Timeline,Data!$C$106:$C$111,0),2),0)*paramOrg62Impacts</f>
        <v>0</v>
      </c>
      <c r="K1527" s="425">
        <f>IF(calcOrg62Timeline&lt;=$Q1527,INDEX(datatblOrg62Timeline,MATCH(decGTMOrg62Timeline,Data!$C$106:$C$111,0),2),0)*paramOrg62Impacts</f>
        <v>0</v>
      </c>
      <c r="L1527" s="425">
        <f>IF(calcOrg62Timeline&lt;=$Q1527,INDEX(datatblOrg62Timeline,MATCH(decGTMOrg62Timeline,Data!$C$106:$C$111,0),2),0)*paramOrg62Impacts</f>
        <v>0</v>
      </c>
      <c r="M1527" s="425">
        <f>IF(calcOrg62Timeline&lt;=$Q1527,INDEX(datatblOrg62Timeline,MATCH(decGTMOrg62Timeline,Data!$C$106:$C$111,0),2),0)*paramOrg62Impacts</f>
        <v>0</v>
      </c>
      <c r="N1527" s="425">
        <f>IF(calcOrg62Timeline&lt;=$Q1527,INDEX(datatblOrg62Timeline,MATCH(decGTMOrg62Timeline,Data!$C$106:$C$111,0),2),0)*paramOrg62Impacts</f>
        <v>0</v>
      </c>
      <c r="Q1527" s="69">
        <v>24</v>
      </c>
    </row>
    <row r="1528" spans="1:18">
      <c r="D1528" s="69" t="s">
        <v>507</v>
      </c>
      <c r="E1528" s="425">
        <f>IF(calcProductTimeline&lt;=$Q1528,INDEX(datatblStackFocusImpact,MATCH(decProductStackFocus,Data!$C$96:$C$101,0),2),0)+paramACVGrowthStack</f>
        <v>0</v>
      </c>
      <c r="F1528" s="425">
        <f>IF(calcProductTimeline&lt;=$Q1528,INDEX(datatblStackFocusImpact,MATCH(decProductStackFocus,Data!$C$96:$C$101,0),2),0)+paramACVGrowthStack</f>
        <v>0</v>
      </c>
      <c r="G1528" s="425">
        <f>IF(calcProductTimeline&lt;=$Q1528,INDEX(datatblStackFocusImpact,MATCH(decProductStackFocus,Data!$C$96:$C$101,0),2),0)+paramACVGrowthStack</f>
        <v>0</v>
      </c>
      <c r="H1528" s="425">
        <f>IF(calcProductTimeline&lt;=$Q1528,INDEX(datatblStackFocusImpact,MATCH(decProductStackFocus,Data!$C$96:$C$101,0),2),0)+paramACVGrowthStack</f>
        <v>0</v>
      </c>
      <c r="I1528" s="425">
        <f>IF(calcProductTimeline&lt;=$Q1528,INDEX(datatblStackFocusImpact,MATCH(decProductStackFocus,Data!$C$96:$C$101,0),2),0)+paramACVGrowthStack</f>
        <v>0</v>
      </c>
      <c r="J1528" s="425">
        <f>IF(calcProductTimeline&lt;=$Q1528,INDEX(datatblStackFocusImpact,MATCH(decProductStackFocus,Data!$C$96:$C$101,0),2),0)+paramACVGrowthStack</f>
        <v>0</v>
      </c>
      <c r="K1528" s="425">
        <f>IF(calcProductTimeline&lt;=$Q1528,INDEX(datatblStackFocusImpact,MATCH(decProductStackFocus,Data!$C$96:$C$101,0),2),0)+paramACVGrowthStack</f>
        <v>0</v>
      </c>
      <c r="L1528" s="425">
        <f>IF(calcProductTimeline&lt;=$Q1528,INDEX(datatblStackFocusImpact,MATCH(decProductStackFocus,Data!$C$96:$C$101,0),2),0)+paramACVGrowthStack</f>
        <v>0</v>
      </c>
      <c r="M1528" s="425">
        <f>IF(calcProductTimeline&lt;=$Q1528,INDEX(datatblStackFocusImpact,MATCH(decProductStackFocus,Data!$C$96:$C$101,0),2),0)+paramACVGrowthStack</f>
        <v>0</v>
      </c>
      <c r="N1528" s="425">
        <f>IF(calcProductTimeline&lt;=$Q1528,INDEX(datatblStackFocusImpact,MATCH(decProductStackFocus,Data!$C$96:$C$101,0),2),0)+paramACVGrowthStack</f>
        <v>0</v>
      </c>
      <c r="Q1528" s="69">
        <f>Q1527</f>
        <v>24</v>
      </c>
    </row>
    <row r="1529" spans="1:18">
      <c r="D1529" s="69" t="s">
        <v>2237</v>
      </c>
      <c r="E1529" s="425">
        <f>IF(calcExternalSalesTimeline&lt;=$Q1529,INDEX(datatblExternalSalesImpact,MATCH(decGTMExternalSales,Data!$C$85:$C$90,0),2),0)</f>
        <v>0</v>
      </c>
      <c r="F1529" s="425">
        <f>IF(calcExternalSalesTimeline&lt;=$Q1529,INDEX(datatblExternalSalesImpact,MATCH(decGTMExternalSales,Data!$C$85:$C$90,0),2),0)</f>
        <v>0</v>
      </c>
      <c r="G1529" s="425">
        <f>IF(calcExternalSalesTimeline&lt;=$Q1529,INDEX(datatblExternalSalesImpact,MATCH(decGTMExternalSales,Data!$C$85:$C$90,0),2),0)</f>
        <v>0</v>
      </c>
      <c r="H1529" s="425">
        <f>IF(calcExternalSalesTimeline&lt;=$Q1529,INDEX(datatblExternalSalesImpact,MATCH(decGTMExternalSales,Data!$C$85:$C$90,0),2),0)</f>
        <v>0</v>
      </c>
      <c r="I1529" s="425">
        <f>IF(calcExternalSalesTimeline&lt;=$Q1529,INDEX(datatblExternalSalesImpact,MATCH(decGTMExternalSales,Data!$C$85:$C$90,0),2),0)</f>
        <v>0</v>
      </c>
      <c r="J1529" s="425">
        <f>IF(calcExternalSalesTimeline&lt;=$Q1529,INDEX(datatblExternalSalesImpact,MATCH(decGTMExternalSales,Data!$C$85:$C$90,0),2),0)</f>
        <v>0</v>
      </c>
      <c r="K1529" s="425">
        <f>IF(calcExternalSalesTimeline&lt;=$Q1529,INDEX(datatblExternalSalesImpact,MATCH(decGTMExternalSales,Data!$C$85:$C$90,0),2),0)</f>
        <v>0</v>
      </c>
      <c r="L1529" s="425">
        <f>IF(calcExternalSalesTimeline&lt;=$Q1529,INDEX(datatblExternalSalesImpact,MATCH(decGTMExternalSales,Data!$C$85:$C$90,0),2),0)</f>
        <v>0</v>
      </c>
      <c r="M1529" s="425">
        <f>IF(calcExternalSalesTimeline&lt;=$Q1529,INDEX(datatblExternalSalesImpact,MATCH(decGTMExternalSales,Data!$C$85:$C$90,0),2),0)</f>
        <v>0</v>
      </c>
      <c r="N1529" s="425">
        <f>IF(calcExternalSalesTimeline&lt;=$Q1529,INDEX(datatblExternalSalesImpact,MATCH(decGTMExternalSales,Data!$C$85:$C$90,0),2),0)</f>
        <v>0</v>
      </c>
      <c r="O1529" s="482">
        <v>0.05</v>
      </c>
      <c r="P1529" s="482">
        <v>-0.05</v>
      </c>
      <c r="Q1529" s="69">
        <f>Q1528</f>
        <v>24</v>
      </c>
    </row>
    <row r="1530" spans="1:18">
      <c r="D1530" s="69" t="s">
        <v>2284</v>
      </c>
      <c r="E1530" s="425">
        <f>IF(calcCSGTimeline&lt;=$Q1530,INDEX(datatblCSGPostSales,MATCH(decGTMCSGPostSales,Data!$C$204:$C$209,0),3),0)</f>
        <v>0</v>
      </c>
      <c r="F1530" s="425">
        <f>IF(calcCSGTimeline&lt;=$Q1530,INDEX(datatblCSGPostSales,MATCH(decGTMCSGPostSales,Data!$C$204:$C$209,0),3),0)</f>
        <v>0</v>
      </c>
      <c r="G1530" s="425">
        <f>IF(calcCSGTimeline&lt;=$Q1530,INDEX(datatblCSGPostSales,MATCH(decGTMCSGPostSales,Data!$C$204:$C$209,0),3),0)</f>
        <v>0</v>
      </c>
      <c r="H1530" s="425">
        <f>IF(calcCSGTimeline&lt;=$Q1530,INDEX(datatblCSGPostSales,MATCH(decGTMCSGPostSales,Data!$C$204:$C$209,0),3),0)</f>
        <v>0</v>
      </c>
      <c r="I1530" s="425">
        <f>IF(calcCSGTimeline&lt;=$Q1530,INDEX(datatblCSGPostSales,MATCH(decGTMCSGPostSales,Data!$C$204:$C$209,0),3),0)</f>
        <v>0</v>
      </c>
      <c r="J1530" s="425">
        <f>IF(calcCSGTimeline&lt;=$Q1530,INDEX(datatblCSGPostSales,MATCH(decGTMCSGPostSales,Data!$C$204:$C$209,0),3),0)</f>
        <v>0</v>
      </c>
      <c r="K1530" s="425">
        <f>IF(calcCSGTimeline&lt;=$Q1530,INDEX(datatblCSGPostSales,MATCH(decGTMCSGPostSales,Data!$C$204:$C$209,0),3),0)</f>
        <v>0</v>
      </c>
      <c r="L1530" s="425">
        <f>IF(calcCSGTimeline&lt;=$Q1530,INDEX(datatblCSGPostSales,MATCH(decGTMCSGPostSales,Data!$C$204:$C$209,0),3),0)</f>
        <v>0</v>
      </c>
      <c r="M1530" s="425">
        <f>IF(calcCSGTimeline&lt;=$Q1530,INDEX(datatblCSGPostSales,MATCH(decGTMCSGPostSales,Data!$C$204:$C$209,0),3),0)</f>
        <v>0</v>
      </c>
      <c r="N1530" s="425">
        <f>IF(calcCSGTimeline&lt;=$Q1530,INDEX(datatblCSGPostSales,MATCH(decGTMCSGPostSales,Data!$C$204:$C$209,0),3),0)</f>
        <v>0</v>
      </c>
      <c r="O1530" s="482"/>
      <c r="P1530" s="482"/>
      <c r="Q1530" s="69">
        <f>Q1529</f>
        <v>24</v>
      </c>
    </row>
    <row r="1531" spans="1:18">
      <c r="D1531" s="69" t="s">
        <v>3079</v>
      </c>
      <c r="E1531" s="425">
        <f>IF(calcBrandIntegrationTimeline&lt;=$Q1531,INDEX(datatblBrandIntegration,MATCH(decGTMBrandIntegration,Data!$C$220:$C$226,0),3),0)</f>
        <v>0</v>
      </c>
      <c r="F1531" s="425">
        <f>IF(calcBrandIntegrationTimeline&lt;=$Q1531,INDEX(datatblBrandIntegration,MATCH(decGTMBrandIntegration,Data!$C$220:$C$226,0),3),0)</f>
        <v>0</v>
      </c>
      <c r="G1531" s="425">
        <f>IF(calcBrandIntegrationTimeline&lt;=$Q1531,INDEX(datatblBrandIntegration,MATCH(decGTMBrandIntegration,Data!$C$220:$C$226,0),3),0)</f>
        <v>0</v>
      </c>
      <c r="H1531" s="425">
        <f>IF(calcBrandIntegrationTimeline&lt;=$Q1531,INDEX(datatblBrandIntegration,MATCH(decGTMBrandIntegration,Data!$C$220:$C$226,0),3),0)</f>
        <v>0</v>
      </c>
      <c r="I1531" s="425">
        <f>IF(calcBrandIntegrationTimeline&lt;=$Q1531,INDEX(datatblBrandIntegration,MATCH(decGTMBrandIntegration,Data!$C$220:$C$226,0),3),0)</f>
        <v>0</v>
      </c>
      <c r="J1531" s="425">
        <f>IF(calcBrandIntegrationTimeline&lt;=$Q1531,INDEX(datatblBrandIntegration,MATCH(decGTMBrandIntegration,Data!$C$220:$C$226,0),3),0)</f>
        <v>0</v>
      </c>
      <c r="K1531" s="425">
        <f>IF(calcBrandIntegrationTimeline&lt;=$Q1531,INDEX(datatblBrandIntegration,MATCH(decGTMBrandIntegration,Data!$C$220:$C$226,0),3),0)</f>
        <v>0</v>
      </c>
      <c r="L1531" s="425">
        <f>IF(calcBrandIntegrationTimeline&lt;=$Q1531,INDEX(datatblBrandIntegration,MATCH(decGTMBrandIntegration,Data!$C$220:$C$226,0),3),0)</f>
        <v>0</v>
      </c>
      <c r="M1531" s="425">
        <f>IF(calcBrandIntegrationTimeline&lt;=$Q1531,INDEX(datatblBrandIntegration,MATCH(decGTMBrandIntegration,Data!$C$220:$C$226,0),3),0)</f>
        <v>0</v>
      </c>
      <c r="N1531" s="425">
        <f>IF(calcBrandIntegrationTimeline&lt;=$Q1531,INDEX(datatblBrandIntegration,MATCH(decGTMBrandIntegration,Data!$C$220:$C$226,0),3),0)</f>
        <v>0</v>
      </c>
      <c r="O1531" s="482"/>
      <c r="P1531" s="482"/>
      <c r="Q1531" s="69">
        <f>Q1530</f>
        <v>24</v>
      </c>
    </row>
    <row r="1532" spans="1:18">
      <c r="D1532" s="69" t="s">
        <v>2277</v>
      </c>
      <c r="E1532" s="425">
        <f>IF(decGTMOrg62Timeline="choose",0,IF(E1527=0,INDEX(datatblLeadPass,MATCH(decGTMLeadPass,Data!$C$212:$C$217,0),3),0))</f>
        <v>0</v>
      </c>
      <c r="F1532" s="425">
        <f>IF(decGTMOrg62Timeline="choose",0,IF(F1527=0,INDEX(datatblLeadPass,MATCH(decGTMLeadPass,Data!$C$212:$C$217,0),3),0))</f>
        <v>0</v>
      </c>
      <c r="G1532" s="425">
        <f>IF(decGTMOrg62Timeline="choose",0,IF(G1527=0,INDEX(datatblLeadPass,MATCH(decGTMLeadPass,Data!$C$212:$C$217,0),3),0))</f>
        <v>0</v>
      </c>
      <c r="H1532" s="425">
        <f>IF(decGTMOrg62Timeline="choose",0,IF(H1527=0,INDEX(datatblLeadPass,MATCH(decGTMLeadPass,Data!$C$212:$C$217,0),3),0))</f>
        <v>0</v>
      </c>
      <c r="I1532" s="425">
        <f>IF(decGTMOrg62Timeline="choose",0,IF(I1527=0,INDEX(datatblLeadPass,MATCH(decGTMLeadPass,Data!$C$212:$C$217,0),3),0))</f>
        <v>0</v>
      </c>
      <c r="J1532" s="425">
        <f>IF(decGTMOrg62Timeline="choose",0,IF(J1527=0,INDEX(datatblLeadPass,MATCH(decGTMLeadPass,Data!$C$212:$C$217,0),3),0))</f>
        <v>0</v>
      </c>
      <c r="K1532" s="425">
        <f>IF(decGTMOrg62Timeline="choose",0,IF(K1527=0,INDEX(datatblLeadPass,MATCH(decGTMLeadPass,Data!$C$212:$C$217,0),3),0))</f>
        <v>0</v>
      </c>
      <c r="L1532" s="425">
        <f>IF(decGTMOrg62Timeline="choose",0,IF(L1527=0,INDEX(datatblLeadPass,MATCH(decGTMLeadPass,Data!$C$212:$C$217,0),3),0))</f>
        <v>0</v>
      </c>
      <c r="M1532" s="425">
        <f>IF(decGTMOrg62Timeline="choose",0,IF(M1527=0,INDEX(datatblLeadPass,MATCH(decGTMLeadPass,Data!$C$212:$C$217,0),3),0))</f>
        <v>0</v>
      </c>
      <c r="N1532" s="425">
        <f>IF(decGTMOrg62Timeline="choose",0,IF(N1527=0,INDEX(datatblLeadPass,MATCH(decGTMLeadPass,Data!$C$212:$C$217,0),3),0))</f>
        <v>0</v>
      </c>
      <c r="O1532" s="482"/>
      <c r="P1532" s="482"/>
    </row>
    <row r="1533" spans="1:18">
      <c r="D1533" s="69" t="s">
        <v>1032</v>
      </c>
      <c r="E1533" s="425">
        <f>IF(decSecurityProductRestrictions="Yes",$Q1533,IF(decSecurityProductRestrictions="No",$R1533,$S1533))</f>
        <v>0</v>
      </c>
      <c r="F1533" s="425">
        <f t="shared" ref="F1533:N1533" si="784">IF(decSecurityProductRestrictions="Yes",$Q1533,IF(decSecurityProductRestrictions="No",$R1533,$S1533))</f>
        <v>0</v>
      </c>
      <c r="G1533" s="425">
        <f t="shared" si="784"/>
        <v>0</v>
      </c>
      <c r="H1533" s="425">
        <f t="shared" si="784"/>
        <v>0</v>
      </c>
      <c r="I1533" s="425">
        <f t="shared" si="784"/>
        <v>0</v>
      </c>
      <c r="J1533" s="425">
        <f t="shared" si="784"/>
        <v>0</v>
      </c>
      <c r="K1533" s="425">
        <f t="shared" si="784"/>
        <v>0</v>
      </c>
      <c r="L1533" s="425">
        <f t="shared" si="784"/>
        <v>0</v>
      </c>
      <c r="M1533" s="425">
        <f t="shared" si="784"/>
        <v>0</v>
      </c>
      <c r="N1533" s="425">
        <f t="shared" si="784"/>
        <v>0</v>
      </c>
      <c r="Q1533" s="482">
        <f>xxProductRestrictionACVHit</f>
        <v>-0.02</v>
      </c>
      <c r="R1533" s="482">
        <f>xxProductRestrictionACVIncrease</f>
        <v>0.02</v>
      </c>
    </row>
    <row r="1534" spans="1:18" s="217" customFormat="1">
      <c r="D1534" s="217" t="s">
        <v>1758</v>
      </c>
      <c r="E1534" s="411">
        <f t="shared" ref="E1534:N1534" si="785">SUM(E1527:E1533)+paramACVGrowthBaseline</f>
        <v>0</v>
      </c>
      <c r="F1534" s="411">
        <f t="shared" si="785"/>
        <v>0</v>
      </c>
      <c r="G1534" s="411">
        <f t="shared" si="785"/>
        <v>0</v>
      </c>
      <c r="H1534" s="411">
        <f t="shared" si="785"/>
        <v>0</v>
      </c>
      <c r="I1534" s="411">
        <f t="shared" si="785"/>
        <v>0</v>
      </c>
      <c r="J1534" s="411">
        <f t="shared" si="785"/>
        <v>0</v>
      </c>
      <c r="K1534" s="411">
        <f t="shared" si="785"/>
        <v>0</v>
      </c>
      <c r="L1534" s="411">
        <f t="shared" si="785"/>
        <v>0</v>
      </c>
      <c r="M1534" s="411">
        <f t="shared" si="785"/>
        <v>0</v>
      </c>
      <c r="N1534" s="411">
        <f t="shared" si="785"/>
        <v>0</v>
      </c>
      <c r="O1534" s="217" t="s">
        <v>2696</v>
      </c>
    </row>
    <row r="1535" spans="1:18" s="217" customFormat="1">
      <c r="E1535" s="411"/>
      <c r="F1535" s="411"/>
      <c r="G1535" s="411"/>
      <c r="H1535" s="411"/>
      <c r="I1535" s="411"/>
      <c r="J1535" s="411"/>
      <c r="K1535" s="411"/>
      <c r="L1535" s="411"/>
      <c r="M1535" s="411"/>
      <c r="N1535" s="411"/>
    </row>
    <row r="1536" spans="1:18" s="217" customFormat="1">
      <c r="A1536" s="217">
        <v>1</v>
      </c>
      <c r="B1536" s="10" t="s">
        <v>1735</v>
      </c>
      <c r="C1536" s="11" t="s">
        <v>899</v>
      </c>
      <c r="D1536" s="217">
        <f>IF(A1536=B1521,"New Revenue Adjustments",IF(AND(C1536=D1521,A1536&lt;B1521),"Attrition Necessary",0))</f>
        <v>0</v>
      </c>
      <c r="E1536" s="522">
        <f t="shared" ref="E1536:N1545" si="786">IF($B$1521&gt;$A1536,INDEX(calcY4Q1RevFlow,$A1536,calcTeamNum)*(IF($D1536="Attrition Necessary",1-calcQ2AttritionDifference,1)*(IF($D1536="New Revenue Adjustments",1+calcY4Q2RevenueAdjustment,1))),INDEX(dataY4Q2Rev,$A1536,)*(IF($D1536="Attrition Necessary",1-calcQ2AttritionDifference,1))*(IF($D1536="New Revenue Adjustments",1+calcY4Q2RevenueAdjustment,1)))</f>
        <v>925455.4549802402</v>
      </c>
      <c r="F1536" s="522">
        <f t="shared" si="786"/>
        <v>925455.4549802402</v>
      </c>
      <c r="G1536" s="522">
        <f t="shared" si="786"/>
        <v>925455.4549802402</v>
      </c>
      <c r="H1536" s="522">
        <f t="shared" si="786"/>
        <v>925455.4549802402</v>
      </c>
      <c r="I1536" s="522">
        <f t="shared" si="786"/>
        <v>925455.4549802402</v>
      </c>
      <c r="J1536" s="522">
        <f t="shared" si="786"/>
        <v>925455.4549802402</v>
      </c>
      <c r="K1536" s="522">
        <f t="shared" si="786"/>
        <v>925455.4549802402</v>
      </c>
      <c r="L1536" s="522">
        <f t="shared" si="786"/>
        <v>925455.4549802402</v>
      </c>
      <c r="M1536" s="522">
        <f t="shared" si="786"/>
        <v>925455.4549802402</v>
      </c>
      <c r="N1536" s="522">
        <f t="shared" si="786"/>
        <v>925455.4549802402</v>
      </c>
      <c r="O1536" s="410" t="s">
        <v>2697</v>
      </c>
    </row>
    <row r="1537" spans="1:15" s="217" customFormat="1">
      <c r="A1537" s="217">
        <v>2</v>
      </c>
      <c r="B1537" s="10" t="s">
        <v>1735</v>
      </c>
      <c r="C1537" s="11" t="s">
        <v>900</v>
      </c>
      <c r="D1537" s="217" t="str">
        <f>IF(A1537=B1521,"New Revenue Adjustments",IF(AND(C1537=D1521,A1537&lt;B1521),"Attrition Necessary",0))</f>
        <v>Attrition Necessary</v>
      </c>
      <c r="E1537" s="522">
        <f t="shared" si="786"/>
        <v>1633156.6852592477</v>
      </c>
      <c r="F1537" s="522">
        <f t="shared" si="786"/>
        <v>1633156.6852592477</v>
      </c>
      <c r="G1537" s="522">
        <f t="shared" si="786"/>
        <v>1633156.6852592477</v>
      </c>
      <c r="H1537" s="522">
        <f t="shared" si="786"/>
        <v>1633156.6852592477</v>
      </c>
      <c r="I1537" s="522">
        <f t="shared" si="786"/>
        <v>1633156.6852592477</v>
      </c>
      <c r="J1537" s="522">
        <f t="shared" si="786"/>
        <v>1633156.6852592477</v>
      </c>
      <c r="K1537" s="522">
        <f t="shared" si="786"/>
        <v>1633156.6852592477</v>
      </c>
      <c r="L1537" s="522">
        <f t="shared" si="786"/>
        <v>1633156.6852592477</v>
      </c>
      <c r="M1537" s="522">
        <f t="shared" si="786"/>
        <v>1633156.6852592477</v>
      </c>
      <c r="N1537" s="522">
        <f t="shared" si="786"/>
        <v>1633156.6852592477</v>
      </c>
      <c r="O1537" s="410" t="s">
        <v>2698</v>
      </c>
    </row>
    <row r="1538" spans="1:15" s="217" customFormat="1">
      <c r="A1538" s="217">
        <v>3</v>
      </c>
      <c r="B1538" s="10" t="s">
        <v>1735</v>
      </c>
      <c r="C1538" s="11" t="s">
        <v>901</v>
      </c>
      <c r="D1538" s="217">
        <f>IF(A1538=B1521,"New Revenue Adjustments",IF(AND(C1538=D1521,A1538&lt;B1521),"Attrition Necessary",0))</f>
        <v>0</v>
      </c>
      <c r="E1538" s="522">
        <f t="shared" si="786"/>
        <v>2173091.4006645698</v>
      </c>
      <c r="F1538" s="522">
        <f t="shared" si="786"/>
        <v>2173091.4006645698</v>
      </c>
      <c r="G1538" s="522">
        <f t="shared" si="786"/>
        <v>2173091.4006645698</v>
      </c>
      <c r="H1538" s="522">
        <f t="shared" si="786"/>
        <v>2173091.4006645698</v>
      </c>
      <c r="I1538" s="522">
        <f t="shared" si="786"/>
        <v>2173091.4006645698</v>
      </c>
      <c r="J1538" s="522">
        <f t="shared" si="786"/>
        <v>2173091.4006645698</v>
      </c>
      <c r="K1538" s="522">
        <f t="shared" si="786"/>
        <v>2173091.4006645698</v>
      </c>
      <c r="L1538" s="522">
        <f t="shared" si="786"/>
        <v>2173091.4006645698</v>
      </c>
      <c r="M1538" s="522">
        <f t="shared" si="786"/>
        <v>2173091.4006645698</v>
      </c>
      <c r="N1538" s="522">
        <f t="shared" si="786"/>
        <v>2173091.4006645698</v>
      </c>
      <c r="O1538" s="410" t="s">
        <v>2699</v>
      </c>
    </row>
    <row r="1539" spans="1:15" s="217" customFormat="1">
      <c r="A1539" s="217">
        <v>4</v>
      </c>
      <c r="B1539" s="10" t="s">
        <v>1735</v>
      </c>
      <c r="C1539" s="11" t="s">
        <v>902</v>
      </c>
      <c r="D1539" s="217">
        <f>IF(A1539=B1521,"New Revenue Adjustments",IF(AND(C1539=D1521,A1539&lt;B1521),"Attrition Necessary",0))</f>
        <v>0</v>
      </c>
      <c r="E1539" s="522">
        <f t="shared" si="786"/>
        <v>2716364.2508307123</v>
      </c>
      <c r="F1539" s="522">
        <f t="shared" si="786"/>
        <v>2716364.2508307123</v>
      </c>
      <c r="G1539" s="522">
        <f t="shared" si="786"/>
        <v>2716364.2508307123</v>
      </c>
      <c r="H1539" s="522">
        <f t="shared" si="786"/>
        <v>2716364.2508307123</v>
      </c>
      <c r="I1539" s="522">
        <f t="shared" si="786"/>
        <v>2716364.2508307123</v>
      </c>
      <c r="J1539" s="522">
        <f t="shared" si="786"/>
        <v>2716364.2508307123</v>
      </c>
      <c r="K1539" s="522">
        <f t="shared" si="786"/>
        <v>2716364.2508307123</v>
      </c>
      <c r="L1539" s="522">
        <f t="shared" si="786"/>
        <v>2716364.2508307123</v>
      </c>
      <c r="M1539" s="522">
        <f t="shared" si="786"/>
        <v>2716364.2508307123</v>
      </c>
      <c r="N1539" s="522">
        <f t="shared" si="786"/>
        <v>2716364.2508307123</v>
      </c>
      <c r="O1539" s="410" t="s">
        <v>2700</v>
      </c>
    </row>
    <row r="1540" spans="1:15" s="217" customFormat="1">
      <c r="A1540" s="217">
        <v>5</v>
      </c>
      <c r="B1540" s="10" t="s">
        <v>1729</v>
      </c>
      <c r="C1540" s="11" t="s">
        <v>899</v>
      </c>
      <c r="D1540" s="217">
        <f>IF(A1540=B1521,"New Revenue Adjustments",IF(AND(C1540=D1521,A1540&lt;B1521),"Attrition Necessary",0))</f>
        <v>0</v>
      </c>
      <c r="E1540" s="522">
        <f t="shared" si="786"/>
        <v>1088771.1235061651</v>
      </c>
      <c r="F1540" s="522">
        <f t="shared" si="786"/>
        <v>1088771.1235061651</v>
      </c>
      <c r="G1540" s="522">
        <f t="shared" si="786"/>
        <v>1088771.1235061651</v>
      </c>
      <c r="H1540" s="522">
        <f t="shared" si="786"/>
        <v>1088771.1235061651</v>
      </c>
      <c r="I1540" s="522">
        <f t="shared" si="786"/>
        <v>1088771.1235061651</v>
      </c>
      <c r="J1540" s="522">
        <f t="shared" si="786"/>
        <v>1088771.1235061651</v>
      </c>
      <c r="K1540" s="522">
        <f t="shared" si="786"/>
        <v>1088771.1235061651</v>
      </c>
      <c r="L1540" s="522">
        <f t="shared" si="786"/>
        <v>1088771.1235061651</v>
      </c>
      <c r="M1540" s="522">
        <f t="shared" si="786"/>
        <v>1088771.1235061651</v>
      </c>
      <c r="N1540" s="522">
        <f t="shared" si="786"/>
        <v>1088771.1235061651</v>
      </c>
      <c r="O1540" s="410" t="s">
        <v>2701</v>
      </c>
    </row>
    <row r="1541" spans="1:15" s="217" customFormat="1">
      <c r="A1541" s="217">
        <v>6</v>
      </c>
      <c r="B1541" s="10" t="s">
        <v>1729</v>
      </c>
      <c r="C1541" s="11" t="s">
        <v>900</v>
      </c>
      <c r="D1541" s="217" t="str">
        <f>IF(A1541=B1521,"New Revenue Adjustments",IF(AND(C1541=D1521,A1541&lt;B1521),"Attrition Necessary",0))</f>
        <v>Attrition Necessary</v>
      </c>
      <c r="E1541" s="522">
        <f t="shared" si="786"/>
        <v>1568343.8852212771</v>
      </c>
      <c r="F1541" s="522">
        <f t="shared" si="786"/>
        <v>1568343.8852212771</v>
      </c>
      <c r="G1541" s="522">
        <f t="shared" si="786"/>
        <v>1568343.8852212771</v>
      </c>
      <c r="H1541" s="522">
        <f t="shared" si="786"/>
        <v>1568343.8852212771</v>
      </c>
      <c r="I1541" s="522">
        <f t="shared" si="786"/>
        <v>1568343.8852212771</v>
      </c>
      <c r="J1541" s="522">
        <f t="shared" si="786"/>
        <v>1568343.8852212771</v>
      </c>
      <c r="K1541" s="522">
        <f t="shared" si="786"/>
        <v>1568343.8852212771</v>
      </c>
      <c r="L1541" s="522">
        <f t="shared" si="786"/>
        <v>1568343.8852212771</v>
      </c>
      <c r="M1541" s="522">
        <f t="shared" si="786"/>
        <v>1568343.8852212771</v>
      </c>
      <c r="N1541" s="522">
        <f t="shared" si="786"/>
        <v>1568343.8852212771</v>
      </c>
      <c r="O1541" s="410" t="s">
        <v>2702</v>
      </c>
    </row>
    <row r="1542" spans="1:15" s="217" customFormat="1">
      <c r="A1542" s="217">
        <v>7</v>
      </c>
      <c r="B1542" s="10" t="s">
        <v>1729</v>
      </c>
      <c r="C1542" s="11" t="s">
        <v>901</v>
      </c>
      <c r="D1542" s="217">
        <f>IF(A1542=B1521,"New Revenue Adjustments",IF(AND(C1542=D1521,A1542&lt;B1521),"Attrition Necessary",0))</f>
        <v>0</v>
      </c>
      <c r="E1542" s="522">
        <f t="shared" si="786"/>
        <v>2418849.9861546657</v>
      </c>
      <c r="F1542" s="522">
        <f t="shared" si="786"/>
        <v>2418849.9861546657</v>
      </c>
      <c r="G1542" s="522">
        <f t="shared" si="786"/>
        <v>2418849.9861546657</v>
      </c>
      <c r="H1542" s="522">
        <f t="shared" si="786"/>
        <v>2418849.9861546657</v>
      </c>
      <c r="I1542" s="522">
        <f t="shared" si="786"/>
        <v>2418849.9861546657</v>
      </c>
      <c r="J1542" s="522">
        <f t="shared" si="786"/>
        <v>2418849.9861546657</v>
      </c>
      <c r="K1542" s="522">
        <f t="shared" si="786"/>
        <v>2418849.9861546657</v>
      </c>
      <c r="L1542" s="522">
        <f t="shared" si="786"/>
        <v>2418849.9861546657</v>
      </c>
      <c r="M1542" s="522">
        <f t="shared" si="786"/>
        <v>2418849.9861546657</v>
      </c>
      <c r="N1542" s="522">
        <f t="shared" si="786"/>
        <v>2418849.9861546657</v>
      </c>
      <c r="O1542" s="410" t="s">
        <v>2703</v>
      </c>
    </row>
    <row r="1543" spans="1:15" s="217" customFormat="1">
      <c r="A1543" s="217">
        <v>8</v>
      </c>
      <c r="B1543" s="10" t="s">
        <v>1729</v>
      </c>
      <c r="C1543" s="11" t="s">
        <v>902</v>
      </c>
      <c r="D1543" s="217">
        <f>IF(A1543=B1521,"New Revenue Adjustments",IF(AND(C1543=D1521,A1543&lt;B1521),"Attrition Necessary",0))</f>
        <v>0</v>
      </c>
      <c r="E1543" s="522">
        <f t="shared" si="786"/>
        <v>3557132.3325803904</v>
      </c>
      <c r="F1543" s="522">
        <f t="shared" si="786"/>
        <v>3557132.3325803904</v>
      </c>
      <c r="G1543" s="522">
        <f t="shared" si="786"/>
        <v>3557132.3325803904</v>
      </c>
      <c r="H1543" s="522">
        <f t="shared" si="786"/>
        <v>3557132.3325803904</v>
      </c>
      <c r="I1543" s="522">
        <f t="shared" si="786"/>
        <v>3557132.3325803904</v>
      </c>
      <c r="J1543" s="522">
        <f t="shared" si="786"/>
        <v>3557132.3325803904</v>
      </c>
      <c r="K1543" s="522">
        <f t="shared" si="786"/>
        <v>3557132.3325803904</v>
      </c>
      <c r="L1543" s="522">
        <f t="shared" si="786"/>
        <v>3557132.3325803904</v>
      </c>
      <c r="M1543" s="522">
        <f t="shared" si="786"/>
        <v>3557132.3325803904</v>
      </c>
      <c r="N1543" s="522">
        <f t="shared" si="786"/>
        <v>3557132.3325803904</v>
      </c>
      <c r="O1543" s="410" t="s">
        <v>2704</v>
      </c>
    </row>
    <row r="1544" spans="1:15" s="217" customFormat="1">
      <c r="A1544" s="217">
        <v>9</v>
      </c>
      <c r="B1544" s="10" t="s">
        <v>405</v>
      </c>
      <c r="C1544" s="11" t="s">
        <v>899</v>
      </c>
      <c r="D1544" s="217">
        <f>IF(A1544=B1521,"New Revenue Adjustments",IF(AND(C1544=D1521,A1544&lt;B1521),"Attrition Necessary",0))</f>
        <v>0</v>
      </c>
      <c r="E1544" s="522">
        <f t="shared" si="786"/>
        <v>1603988.0644308517</v>
      </c>
      <c r="F1544" s="522">
        <f t="shared" si="786"/>
        <v>1603988.0644308517</v>
      </c>
      <c r="G1544" s="522">
        <f t="shared" si="786"/>
        <v>1603988.0644308517</v>
      </c>
      <c r="H1544" s="522">
        <f t="shared" si="786"/>
        <v>1603988.0644308517</v>
      </c>
      <c r="I1544" s="522">
        <f t="shared" si="786"/>
        <v>1603988.0644308517</v>
      </c>
      <c r="J1544" s="522">
        <f t="shared" si="786"/>
        <v>1603988.0644308517</v>
      </c>
      <c r="K1544" s="522">
        <f t="shared" si="786"/>
        <v>1603988.0644308517</v>
      </c>
      <c r="L1544" s="522">
        <f t="shared" si="786"/>
        <v>1603988.0644308517</v>
      </c>
      <c r="M1544" s="522">
        <f t="shared" si="786"/>
        <v>1603988.0644308517</v>
      </c>
      <c r="N1544" s="522">
        <f t="shared" si="786"/>
        <v>1603988.0644308517</v>
      </c>
      <c r="O1544" s="410" t="s">
        <v>2705</v>
      </c>
    </row>
    <row r="1545" spans="1:15" s="217" customFormat="1">
      <c r="A1545" s="217">
        <v>10</v>
      </c>
      <c r="B1545" s="10" t="s">
        <v>405</v>
      </c>
      <c r="C1545" s="11" t="s">
        <v>900</v>
      </c>
      <c r="D1545" s="217" t="str">
        <f>IF(A1545=B1521,"New Revenue Adjustments",IF(AND(C1545=D1521,A1545&lt;B1521),"Attrition Necessary",0))</f>
        <v>Attrition Necessary</v>
      </c>
      <c r="E1545" s="522">
        <f t="shared" si="786"/>
        <v>2310499.2578394678</v>
      </c>
      <c r="F1545" s="522">
        <f t="shared" si="786"/>
        <v>2310499.2578394678</v>
      </c>
      <c r="G1545" s="522">
        <f t="shared" si="786"/>
        <v>2310499.2578394678</v>
      </c>
      <c r="H1545" s="522">
        <f t="shared" si="786"/>
        <v>2310499.2578394678</v>
      </c>
      <c r="I1545" s="522">
        <f t="shared" si="786"/>
        <v>2310499.2578394678</v>
      </c>
      <c r="J1545" s="522">
        <f t="shared" si="786"/>
        <v>2310499.2578394678</v>
      </c>
      <c r="K1545" s="522">
        <f t="shared" si="786"/>
        <v>2310499.2578394678</v>
      </c>
      <c r="L1545" s="522">
        <f t="shared" si="786"/>
        <v>2310499.2578394678</v>
      </c>
      <c r="M1545" s="522">
        <f t="shared" si="786"/>
        <v>2310499.2578394678</v>
      </c>
      <c r="N1545" s="522">
        <f t="shared" si="786"/>
        <v>2310499.2578394678</v>
      </c>
      <c r="O1545" s="410" t="s">
        <v>2706</v>
      </c>
    </row>
    <row r="1546" spans="1:15" s="217" customFormat="1">
      <c r="A1546" s="217">
        <v>11</v>
      </c>
      <c r="B1546" s="10" t="s">
        <v>405</v>
      </c>
      <c r="C1546" s="11" t="s">
        <v>901</v>
      </c>
      <c r="D1546" s="217">
        <f>IF(A1546=B1521,"New Revenue Adjustments",IF(AND(C1546=D1521,A1546&lt;B1521),"Attrition Necessary",0))</f>
        <v>0</v>
      </c>
      <c r="E1546" s="522">
        <f t="shared" ref="E1546:N1555" si="787">IF($B$1521&gt;$A1546,INDEX(calcY4Q1RevFlow,$A1546,calcTeamNum)*(IF($D1546="Attrition Necessary",1-calcQ2AttritionDifference,1)*(IF($D1546="New Revenue Adjustments",1+calcY4Q2RevenueAdjustment,1))),INDEX(dataY4Q2Rev,$A1546,)*(IF($D1546="Attrition Necessary",1-calcQ2AttritionDifference,1))*(IF($D1546="New Revenue Adjustments",1+calcY4Q2RevenueAdjustment,1)))</f>
        <v>3563473.0051865173</v>
      </c>
      <c r="F1546" s="522">
        <f t="shared" si="787"/>
        <v>3563473.0051865173</v>
      </c>
      <c r="G1546" s="522">
        <f t="shared" si="787"/>
        <v>3563473.0051865173</v>
      </c>
      <c r="H1546" s="522">
        <f t="shared" si="787"/>
        <v>3563473.0051865173</v>
      </c>
      <c r="I1546" s="522">
        <f t="shared" si="787"/>
        <v>3563473.0051865173</v>
      </c>
      <c r="J1546" s="522">
        <f t="shared" si="787"/>
        <v>3563473.0051865173</v>
      </c>
      <c r="K1546" s="522">
        <f t="shared" si="787"/>
        <v>3563473.0051865173</v>
      </c>
      <c r="L1546" s="522">
        <f t="shared" si="787"/>
        <v>3563473.0051865173</v>
      </c>
      <c r="M1546" s="522">
        <f t="shared" si="787"/>
        <v>3563473.0051865173</v>
      </c>
      <c r="N1546" s="522">
        <f t="shared" si="787"/>
        <v>3563473.0051865173</v>
      </c>
      <c r="O1546" s="410" t="s">
        <v>2707</v>
      </c>
    </row>
    <row r="1547" spans="1:15" s="217" customFormat="1">
      <c r="A1547" s="217">
        <v>12</v>
      </c>
      <c r="B1547" s="10" t="s">
        <v>405</v>
      </c>
      <c r="C1547" s="11" t="s">
        <v>902</v>
      </c>
      <c r="D1547" s="217">
        <f>IF(A1547=B1521,"New Revenue Adjustments",IF(AND(C1547=D1521,A1547&lt;B1521),"Attrition Necessary",0))</f>
        <v>0</v>
      </c>
      <c r="E1547" s="522">
        <f t="shared" si="787"/>
        <v>5240401.4782154663</v>
      </c>
      <c r="F1547" s="522">
        <f t="shared" si="787"/>
        <v>5240401.4782154663</v>
      </c>
      <c r="G1547" s="522">
        <f t="shared" si="787"/>
        <v>5240401.4782154663</v>
      </c>
      <c r="H1547" s="522">
        <f t="shared" si="787"/>
        <v>5240401.4782154663</v>
      </c>
      <c r="I1547" s="522">
        <f t="shared" si="787"/>
        <v>5240401.4782154663</v>
      </c>
      <c r="J1547" s="522">
        <f t="shared" si="787"/>
        <v>5240401.4782154663</v>
      </c>
      <c r="K1547" s="522">
        <f t="shared" si="787"/>
        <v>5240401.4782154663</v>
      </c>
      <c r="L1547" s="522">
        <f t="shared" si="787"/>
        <v>5240401.4782154663</v>
      </c>
      <c r="M1547" s="522">
        <f t="shared" si="787"/>
        <v>5240401.4782154663</v>
      </c>
      <c r="N1547" s="522">
        <f t="shared" si="787"/>
        <v>5240401.4782154663</v>
      </c>
      <c r="O1547" s="410" t="s">
        <v>2708</v>
      </c>
    </row>
    <row r="1548" spans="1:15" s="217" customFormat="1">
      <c r="A1548" s="217">
        <v>13</v>
      </c>
      <c r="B1548" s="10" t="s">
        <v>1278</v>
      </c>
      <c r="C1548" s="11" t="s">
        <v>899</v>
      </c>
      <c r="D1548" s="217">
        <f>IF(A1548=B1521,"New Revenue Adjustments",IF(AND(C1548=D1521,A1548&lt;B1521),"Attrition Necessary",0))</f>
        <v>0</v>
      </c>
      <c r="E1548" s="522">
        <f t="shared" si="787"/>
        <v>2358180.6651969599</v>
      </c>
      <c r="F1548" s="522">
        <f t="shared" si="787"/>
        <v>2358180.6651969599</v>
      </c>
      <c r="G1548" s="522">
        <f t="shared" si="787"/>
        <v>2358180.6651969599</v>
      </c>
      <c r="H1548" s="522">
        <f t="shared" si="787"/>
        <v>2358180.6651969599</v>
      </c>
      <c r="I1548" s="522">
        <f t="shared" si="787"/>
        <v>2358180.6651969599</v>
      </c>
      <c r="J1548" s="522">
        <f t="shared" si="787"/>
        <v>2358180.6651969599</v>
      </c>
      <c r="K1548" s="522">
        <f t="shared" si="787"/>
        <v>2358180.6651969599</v>
      </c>
      <c r="L1548" s="522">
        <f t="shared" si="787"/>
        <v>2358180.6651969599</v>
      </c>
      <c r="M1548" s="522">
        <f t="shared" si="787"/>
        <v>2358180.6651969599</v>
      </c>
      <c r="N1548" s="522">
        <f t="shared" si="787"/>
        <v>2358180.6651969599</v>
      </c>
      <c r="O1548" s="410" t="s">
        <v>2709</v>
      </c>
    </row>
    <row r="1549" spans="1:15" s="217" customFormat="1">
      <c r="A1549" s="217">
        <v>14</v>
      </c>
      <c r="B1549" s="10" t="s">
        <v>1278</v>
      </c>
      <c r="C1549" s="11" t="s">
        <v>900</v>
      </c>
      <c r="D1549" s="217" t="str">
        <f>IF(A1549=B1521,"New Revenue Adjustments",IF(AND(C1549=D1521,A1549&lt;B1521),"Attrition Necessary",0))</f>
        <v>Attrition Necessary</v>
      </c>
      <c r="E1549" s="522">
        <f t="shared" si="787"/>
        <v>2882220.8130185059</v>
      </c>
      <c r="F1549" s="522">
        <f t="shared" si="787"/>
        <v>2882220.8130185059</v>
      </c>
      <c r="G1549" s="522">
        <f t="shared" si="787"/>
        <v>2882220.8130185059</v>
      </c>
      <c r="H1549" s="522">
        <f t="shared" si="787"/>
        <v>2882220.8130185059</v>
      </c>
      <c r="I1549" s="522">
        <f t="shared" si="787"/>
        <v>2882220.8130185059</v>
      </c>
      <c r="J1549" s="522">
        <f t="shared" si="787"/>
        <v>2882220.8130185059</v>
      </c>
      <c r="K1549" s="522">
        <f t="shared" si="787"/>
        <v>2882220.8130185059</v>
      </c>
      <c r="L1549" s="522">
        <f t="shared" si="787"/>
        <v>2882220.8130185059</v>
      </c>
      <c r="M1549" s="522">
        <f t="shared" si="787"/>
        <v>2882220.8130185059</v>
      </c>
      <c r="N1549" s="522">
        <f t="shared" si="787"/>
        <v>2882220.8130185059</v>
      </c>
      <c r="O1549" s="410" t="s">
        <v>2710</v>
      </c>
    </row>
    <row r="1550" spans="1:15" s="217" customFormat="1">
      <c r="A1550" s="217">
        <v>15</v>
      </c>
      <c r="B1550" s="10" t="s">
        <v>1278</v>
      </c>
      <c r="C1550" s="11" t="s">
        <v>901</v>
      </c>
      <c r="D1550" s="217">
        <f>IF(A1550=B1521,"New Revenue Adjustments",IF(AND(C1550=D1521,A1550&lt;B1521),"Attrition Necessary",0))</f>
        <v>0</v>
      </c>
      <c r="E1550" s="522">
        <f t="shared" si="787"/>
        <v>4445236.685244495</v>
      </c>
      <c r="F1550" s="522">
        <f t="shared" si="787"/>
        <v>4445236.685244495</v>
      </c>
      <c r="G1550" s="522">
        <f t="shared" si="787"/>
        <v>4445236.685244495</v>
      </c>
      <c r="H1550" s="522">
        <f t="shared" si="787"/>
        <v>4445236.685244495</v>
      </c>
      <c r="I1550" s="522">
        <f t="shared" si="787"/>
        <v>4445236.685244495</v>
      </c>
      <c r="J1550" s="522">
        <f t="shared" si="787"/>
        <v>4445236.685244495</v>
      </c>
      <c r="K1550" s="522">
        <f t="shared" si="787"/>
        <v>4445236.685244495</v>
      </c>
      <c r="L1550" s="522">
        <f t="shared" si="787"/>
        <v>4445236.685244495</v>
      </c>
      <c r="M1550" s="522">
        <f t="shared" si="787"/>
        <v>4445236.685244495</v>
      </c>
      <c r="N1550" s="522">
        <f t="shared" si="787"/>
        <v>4445236.685244495</v>
      </c>
      <c r="O1550" s="410" t="s">
        <v>2711</v>
      </c>
    </row>
    <row r="1551" spans="1:15" s="217" customFormat="1">
      <c r="A1551" s="217">
        <v>16</v>
      </c>
      <c r="B1551" s="10" t="s">
        <v>1278</v>
      </c>
      <c r="C1551" s="11" t="s">
        <v>902</v>
      </c>
      <c r="D1551" s="217">
        <f>IF(A1551=B1521,"New Revenue Adjustments",IF(AND(C1551=D1521,A1551&lt;B1521),"Attrition Necessary",0))</f>
        <v>0</v>
      </c>
      <c r="E1551" s="522">
        <f t="shared" si="787"/>
        <v>6537112.7724183742</v>
      </c>
      <c r="F1551" s="522">
        <f t="shared" si="787"/>
        <v>6537112.7724183742</v>
      </c>
      <c r="G1551" s="522">
        <f t="shared" si="787"/>
        <v>6537112.7724183742</v>
      </c>
      <c r="H1551" s="522">
        <f t="shared" si="787"/>
        <v>6537112.7724183742</v>
      </c>
      <c r="I1551" s="522">
        <f t="shared" si="787"/>
        <v>6537112.7724183742</v>
      </c>
      <c r="J1551" s="522">
        <f t="shared" si="787"/>
        <v>6537112.7724183742</v>
      </c>
      <c r="K1551" s="522">
        <f t="shared" si="787"/>
        <v>6537112.7724183742</v>
      </c>
      <c r="L1551" s="522">
        <f t="shared" si="787"/>
        <v>6537112.7724183742</v>
      </c>
      <c r="M1551" s="522">
        <f t="shared" si="787"/>
        <v>6537112.7724183742</v>
      </c>
      <c r="N1551" s="522">
        <f t="shared" si="787"/>
        <v>6537112.7724183742</v>
      </c>
      <c r="O1551" s="410" t="s">
        <v>2712</v>
      </c>
    </row>
    <row r="1552" spans="1:15" s="217" customFormat="1">
      <c r="A1552" s="217">
        <v>17</v>
      </c>
      <c r="B1552" s="10" t="s">
        <v>1279</v>
      </c>
      <c r="C1552" s="11" t="s">
        <v>899</v>
      </c>
      <c r="D1552" s="217">
        <f>IF(A1552=B1521,"New Revenue Adjustments",IF(AND(C1552=D1521,A1552&lt;B1521),"Attrition Necessary",0))</f>
        <v>0</v>
      </c>
      <c r="E1552" s="522">
        <f t="shared" si="787"/>
        <v>2941700.7475882685</v>
      </c>
      <c r="F1552" s="522">
        <f t="shared" si="787"/>
        <v>2941700.7475882685</v>
      </c>
      <c r="G1552" s="522">
        <f t="shared" si="787"/>
        <v>2941700.7475882685</v>
      </c>
      <c r="H1552" s="522">
        <f t="shared" si="787"/>
        <v>2941700.7475882685</v>
      </c>
      <c r="I1552" s="522">
        <f t="shared" si="787"/>
        <v>2941700.7475882685</v>
      </c>
      <c r="J1552" s="522">
        <f t="shared" si="787"/>
        <v>2941700.7475882685</v>
      </c>
      <c r="K1552" s="522">
        <f t="shared" si="787"/>
        <v>2941700.7475882685</v>
      </c>
      <c r="L1552" s="522">
        <f t="shared" si="787"/>
        <v>2941700.7475882685</v>
      </c>
      <c r="M1552" s="522">
        <f t="shared" si="787"/>
        <v>2941700.7475882685</v>
      </c>
      <c r="N1552" s="522">
        <f t="shared" si="787"/>
        <v>2941700.7475882685</v>
      </c>
      <c r="O1552" s="410" t="s">
        <v>2713</v>
      </c>
    </row>
    <row r="1553" spans="1:15" s="217" customFormat="1">
      <c r="A1553" s="217">
        <v>18</v>
      </c>
      <c r="B1553" s="10" t="s">
        <v>1279</v>
      </c>
      <c r="C1553" s="11" t="s">
        <v>900</v>
      </c>
      <c r="D1553" s="217" t="str">
        <f>IF(A1553=B1521,"New Revenue Adjustments",IF(AND(C1553=D1521,A1553&lt;B1521),"Attrition Necessary",0))</f>
        <v>Attrition Necessary</v>
      </c>
      <c r="E1553" s="522">
        <f t="shared" si="787"/>
        <v>3595412.0248301052</v>
      </c>
      <c r="F1553" s="522">
        <f t="shared" si="787"/>
        <v>3595412.0248301052</v>
      </c>
      <c r="G1553" s="522">
        <f t="shared" si="787"/>
        <v>3595412.0248301052</v>
      </c>
      <c r="H1553" s="522">
        <f t="shared" si="787"/>
        <v>3595412.0248301052</v>
      </c>
      <c r="I1553" s="522">
        <f t="shared" si="787"/>
        <v>3595412.0248301052</v>
      </c>
      <c r="J1553" s="522">
        <f t="shared" si="787"/>
        <v>3595412.0248301052</v>
      </c>
      <c r="K1553" s="522">
        <f t="shared" si="787"/>
        <v>3595412.0248301052</v>
      </c>
      <c r="L1553" s="522">
        <f t="shared" si="787"/>
        <v>3595412.0248301052</v>
      </c>
      <c r="M1553" s="522">
        <f t="shared" si="787"/>
        <v>3595412.0248301052</v>
      </c>
      <c r="N1553" s="522">
        <f t="shared" si="787"/>
        <v>3595412.0248301052</v>
      </c>
      <c r="O1553" s="410" t="s">
        <v>2714</v>
      </c>
    </row>
    <row r="1554" spans="1:15" s="217" customFormat="1">
      <c r="A1554" s="217">
        <v>19</v>
      </c>
      <c r="B1554" s="10" t="s">
        <v>1279</v>
      </c>
      <c r="C1554" s="11" t="s">
        <v>901</v>
      </c>
      <c r="D1554" s="217">
        <f>IF(A1554=B1521,"New Revenue Adjustments",IF(AND(C1554=D1521,A1554&lt;B1521),"Attrition Necessary",0))</f>
        <v>0</v>
      </c>
      <c r="E1554" s="522">
        <f t="shared" si="787"/>
        <v>5545188.404425473</v>
      </c>
      <c r="F1554" s="522">
        <f t="shared" si="787"/>
        <v>5545188.404425473</v>
      </c>
      <c r="G1554" s="522">
        <f t="shared" si="787"/>
        <v>5545188.404425473</v>
      </c>
      <c r="H1554" s="522">
        <f t="shared" si="787"/>
        <v>5545188.404425473</v>
      </c>
      <c r="I1554" s="522">
        <f t="shared" si="787"/>
        <v>5545188.404425473</v>
      </c>
      <c r="J1554" s="522">
        <f t="shared" si="787"/>
        <v>5545188.404425473</v>
      </c>
      <c r="K1554" s="522">
        <f t="shared" si="787"/>
        <v>5545188.404425473</v>
      </c>
      <c r="L1554" s="522">
        <f t="shared" si="787"/>
        <v>5545188.404425473</v>
      </c>
      <c r="M1554" s="522">
        <f t="shared" si="787"/>
        <v>5545188.404425473</v>
      </c>
      <c r="N1554" s="522">
        <f t="shared" si="787"/>
        <v>5545188.404425473</v>
      </c>
      <c r="O1554" s="410" t="s">
        <v>2715</v>
      </c>
    </row>
    <row r="1555" spans="1:15" s="217" customFormat="1">
      <c r="A1555" s="217">
        <v>20</v>
      </c>
      <c r="B1555" s="10" t="s">
        <v>1279</v>
      </c>
      <c r="C1555" s="11" t="s">
        <v>902</v>
      </c>
      <c r="D1555" s="217">
        <f>IF(A1555=B1521,"New Revenue Adjustments",IF(AND(C1555=D1521,A1555&lt;B1521),"Attrition Necessary",0))</f>
        <v>0</v>
      </c>
      <c r="E1555" s="522">
        <f t="shared" si="787"/>
        <v>8154688.8300374569</v>
      </c>
      <c r="F1555" s="522">
        <f t="shared" si="787"/>
        <v>8154688.8300374569</v>
      </c>
      <c r="G1555" s="522">
        <f t="shared" si="787"/>
        <v>8154688.8300374569</v>
      </c>
      <c r="H1555" s="522">
        <f t="shared" si="787"/>
        <v>8154688.8300374569</v>
      </c>
      <c r="I1555" s="522">
        <f t="shared" si="787"/>
        <v>8154688.8300374569</v>
      </c>
      <c r="J1555" s="522">
        <f t="shared" si="787"/>
        <v>8154688.8300374569</v>
      </c>
      <c r="K1555" s="522">
        <f t="shared" si="787"/>
        <v>8154688.8300374569</v>
      </c>
      <c r="L1555" s="522">
        <f t="shared" si="787"/>
        <v>8154688.8300374569</v>
      </c>
      <c r="M1555" s="522">
        <f t="shared" si="787"/>
        <v>8154688.8300374569</v>
      </c>
      <c r="N1555" s="522">
        <f t="shared" si="787"/>
        <v>8154688.8300374569</v>
      </c>
      <c r="O1555" s="410" t="s">
        <v>2716</v>
      </c>
    </row>
    <row r="1556" spans="1:15" s="217" customFormat="1">
      <c r="A1556" s="217">
        <v>21</v>
      </c>
      <c r="B1556" s="10" t="s">
        <v>2052</v>
      </c>
      <c r="C1556" s="11" t="s">
        <v>899</v>
      </c>
      <c r="D1556" s="217">
        <f>IF(A1556=B1521,"New Revenue Adjustments",IF(AND(C1556=D1521,A1556&lt;B1521),"Attrition Necessary",0))</f>
        <v>0</v>
      </c>
      <c r="E1556" s="522">
        <f t="shared" ref="E1556:N1567" si="788">IF($B$1521&gt;$A1556,INDEX(calcY4Q1RevFlow,$A1556,calcTeamNum)*(IF($D1556="Attrition Necessary",1-calcQ2AttritionDifference,1)*(IF($D1556="New Revenue Adjustments",1+calcY4Q2RevenueAdjustment,1))),INDEX(dataY4Q2Rev,$A1556,)*(IF($D1556="Attrition Necessary",1-calcQ2AttritionDifference,1))*(IF($D1556="New Revenue Adjustments",1+calcY4Q2RevenueAdjustment,1)))</f>
        <v>3229256.7766948342</v>
      </c>
      <c r="F1556" s="522">
        <f t="shared" si="788"/>
        <v>3229256.7766948342</v>
      </c>
      <c r="G1556" s="522">
        <f t="shared" si="788"/>
        <v>3229256.7766948342</v>
      </c>
      <c r="H1556" s="522">
        <f t="shared" si="788"/>
        <v>3229256.7766948342</v>
      </c>
      <c r="I1556" s="522">
        <f t="shared" si="788"/>
        <v>3229256.7766948342</v>
      </c>
      <c r="J1556" s="522">
        <f t="shared" si="788"/>
        <v>3229256.7766948342</v>
      </c>
      <c r="K1556" s="522">
        <f t="shared" si="788"/>
        <v>3229256.7766948342</v>
      </c>
      <c r="L1556" s="522">
        <f t="shared" si="788"/>
        <v>3229256.7766948342</v>
      </c>
      <c r="M1556" s="522">
        <f t="shared" si="788"/>
        <v>3229256.7766948342</v>
      </c>
      <c r="N1556" s="522">
        <f t="shared" si="788"/>
        <v>3229256.7766948342</v>
      </c>
      <c r="O1556" s="410" t="s">
        <v>2717</v>
      </c>
    </row>
    <row r="1557" spans="1:15" s="217" customFormat="1">
      <c r="A1557" s="217">
        <v>22</v>
      </c>
      <c r="B1557" s="10" t="s">
        <v>2052</v>
      </c>
      <c r="C1557" s="11" t="s">
        <v>900</v>
      </c>
      <c r="D1557" s="217" t="str">
        <f>IF(A1557=B1521,"New Revenue Adjustments",IF(AND(C1557=D1521,A1557&lt;B1521),"Attrition Necessary",0))</f>
        <v>Attrition Necessary</v>
      </c>
      <c r="E1557" s="522">
        <f t="shared" si="788"/>
        <v>3946869.3937381296</v>
      </c>
      <c r="F1557" s="522">
        <f t="shared" si="788"/>
        <v>3946869.3937381296</v>
      </c>
      <c r="G1557" s="522">
        <f t="shared" si="788"/>
        <v>3946869.3937381296</v>
      </c>
      <c r="H1557" s="522">
        <f t="shared" si="788"/>
        <v>3946869.3937381296</v>
      </c>
      <c r="I1557" s="522">
        <f t="shared" si="788"/>
        <v>3946869.3937381296</v>
      </c>
      <c r="J1557" s="522">
        <f t="shared" si="788"/>
        <v>3946869.3937381296</v>
      </c>
      <c r="K1557" s="522">
        <f t="shared" si="788"/>
        <v>3946869.3937381296</v>
      </c>
      <c r="L1557" s="522">
        <f t="shared" si="788"/>
        <v>3946869.3937381296</v>
      </c>
      <c r="M1557" s="522">
        <f t="shared" si="788"/>
        <v>3946869.3937381296</v>
      </c>
      <c r="N1557" s="522">
        <f t="shared" si="788"/>
        <v>3946869.3937381296</v>
      </c>
      <c r="O1557" s="410" t="s">
        <v>2718</v>
      </c>
    </row>
    <row r="1558" spans="1:15" s="217" customFormat="1">
      <c r="A1558" s="217">
        <v>23</v>
      </c>
      <c r="B1558" s="10" t="s">
        <v>2052</v>
      </c>
      <c r="C1558" s="11" t="s">
        <v>901</v>
      </c>
      <c r="D1558" s="217">
        <f>IF(A1558=B1521,"New Revenue Adjustments",IF(AND(C1558=D1521,A1558&lt;B1521),"Attrition Necessary",0))</f>
        <v>0</v>
      </c>
      <c r="E1558" s="522">
        <f t="shared" si="788"/>
        <v>6087239.5833333349</v>
      </c>
      <c r="F1558" s="522">
        <f t="shared" si="788"/>
        <v>6087239.5833333349</v>
      </c>
      <c r="G1558" s="522">
        <f t="shared" si="788"/>
        <v>6087239.5833333349</v>
      </c>
      <c r="H1558" s="522">
        <f t="shared" si="788"/>
        <v>6087239.5833333349</v>
      </c>
      <c r="I1558" s="522">
        <f t="shared" si="788"/>
        <v>6087239.5833333349</v>
      </c>
      <c r="J1558" s="522">
        <f t="shared" si="788"/>
        <v>6087239.5833333349</v>
      </c>
      <c r="K1558" s="522">
        <f t="shared" si="788"/>
        <v>6087239.5833333349</v>
      </c>
      <c r="L1558" s="522">
        <f t="shared" si="788"/>
        <v>6087239.5833333349</v>
      </c>
      <c r="M1558" s="522">
        <f t="shared" si="788"/>
        <v>6087239.5833333349</v>
      </c>
      <c r="N1558" s="522">
        <f t="shared" si="788"/>
        <v>6087239.5833333349</v>
      </c>
      <c r="O1558" s="410" t="s">
        <v>2719</v>
      </c>
    </row>
    <row r="1559" spans="1:15" s="217" customFormat="1">
      <c r="A1559" s="217">
        <v>24</v>
      </c>
      <c r="B1559" s="10" t="s">
        <v>2052</v>
      </c>
      <c r="C1559" s="11" t="s">
        <v>902</v>
      </c>
      <c r="D1559" s="217">
        <f>IF(A1559=B1521,"New Revenue Adjustments",IF(AND(C1559=D1521,A1559&lt;B1521),"Attrition Necessary",0))</f>
        <v>0</v>
      </c>
      <c r="E1559" s="522">
        <f t="shared" si="788"/>
        <v>8951822.916666666</v>
      </c>
      <c r="F1559" s="522">
        <f t="shared" si="788"/>
        <v>8951822.916666666</v>
      </c>
      <c r="G1559" s="522">
        <f t="shared" si="788"/>
        <v>8951822.916666666</v>
      </c>
      <c r="H1559" s="522">
        <f t="shared" si="788"/>
        <v>8951822.916666666</v>
      </c>
      <c r="I1559" s="522">
        <f t="shared" si="788"/>
        <v>8951822.916666666</v>
      </c>
      <c r="J1559" s="522">
        <f t="shared" si="788"/>
        <v>8951822.916666666</v>
      </c>
      <c r="K1559" s="522">
        <f t="shared" si="788"/>
        <v>8951822.916666666</v>
      </c>
      <c r="L1559" s="522">
        <f t="shared" si="788"/>
        <v>8951822.916666666</v>
      </c>
      <c r="M1559" s="522">
        <f t="shared" si="788"/>
        <v>8951822.916666666</v>
      </c>
      <c r="N1559" s="522">
        <f t="shared" si="788"/>
        <v>8951822.916666666</v>
      </c>
      <c r="O1559" s="410" t="s">
        <v>2720</v>
      </c>
    </row>
    <row r="1560" spans="1:15" s="217" customFormat="1">
      <c r="A1560" s="217">
        <v>25</v>
      </c>
      <c r="B1560" s="10" t="s">
        <v>2408</v>
      </c>
      <c r="C1560" s="11" t="s">
        <v>899</v>
      </c>
      <c r="D1560" s="217">
        <f>IF(A1560=B1521,"New Revenue Adjustments",IF(AND(C1560=D1521,A1560&lt;B1521),"Attrition Necessary",0))</f>
        <v>0</v>
      </c>
      <c r="E1560" s="522">
        <f t="shared" si="788"/>
        <v>3464355.4687500005</v>
      </c>
      <c r="F1560" s="522">
        <f t="shared" si="788"/>
        <v>3464355.4687500005</v>
      </c>
      <c r="G1560" s="522">
        <f t="shared" si="788"/>
        <v>3464355.4687500005</v>
      </c>
      <c r="H1560" s="522">
        <f t="shared" si="788"/>
        <v>3464355.4687500005</v>
      </c>
      <c r="I1560" s="522">
        <f t="shared" si="788"/>
        <v>3464355.4687500005</v>
      </c>
      <c r="J1560" s="522">
        <f t="shared" si="788"/>
        <v>3464355.4687500005</v>
      </c>
      <c r="K1560" s="522">
        <f t="shared" si="788"/>
        <v>3464355.4687500005</v>
      </c>
      <c r="L1560" s="522">
        <f t="shared" si="788"/>
        <v>3464355.4687500005</v>
      </c>
      <c r="M1560" s="522">
        <f t="shared" si="788"/>
        <v>3464355.4687500005</v>
      </c>
      <c r="N1560" s="522">
        <f t="shared" si="788"/>
        <v>3464355.4687500005</v>
      </c>
      <c r="O1560" s="410" t="s">
        <v>2721</v>
      </c>
    </row>
    <row r="1561" spans="1:15" s="217" customFormat="1">
      <c r="A1561" s="217">
        <v>26</v>
      </c>
      <c r="B1561" s="10" t="s">
        <v>2408</v>
      </c>
      <c r="C1561" s="11" t="s">
        <v>900</v>
      </c>
      <c r="D1561" s="217" t="str">
        <f>IF(A1561=B1521,"New Revenue Adjustments",IF(AND(C1561=D1521,A1561&lt;B1521),"Attrition Necessary",0))</f>
        <v>New Revenue Adjustments</v>
      </c>
      <c r="E1561" s="522">
        <f t="shared" si="788"/>
        <v>4234212.239583333</v>
      </c>
      <c r="F1561" s="522">
        <f t="shared" si="788"/>
        <v>4234212.239583333</v>
      </c>
      <c r="G1561" s="522">
        <f t="shared" si="788"/>
        <v>4234212.239583333</v>
      </c>
      <c r="H1561" s="522">
        <f t="shared" si="788"/>
        <v>4234212.239583333</v>
      </c>
      <c r="I1561" s="522">
        <f t="shared" si="788"/>
        <v>4234212.239583333</v>
      </c>
      <c r="J1561" s="522">
        <f t="shared" si="788"/>
        <v>4234212.239583333</v>
      </c>
      <c r="K1561" s="522">
        <f t="shared" si="788"/>
        <v>4234212.239583333</v>
      </c>
      <c r="L1561" s="522">
        <f t="shared" si="788"/>
        <v>4234212.239583333</v>
      </c>
      <c r="M1561" s="522">
        <f t="shared" si="788"/>
        <v>4234212.239583333</v>
      </c>
      <c r="N1561" s="522">
        <f t="shared" si="788"/>
        <v>4234212.239583333</v>
      </c>
      <c r="O1561" s="410" t="s">
        <v>2722</v>
      </c>
    </row>
    <row r="1562" spans="1:15" s="217" customFormat="1">
      <c r="A1562" s="217">
        <v>27</v>
      </c>
      <c r="B1562" s="10" t="s">
        <v>2408</v>
      </c>
      <c r="C1562" s="11" t="s">
        <v>901</v>
      </c>
      <c r="D1562" s="217">
        <f>IF(A1562=B1521,"New Revenue Adjustments",IF(AND(C1562=D1521,A1562&lt;B1521),"Attrition Necessary",0))</f>
        <v>0</v>
      </c>
      <c r="E1562" s="522">
        <f t="shared" si="788"/>
        <v>0</v>
      </c>
      <c r="F1562" s="522">
        <f t="shared" si="788"/>
        <v>0</v>
      </c>
      <c r="G1562" s="522">
        <f t="shared" si="788"/>
        <v>0</v>
      </c>
      <c r="H1562" s="522">
        <f t="shared" si="788"/>
        <v>0</v>
      </c>
      <c r="I1562" s="522">
        <f t="shared" si="788"/>
        <v>0</v>
      </c>
      <c r="J1562" s="522">
        <f t="shared" si="788"/>
        <v>0</v>
      </c>
      <c r="K1562" s="522">
        <f t="shared" si="788"/>
        <v>0</v>
      </c>
      <c r="L1562" s="522">
        <f t="shared" si="788"/>
        <v>0</v>
      </c>
      <c r="M1562" s="522">
        <f t="shared" si="788"/>
        <v>0</v>
      </c>
      <c r="N1562" s="522">
        <f t="shared" si="788"/>
        <v>0</v>
      </c>
      <c r="O1562" s="410" t="s">
        <v>2723</v>
      </c>
    </row>
    <row r="1563" spans="1:15" s="217" customFormat="1">
      <c r="A1563" s="217">
        <v>28</v>
      </c>
      <c r="B1563" s="10" t="s">
        <v>2408</v>
      </c>
      <c r="C1563" s="11" t="s">
        <v>902</v>
      </c>
      <c r="D1563" s="217">
        <f>IF(A1563=B1521,"New Revenue Adjustments",IF(AND(C1563=D1521,A1563&lt;B1521),"Attrition Necessary",0))</f>
        <v>0</v>
      </c>
      <c r="E1563" s="522">
        <f t="shared" si="788"/>
        <v>0</v>
      </c>
      <c r="F1563" s="522">
        <f t="shared" si="788"/>
        <v>0</v>
      </c>
      <c r="G1563" s="522">
        <f t="shared" si="788"/>
        <v>0</v>
      </c>
      <c r="H1563" s="522">
        <f t="shared" si="788"/>
        <v>0</v>
      </c>
      <c r="I1563" s="522">
        <f t="shared" si="788"/>
        <v>0</v>
      </c>
      <c r="J1563" s="522">
        <f t="shared" si="788"/>
        <v>0</v>
      </c>
      <c r="K1563" s="522">
        <f t="shared" si="788"/>
        <v>0</v>
      </c>
      <c r="L1563" s="522">
        <f t="shared" si="788"/>
        <v>0</v>
      </c>
      <c r="M1563" s="522">
        <f t="shared" si="788"/>
        <v>0</v>
      </c>
      <c r="N1563" s="522">
        <f t="shared" si="788"/>
        <v>0</v>
      </c>
      <c r="O1563" s="410" t="s">
        <v>2724</v>
      </c>
    </row>
    <row r="1564" spans="1:15" s="217" customFormat="1">
      <c r="A1564" s="217">
        <v>29</v>
      </c>
      <c r="B1564" s="10" t="s">
        <v>2413</v>
      </c>
      <c r="C1564" s="11" t="s">
        <v>899</v>
      </c>
      <c r="D1564" s="217">
        <f>IF(A1564=B1521,"New Revenue Adjustments",IF(AND(C1564=D1521,A1564&lt;B1521),"Attrition Necessary",0))</f>
        <v>0</v>
      </c>
      <c r="E1564" s="522">
        <f t="shared" si="788"/>
        <v>0</v>
      </c>
      <c r="F1564" s="522">
        <f t="shared" si="788"/>
        <v>0</v>
      </c>
      <c r="G1564" s="522">
        <f t="shared" si="788"/>
        <v>0</v>
      </c>
      <c r="H1564" s="522">
        <f t="shared" si="788"/>
        <v>0</v>
      </c>
      <c r="I1564" s="522">
        <f t="shared" si="788"/>
        <v>0</v>
      </c>
      <c r="J1564" s="522">
        <f t="shared" si="788"/>
        <v>0</v>
      </c>
      <c r="K1564" s="522">
        <f t="shared" si="788"/>
        <v>0</v>
      </c>
      <c r="L1564" s="522">
        <f t="shared" si="788"/>
        <v>0</v>
      </c>
      <c r="M1564" s="522">
        <f t="shared" si="788"/>
        <v>0</v>
      </c>
      <c r="N1564" s="522">
        <f t="shared" si="788"/>
        <v>0</v>
      </c>
      <c r="O1564" s="410" t="s">
        <v>2725</v>
      </c>
    </row>
    <row r="1565" spans="1:15" s="217" customFormat="1">
      <c r="A1565" s="217">
        <v>30</v>
      </c>
      <c r="B1565" s="10" t="s">
        <v>2413</v>
      </c>
      <c r="C1565" s="11" t="s">
        <v>900</v>
      </c>
      <c r="D1565" s="217">
        <f>IF(A1565=B1521,"New Revenue Adjustments",IF(AND(C1565=D1521,A1565&lt;B1521),"Attrition Necessary",0))</f>
        <v>0</v>
      </c>
      <c r="E1565" s="522">
        <f t="shared" si="788"/>
        <v>0</v>
      </c>
      <c r="F1565" s="522">
        <f t="shared" si="788"/>
        <v>0</v>
      </c>
      <c r="G1565" s="522">
        <f t="shared" si="788"/>
        <v>0</v>
      </c>
      <c r="H1565" s="522">
        <f t="shared" si="788"/>
        <v>0</v>
      </c>
      <c r="I1565" s="522">
        <f t="shared" si="788"/>
        <v>0</v>
      </c>
      <c r="J1565" s="522">
        <f t="shared" si="788"/>
        <v>0</v>
      </c>
      <c r="K1565" s="522">
        <f t="shared" si="788"/>
        <v>0</v>
      </c>
      <c r="L1565" s="522">
        <f t="shared" si="788"/>
        <v>0</v>
      </c>
      <c r="M1565" s="522">
        <f t="shared" si="788"/>
        <v>0</v>
      </c>
      <c r="N1565" s="522">
        <f t="shared" si="788"/>
        <v>0</v>
      </c>
      <c r="O1565" s="410" t="s">
        <v>2726</v>
      </c>
    </row>
    <row r="1566" spans="1:15" s="217" customFormat="1">
      <c r="A1566" s="217">
        <v>31</v>
      </c>
      <c r="B1566" s="10" t="s">
        <v>2413</v>
      </c>
      <c r="C1566" s="11" t="s">
        <v>901</v>
      </c>
      <c r="D1566" s="217">
        <f>IF(A1566=B1521,"New Revenue Adjustments",IF(AND(C1566=D1521,A1566&lt;B1521),"Attrition Necessary",0))</f>
        <v>0</v>
      </c>
      <c r="E1566" s="522">
        <f t="shared" si="788"/>
        <v>0</v>
      </c>
      <c r="F1566" s="522">
        <f t="shared" si="788"/>
        <v>0</v>
      </c>
      <c r="G1566" s="522">
        <f t="shared" si="788"/>
        <v>0</v>
      </c>
      <c r="H1566" s="522">
        <f t="shared" si="788"/>
        <v>0</v>
      </c>
      <c r="I1566" s="522">
        <f t="shared" si="788"/>
        <v>0</v>
      </c>
      <c r="J1566" s="522">
        <f t="shared" si="788"/>
        <v>0</v>
      </c>
      <c r="K1566" s="522">
        <f t="shared" si="788"/>
        <v>0</v>
      </c>
      <c r="L1566" s="522">
        <f t="shared" si="788"/>
        <v>0</v>
      </c>
      <c r="M1566" s="522">
        <f t="shared" si="788"/>
        <v>0</v>
      </c>
      <c r="N1566" s="522">
        <f t="shared" si="788"/>
        <v>0</v>
      </c>
      <c r="O1566" s="410" t="s">
        <v>2727</v>
      </c>
    </row>
    <row r="1567" spans="1:15" s="217" customFormat="1">
      <c r="A1567" s="217">
        <v>32</v>
      </c>
      <c r="B1567" s="10" t="s">
        <v>2413</v>
      </c>
      <c r="C1567" s="11" t="s">
        <v>902</v>
      </c>
      <c r="D1567" s="217">
        <f>IF(A1567=B1521,"New Revenue Adjustments",IF(AND(C1567=D1521,A1567&lt;B1521),"Attrition Necessary",0))</f>
        <v>0</v>
      </c>
      <c r="E1567" s="522">
        <f t="shared" si="788"/>
        <v>0</v>
      </c>
      <c r="F1567" s="522">
        <f t="shared" si="788"/>
        <v>0</v>
      </c>
      <c r="G1567" s="522">
        <f t="shared" si="788"/>
        <v>0</v>
      </c>
      <c r="H1567" s="522">
        <f t="shared" si="788"/>
        <v>0</v>
      </c>
      <c r="I1567" s="522">
        <f t="shared" si="788"/>
        <v>0</v>
      </c>
      <c r="J1567" s="522">
        <f t="shared" si="788"/>
        <v>0</v>
      </c>
      <c r="K1567" s="522">
        <f t="shared" si="788"/>
        <v>0</v>
      </c>
      <c r="L1567" s="522">
        <f t="shared" si="788"/>
        <v>0</v>
      </c>
      <c r="M1567" s="522">
        <f t="shared" si="788"/>
        <v>0</v>
      </c>
      <c r="N1567" s="522">
        <f t="shared" si="788"/>
        <v>0</v>
      </c>
      <c r="O1567" s="410" t="s">
        <v>2728</v>
      </c>
    </row>
    <row r="1568" spans="1:15" s="217" customFormat="1">
      <c r="D1568" s="217" t="s">
        <v>906</v>
      </c>
      <c r="E1568" s="427">
        <f>SUM(E1536:E1567)</f>
        <v>95173024.246395499</v>
      </c>
      <c r="F1568" s="427">
        <f t="shared" ref="F1568:I1568" si="789">SUM(F1536:F1567)</f>
        <v>95173024.246395499</v>
      </c>
      <c r="G1568" s="427">
        <f t="shared" si="789"/>
        <v>95173024.246395499</v>
      </c>
      <c r="H1568" s="427">
        <f t="shared" si="789"/>
        <v>95173024.246395499</v>
      </c>
      <c r="I1568" s="427">
        <f t="shared" si="789"/>
        <v>95173024.246395499</v>
      </c>
      <c r="J1568" s="427">
        <f t="shared" ref="J1568:N1568" si="790">SUM(J1536:J1567)</f>
        <v>95173024.246395499</v>
      </c>
      <c r="K1568" s="427">
        <f t="shared" si="790"/>
        <v>95173024.246395499</v>
      </c>
      <c r="L1568" s="427">
        <f t="shared" si="790"/>
        <v>95173024.246395499</v>
      </c>
      <c r="M1568" s="427">
        <f t="shared" si="790"/>
        <v>95173024.246395499</v>
      </c>
      <c r="N1568" s="427">
        <f t="shared" si="790"/>
        <v>95173024.246395499</v>
      </c>
      <c r="O1568" s="217" t="s">
        <v>2729</v>
      </c>
    </row>
    <row r="1569" spans="1:18" s="217" customFormat="1">
      <c r="E1569" s="409"/>
      <c r="F1569" s="409"/>
      <c r="G1569" s="409"/>
      <c r="H1569" s="409"/>
      <c r="I1569" s="409"/>
      <c r="J1569" s="409"/>
      <c r="K1569" s="409"/>
      <c r="L1569" s="409"/>
      <c r="M1569" s="409"/>
      <c r="N1569" s="409"/>
    </row>
    <row r="1570" spans="1:18">
      <c r="A1570" s="217"/>
      <c r="B1570" s="69">
        <v>27</v>
      </c>
      <c r="C1570" s="217" t="s">
        <v>2408</v>
      </c>
      <c r="D1570" s="217" t="s">
        <v>901</v>
      </c>
    </row>
    <row r="1571" spans="1:18" s="217" customFormat="1">
      <c r="C1571" s="217" t="s">
        <v>1736</v>
      </c>
      <c r="E1571" s="409"/>
      <c r="F1571" s="409"/>
      <c r="G1571" s="409"/>
      <c r="H1571" s="409"/>
      <c r="I1571" s="409"/>
      <c r="J1571" s="409"/>
      <c r="K1571" s="409"/>
      <c r="L1571" s="409"/>
      <c r="M1571" s="409"/>
      <c r="N1571" s="409"/>
    </row>
    <row r="1572" spans="1:18" s="410" customFormat="1">
      <c r="D1572" s="410" t="s">
        <v>1754</v>
      </c>
      <c r="E1572" s="547">
        <f t="shared" ref="E1572:N1572" si="791">FORECAST(calcNPS,datatblNPSAttrition,datatblNPSScore)</f>
        <v>0.14946428571428572</v>
      </c>
      <c r="F1572" s="547">
        <f t="shared" si="791"/>
        <v>0.14946428571428572</v>
      </c>
      <c r="G1572" s="547">
        <f t="shared" si="791"/>
        <v>0.14946428571428572</v>
      </c>
      <c r="H1572" s="547">
        <f t="shared" si="791"/>
        <v>0.14946428571428572</v>
      </c>
      <c r="I1572" s="547">
        <f t="shared" si="791"/>
        <v>0.14946428571428572</v>
      </c>
      <c r="J1572" s="547">
        <f t="shared" si="791"/>
        <v>0.14946428571428572</v>
      </c>
      <c r="K1572" s="547">
        <f t="shared" si="791"/>
        <v>0.14946428571428572</v>
      </c>
      <c r="L1572" s="547">
        <f t="shared" si="791"/>
        <v>0.14946428571428572</v>
      </c>
      <c r="M1572" s="547">
        <f t="shared" si="791"/>
        <v>0.14946428571428572</v>
      </c>
      <c r="N1572" s="547">
        <f t="shared" si="791"/>
        <v>0.14946428571428572</v>
      </c>
    </row>
    <row r="1573" spans="1:18" s="410" customFormat="1">
      <c r="D1573" s="410" t="s">
        <v>1753</v>
      </c>
      <c r="E1573" s="547">
        <f>Data!$D$277</f>
        <v>0.1515124491492886</v>
      </c>
      <c r="F1573" s="547">
        <f>Data!$D$277</f>
        <v>0.1515124491492886</v>
      </c>
      <c r="G1573" s="547">
        <f>Data!$D$277</f>
        <v>0.1515124491492886</v>
      </c>
      <c r="H1573" s="547">
        <f>Data!$D$277</f>
        <v>0.1515124491492886</v>
      </c>
      <c r="I1573" s="547">
        <f>Data!$D$277</f>
        <v>0.1515124491492886</v>
      </c>
      <c r="J1573" s="547">
        <f>Data!$D$277</f>
        <v>0.1515124491492886</v>
      </c>
      <c r="K1573" s="547">
        <f>Data!$D$277</f>
        <v>0.1515124491492886</v>
      </c>
      <c r="L1573" s="547">
        <f>Data!$D$277</f>
        <v>0.1515124491492886</v>
      </c>
      <c r="M1573" s="547">
        <f>Data!$D$277</f>
        <v>0.1515124491492886</v>
      </c>
      <c r="N1573" s="547">
        <f>Data!$D$277</f>
        <v>0.1515124491492886</v>
      </c>
    </row>
    <row r="1574" spans="1:18" s="217" customFormat="1">
      <c r="D1574" s="217" t="s">
        <v>1755</v>
      </c>
      <c r="E1574" s="411">
        <f>E1572-E1573</f>
        <v>-2.0481634350028866E-3</v>
      </c>
      <c r="F1574" s="411">
        <f t="shared" ref="F1574" si="792">F1572-F1573</f>
        <v>-2.0481634350028866E-3</v>
      </c>
      <c r="G1574" s="411">
        <f t="shared" ref="G1574" si="793">G1572-G1573</f>
        <v>-2.0481634350028866E-3</v>
      </c>
      <c r="H1574" s="411">
        <f t="shared" ref="H1574" si="794">H1572-H1573</f>
        <v>-2.0481634350028866E-3</v>
      </c>
      <c r="I1574" s="411">
        <f t="shared" ref="I1574:N1574" si="795">I1572-I1573</f>
        <v>-2.0481634350028866E-3</v>
      </c>
      <c r="J1574" s="411">
        <f t="shared" si="795"/>
        <v>-2.0481634350028866E-3</v>
      </c>
      <c r="K1574" s="411">
        <f t="shared" si="795"/>
        <v>-2.0481634350028866E-3</v>
      </c>
      <c r="L1574" s="411">
        <f t="shared" si="795"/>
        <v>-2.0481634350028866E-3</v>
      </c>
      <c r="M1574" s="411">
        <f t="shared" si="795"/>
        <v>-2.0481634350028866E-3</v>
      </c>
      <c r="N1574" s="411">
        <f t="shared" si="795"/>
        <v>-2.0481634350028866E-3</v>
      </c>
      <c r="O1574" s="217" t="s">
        <v>2730</v>
      </c>
    </row>
    <row r="1575" spans="1:18" s="217" customFormat="1">
      <c r="C1575" s="217" t="s">
        <v>1757</v>
      </c>
      <c r="E1575" s="411"/>
      <c r="F1575" s="411"/>
      <c r="G1575" s="411"/>
      <c r="H1575" s="411"/>
      <c r="I1575" s="411"/>
      <c r="J1575" s="411"/>
      <c r="K1575" s="411"/>
      <c r="L1575" s="411"/>
      <c r="M1575" s="411"/>
      <c r="N1575" s="411"/>
    </row>
    <row r="1576" spans="1:18">
      <c r="D1576" s="69" t="s">
        <v>1151</v>
      </c>
      <c r="E1576" s="425">
        <f>IF(calcOrg62Timeline&lt;=$Q1576,INDEX(datatblOrg62Timeline,MATCH(decGTMOrg62Timeline,Data!$C$106:$C$111,0),2),0)*paramOrg62Impacts</f>
        <v>0</v>
      </c>
      <c r="F1576" s="425">
        <f>IF(calcOrg62Timeline&lt;=$Q1576,INDEX(datatblOrg62Timeline,MATCH(decGTMOrg62Timeline,Data!$C$106:$C$111,0),2),0)*paramOrg62Impacts</f>
        <v>0</v>
      </c>
      <c r="G1576" s="425">
        <f>IF(calcOrg62Timeline&lt;=$Q1576,INDEX(datatblOrg62Timeline,MATCH(decGTMOrg62Timeline,Data!$C$106:$C$111,0),2),0)*paramOrg62Impacts</f>
        <v>0</v>
      </c>
      <c r="H1576" s="425">
        <f>IF(calcOrg62Timeline&lt;=$Q1576,INDEX(datatblOrg62Timeline,MATCH(decGTMOrg62Timeline,Data!$C$106:$C$111,0),2),0)*paramOrg62Impacts</f>
        <v>0</v>
      </c>
      <c r="I1576" s="425">
        <f>IF(calcOrg62Timeline&lt;=$Q1576,INDEX(datatblOrg62Timeline,MATCH(decGTMOrg62Timeline,Data!$C$106:$C$111,0),2),0)*paramOrg62Impacts</f>
        <v>0</v>
      </c>
      <c r="J1576" s="425">
        <f>IF(calcOrg62Timeline&lt;=$Q1576,INDEX(datatblOrg62Timeline,MATCH(decGTMOrg62Timeline,Data!$C$106:$C$111,0),2),0)*paramOrg62Impacts</f>
        <v>0</v>
      </c>
      <c r="K1576" s="425">
        <f>IF(calcOrg62Timeline&lt;=$Q1576,INDEX(datatblOrg62Timeline,MATCH(decGTMOrg62Timeline,Data!$C$106:$C$111,0),2),0)*paramOrg62Impacts</f>
        <v>0</v>
      </c>
      <c r="L1576" s="425">
        <f>IF(calcOrg62Timeline&lt;=$Q1576,INDEX(datatblOrg62Timeline,MATCH(decGTMOrg62Timeline,Data!$C$106:$C$111,0),2),0)*paramOrg62Impacts</f>
        <v>0</v>
      </c>
      <c r="M1576" s="425">
        <f>IF(calcOrg62Timeline&lt;=$Q1576,INDEX(datatblOrg62Timeline,MATCH(decGTMOrg62Timeline,Data!$C$106:$C$111,0),2),0)*paramOrg62Impacts</f>
        <v>0</v>
      </c>
      <c r="N1576" s="425">
        <f>IF(calcOrg62Timeline&lt;=$Q1576,INDEX(datatblOrg62Timeline,MATCH(decGTMOrg62Timeline,Data!$C$106:$C$111,0),2),0)*paramOrg62Impacts</f>
        <v>0</v>
      </c>
      <c r="Q1576" s="69">
        <v>24</v>
      </c>
    </row>
    <row r="1577" spans="1:18">
      <c r="D1577" s="69" t="s">
        <v>507</v>
      </c>
      <c r="E1577" s="425">
        <f>IF(calcProductTimeline&lt;=$Q1577,INDEX(datatblStackFocusImpact,MATCH(decProductStackFocus,Data!$C$96:$C$101,0),2),0)+paramACVGrowthStack</f>
        <v>0</v>
      </c>
      <c r="F1577" s="425">
        <f>IF(calcProductTimeline&lt;=$Q1577,INDEX(datatblStackFocusImpact,MATCH(decProductStackFocus,Data!$C$96:$C$101,0),2),0)+paramACVGrowthStack</f>
        <v>0</v>
      </c>
      <c r="G1577" s="425">
        <f>IF(calcProductTimeline&lt;=$Q1577,INDEX(datatblStackFocusImpact,MATCH(decProductStackFocus,Data!$C$96:$C$101,0),2),0)+paramACVGrowthStack</f>
        <v>0</v>
      </c>
      <c r="H1577" s="425">
        <f>IF(calcProductTimeline&lt;=$Q1577,INDEX(datatblStackFocusImpact,MATCH(decProductStackFocus,Data!$C$96:$C$101,0),2),0)+paramACVGrowthStack</f>
        <v>0</v>
      </c>
      <c r="I1577" s="425">
        <f>IF(calcProductTimeline&lt;=$Q1577,INDEX(datatblStackFocusImpact,MATCH(decProductStackFocus,Data!$C$96:$C$101,0),2),0)+paramACVGrowthStack</f>
        <v>0</v>
      </c>
      <c r="J1577" s="425">
        <f>IF(calcProductTimeline&lt;=$Q1577,INDEX(datatblStackFocusImpact,MATCH(decProductStackFocus,Data!$C$96:$C$101,0),2),0)+paramACVGrowthStack</f>
        <v>0</v>
      </c>
      <c r="K1577" s="425">
        <f>IF(calcProductTimeline&lt;=$Q1577,INDEX(datatblStackFocusImpact,MATCH(decProductStackFocus,Data!$C$96:$C$101,0),2),0)+paramACVGrowthStack</f>
        <v>0</v>
      </c>
      <c r="L1577" s="425">
        <f>IF(calcProductTimeline&lt;=$Q1577,INDEX(datatblStackFocusImpact,MATCH(decProductStackFocus,Data!$C$96:$C$101,0),2),0)+paramACVGrowthStack</f>
        <v>0</v>
      </c>
      <c r="M1577" s="425">
        <f>IF(calcProductTimeline&lt;=$Q1577,INDEX(datatblStackFocusImpact,MATCH(decProductStackFocus,Data!$C$96:$C$101,0),2),0)+paramACVGrowthStack</f>
        <v>0</v>
      </c>
      <c r="N1577" s="425">
        <f>IF(calcProductTimeline&lt;=$Q1577,INDEX(datatblStackFocusImpact,MATCH(decProductStackFocus,Data!$C$96:$C$101,0),2),0)+paramACVGrowthStack</f>
        <v>0</v>
      </c>
      <c r="Q1577" s="69">
        <f>Q1576</f>
        <v>24</v>
      </c>
    </row>
    <row r="1578" spans="1:18">
      <c r="D1578" s="69" t="s">
        <v>2237</v>
      </c>
      <c r="E1578" s="425">
        <f>IF(calcExternalSalesTimeline&lt;=$Q1578,INDEX(datatblExternalSalesImpact,MATCH(decGTMExternalSales,Data!$C$85:$C$90,0),2),0)</f>
        <v>0</v>
      </c>
      <c r="F1578" s="425">
        <f>IF(calcExternalSalesTimeline&lt;=$Q1578,INDEX(datatblExternalSalesImpact,MATCH(decGTMExternalSales,Data!$C$85:$C$90,0),2),0)</f>
        <v>0</v>
      </c>
      <c r="G1578" s="425">
        <f>IF(calcExternalSalesTimeline&lt;=$Q1578,INDEX(datatblExternalSalesImpact,MATCH(decGTMExternalSales,Data!$C$85:$C$90,0),2),0)</f>
        <v>0</v>
      </c>
      <c r="H1578" s="425">
        <f>IF(calcExternalSalesTimeline&lt;=$Q1578,INDEX(datatblExternalSalesImpact,MATCH(decGTMExternalSales,Data!$C$85:$C$90,0),2),0)</f>
        <v>0</v>
      </c>
      <c r="I1578" s="425">
        <f>IF(calcExternalSalesTimeline&lt;=$Q1578,INDEX(datatblExternalSalesImpact,MATCH(decGTMExternalSales,Data!$C$85:$C$90,0),2),0)</f>
        <v>0</v>
      </c>
      <c r="J1578" s="425">
        <f>IF(calcExternalSalesTimeline&lt;=$Q1578,INDEX(datatblExternalSalesImpact,MATCH(decGTMExternalSales,Data!$C$85:$C$90,0),2),0)</f>
        <v>0</v>
      </c>
      <c r="K1578" s="425">
        <f>IF(calcExternalSalesTimeline&lt;=$Q1578,INDEX(datatblExternalSalesImpact,MATCH(decGTMExternalSales,Data!$C$85:$C$90,0),2),0)</f>
        <v>0</v>
      </c>
      <c r="L1578" s="425">
        <f>IF(calcExternalSalesTimeline&lt;=$Q1578,INDEX(datatblExternalSalesImpact,MATCH(decGTMExternalSales,Data!$C$85:$C$90,0),2),0)</f>
        <v>0</v>
      </c>
      <c r="M1578" s="425">
        <f>IF(calcExternalSalesTimeline&lt;=$Q1578,INDEX(datatblExternalSalesImpact,MATCH(decGTMExternalSales,Data!$C$85:$C$90,0),2),0)</f>
        <v>0</v>
      </c>
      <c r="N1578" s="425">
        <f>IF(calcExternalSalesTimeline&lt;=$Q1578,INDEX(datatblExternalSalesImpact,MATCH(decGTMExternalSales,Data!$C$85:$C$90,0),2),0)</f>
        <v>0</v>
      </c>
      <c r="O1578" s="482">
        <v>0.05</v>
      </c>
      <c r="P1578" s="482">
        <v>-0.05</v>
      </c>
      <c r="Q1578" s="69">
        <f>Q1577</f>
        <v>24</v>
      </c>
    </row>
    <row r="1579" spans="1:18">
      <c r="D1579" s="69" t="s">
        <v>2284</v>
      </c>
      <c r="E1579" s="425">
        <f>IF(calcCSGTimeline&lt;=$Q1579,INDEX(datatblCSGPostSales,MATCH(decGTMCSGPostSales,Data!$C$204:$C$209,0),3),0)</f>
        <v>0</v>
      </c>
      <c r="F1579" s="425">
        <f>IF(calcCSGTimeline&lt;=$Q1579,INDEX(datatblCSGPostSales,MATCH(decGTMCSGPostSales,Data!$C$204:$C$209,0),3),0)</f>
        <v>0</v>
      </c>
      <c r="G1579" s="425">
        <f>IF(calcCSGTimeline&lt;=$Q1579,INDEX(datatblCSGPostSales,MATCH(decGTMCSGPostSales,Data!$C$204:$C$209,0),3),0)</f>
        <v>0</v>
      </c>
      <c r="H1579" s="425">
        <f>IF(calcCSGTimeline&lt;=$Q1579,INDEX(datatblCSGPostSales,MATCH(decGTMCSGPostSales,Data!$C$204:$C$209,0),3),0)</f>
        <v>0</v>
      </c>
      <c r="I1579" s="425">
        <f>IF(calcCSGTimeline&lt;=$Q1579,INDEX(datatblCSGPostSales,MATCH(decGTMCSGPostSales,Data!$C$204:$C$209,0),3),0)</f>
        <v>0</v>
      </c>
      <c r="J1579" s="425">
        <f>IF(calcCSGTimeline&lt;=$Q1579,INDEX(datatblCSGPostSales,MATCH(decGTMCSGPostSales,Data!$C$204:$C$209,0),3),0)</f>
        <v>0</v>
      </c>
      <c r="K1579" s="425">
        <f>IF(calcCSGTimeline&lt;=$Q1579,INDEX(datatblCSGPostSales,MATCH(decGTMCSGPostSales,Data!$C$204:$C$209,0),3),0)</f>
        <v>0</v>
      </c>
      <c r="L1579" s="425">
        <f>IF(calcCSGTimeline&lt;=$Q1579,INDEX(datatblCSGPostSales,MATCH(decGTMCSGPostSales,Data!$C$204:$C$209,0),3),0)</f>
        <v>0</v>
      </c>
      <c r="M1579" s="425">
        <f>IF(calcCSGTimeline&lt;=$Q1579,INDEX(datatblCSGPostSales,MATCH(decGTMCSGPostSales,Data!$C$204:$C$209,0),3),0)</f>
        <v>0</v>
      </c>
      <c r="N1579" s="425">
        <f>IF(calcCSGTimeline&lt;=$Q1579,INDEX(datatblCSGPostSales,MATCH(decGTMCSGPostSales,Data!$C$204:$C$209,0),3),0)</f>
        <v>0</v>
      </c>
      <c r="O1579" s="482"/>
      <c r="P1579" s="482"/>
      <c r="Q1579" s="69">
        <f>Q1578</f>
        <v>24</v>
      </c>
    </row>
    <row r="1580" spans="1:18">
      <c r="D1580" s="69" t="s">
        <v>3079</v>
      </c>
      <c r="E1580" s="425">
        <f>IF(calcBrandIntegrationTimeline&lt;=$Q1580,INDEX(datatblBrandIntegration,MATCH(decGTMBrandIntegration,Data!$C$220:$C$226,0),3),0)</f>
        <v>0</v>
      </c>
      <c r="F1580" s="425">
        <f>IF(calcBrandIntegrationTimeline&lt;=$Q1580,INDEX(datatblBrandIntegration,MATCH(decGTMBrandIntegration,Data!$C$220:$C$226,0),3),0)</f>
        <v>0</v>
      </c>
      <c r="G1580" s="425">
        <f>IF(calcBrandIntegrationTimeline&lt;=$Q1580,INDEX(datatblBrandIntegration,MATCH(decGTMBrandIntegration,Data!$C$220:$C$226,0),3),0)</f>
        <v>0</v>
      </c>
      <c r="H1580" s="425">
        <f>IF(calcBrandIntegrationTimeline&lt;=$Q1580,INDEX(datatblBrandIntegration,MATCH(decGTMBrandIntegration,Data!$C$220:$C$226,0),3),0)</f>
        <v>0</v>
      </c>
      <c r="I1580" s="425">
        <f>IF(calcBrandIntegrationTimeline&lt;=$Q1580,INDEX(datatblBrandIntegration,MATCH(decGTMBrandIntegration,Data!$C$220:$C$226,0),3),0)</f>
        <v>0</v>
      </c>
      <c r="J1580" s="425">
        <f>IF(calcBrandIntegrationTimeline&lt;=$Q1580,INDEX(datatblBrandIntegration,MATCH(decGTMBrandIntegration,Data!$C$220:$C$226,0),3),0)</f>
        <v>0</v>
      </c>
      <c r="K1580" s="425">
        <f>IF(calcBrandIntegrationTimeline&lt;=$Q1580,INDEX(datatblBrandIntegration,MATCH(decGTMBrandIntegration,Data!$C$220:$C$226,0),3),0)</f>
        <v>0</v>
      </c>
      <c r="L1580" s="425">
        <f>IF(calcBrandIntegrationTimeline&lt;=$Q1580,INDEX(datatblBrandIntegration,MATCH(decGTMBrandIntegration,Data!$C$220:$C$226,0),3),0)</f>
        <v>0</v>
      </c>
      <c r="M1580" s="425">
        <f>IF(calcBrandIntegrationTimeline&lt;=$Q1580,INDEX(datatblBrandIntegration,MATCH(decGTMBrandIntegration,Data!$C$220:$C$226,0),3),0)</f>
        <v>0</v>
      </c>
      <c r="N1580" s="425">
        <f>IF(calcBrandIntegrationTimeline&lt;=$Q1580,INDEX(datatblBrandIntegration,MATCH(decGTMBrandIntegration,Data!$C$220:$C$226,0),3),0)</f>
        <v>0</v>
      </c>
      <c r="O1580" s="482"/>
      <c r="P1580" s="482"/>
      <c r="Q1580" s="69">
        <f>Q1579</f>
        <v>24</v>
      </c>
    </row>
    <row r="1581" spans="1:18">
      <c r="D1581" s="69" t="s">
        <v>2277</v>
      </c>
      <c r="E1581" s="425">
        <f>IF(decGTMOrg62Timeline="choose",0,IF(E1576=0,INDEX(datatblLeadPass,MATCH(decGTMLeadPass,Data!$C$212:$C$217,0),3),0))</f>
        <v>0</v>
      </c>
      <c r="F1581" s="425">
        <f>IF(decGTMOrg62Timeline="choose",0,IF(F1576=0,INDEX(datatblLeadPass,MATCH(decGTMLeadPass,Data!$C$212:$C$217,0),3),0))</f>
        <v>0</v>
      </c>
      <c r="G1581" s="425">
        <f>IF(decGTMOrg62Timeline="choose",0,IF(G1576=0,INDEX(datatblLeadPass,MATCH(decGTMLeadPass,Data!$C$212:$C$217,0),3),0))</f>
        <v>0</v>
      </c>
      <c r="H1581" s="425">
        <f>IF(decGTMOrg62Timeline="choose",0,IF(H1576=0,INDEX(datatblLeadPass,MATCH(decGTMLeadPass,Data!$C$212:$C$217,0),3),0))</f>
        <v>0</v>
      </c>
      <c r="I1581" s="425">
        <f>IF(decGTMOrg62Timeline="choose",0,IF(I1576=0,INDEX(datatblLeadPass,MATCH(decGTMLeadPass,Data!$C$212:$C$217,0),3),0))</f>
        <v>0</v>
      </c>
      <c r="J1581" s="425">
        <f>IF(decGTMOrg62Timeline="choose",0,IF(J1576=0,INDEX(datatblLeadPass,MATCH(decGTMLeadPass,Data!$C$212:$C$217,0),3),0))</f>
        <v>0</v>
      </c>
      <c r="K1581" s="425">
        <f>IF(decGTMOrg62Timeline="choose",0,IF(K1576=0,INDEX(datatblLeadPass,MATCH(decGTMLeadPass,Data!$C$212:$C$217,0),3),0))</f>
        <v>0</v>
      </c>
      <c r="L1581" s="425">
        <f>IF(decGTMOrg62Timeline="choose",0,IF(L1576=0,INDEX(datatblLeadPass,MATCH(decGTMLeadPass,Data!$C$212:$C$217,0),3),0))</f>
        <v>0</v>
      </c>
      <c r="M1581" s="425">
        <f>IF(decGTMOrg62Timeline="choose",0,IF(M1576=0,INDEX(datatblLeadPass,MATCH(decGTMLeadPass,Data!$C$212:$C$217,0),3),0))</f>
        <v>0</v>
      </c>
      <c r="N1581" s="425">
        <f>IF(decGTMOrg62Timeline="choose",0,IF(N1576=0,INDEX(datatblLeadPass,MATCH(decGTMLeadPass,Data!$C$212:$C$217,0),3),0))</f>
        <v>0</v>
      </c>
      <c r="O1581" s="482"/>
      <c r="P1581" s="482"/>
    </row>
    <row r="1582" spans="1:18">
      <c r="D1582" s="69" t="s">
        <v>1032</v>
      </c>
      <c r="E1582" s="425">
        <f>IF(decSecurityProductRestrictions="Yes",$Q1582,IF(decSecurityProductRestrictions="No",$R1582,$S1582))</f>
        <v>0</v>
      </c>
      <c r="F1582" s="425">
        <f t="shared" ref="F1582:N1582" si="796">IF(decSecurityProductRestrictions="Yes",$Q1582,IF(decSecurityProductRestrictions="No",$R1582,$S1582))</f>
        <v>0</v>
      </c>
      <c r="G1582" s="425">
        <f t="shared" si="796"/>
        <v>0</v>
      </c>
      <c r="H1582" s="425">
        <f t="shared" si="796"/>
        <v>0</v>
      </c>
      <c r="I1582" s="425">
        <f t="shared" si="796"/>
        <v>0</v>
      </c>
      <c r="J1582" s="425">
        <f t="shared" si="796"/>
        <v>0</v>
      </c>
      <c r="K1582" s="425">
        <f t="shared" si="796"/>
        <v>0</v>
      </c>
      <c r="L1582" s="425">
        <f t="shared" si="796"/>
        <v>0</v>
      </c>
      <c r="M1582" s="425">
        <f t="shared" si="796"/>
        <v>0</v>
      </c>
      <c r="N1582" s="425">
        <f t="shared" si="796"/>
        <v>0</v>
      </c>
      <c r="Q1582" s="482">
        <f>xxProductRestrictionACVHit</f>
        <v>-0.02</v>
      </c>
      <c r="R1582" s="482">
        <f>xxProductRestrictionACVIncrease</f>
        <v>0.02</v>
      </c>
    </row>
    <row r="1583" spans="1:18" s="217" customFormat="1">
      <c r="D1583" s="217" t="s">
        <v>1758</v>
      </c>
      <c r="E1583" s="411">
        <f t="shared" ref="E1583:N1583" si="797">SUM(E1576:E1582)+paramACVGrowthBaseline</f>
        <v>0</v>
      </c>
      <c r="F1583" s="411">
        <f t="shared" si="797"/>
        <v>0</v>
      </c>
      <c r="G1583" s="411">
        <f t="shared" si="797"/>
        <v>0</v>
      </c>
      <c r="H1583" s="411">
        <f t="shared" si="797"/>
        <v>0</v>
      </c>
      <c r="I1583" s="411">
        <f t="shared" si="797"/>
        <v>0</v>
      </c>
      <c r="J1583" s="411">
        <f t="shared" si="797"/>
        <v>0</v>
      </c>
      <c r="K1583" s="411">
        <f t="shared" si="797"/>
        <v>0</v>
      </c>
      <c r="L1583" s="411">
        <f t="shared" si="797"/>
        <v>0</v>
      </c>
      <c r="M1583" s="411">
        <f t="shared" si="797"/>
        <v>0</v>
      </c>
      <c r="N1583" s="411">
        <f t="shared" si="797"/>
        <v>0</v>
      </c>
      <c r="O1583" s="217" t="s">
        <v>2731</v>
      </c>
    </row>
    <row r="1584" spans="1:18" s="217" customFormat="1">
      <c r="E1584" s="411"/>
      <c r="F1584" s="411"/>
      <c r="G1584" s="411"/>
      <c r="H1584" s="411"/>
      <c r="I1584" s="411"/>
      <c r="J1584" s="411"/>
      <c r="K1584" s="411"/>
      <c r="L1584" s="411"/>
      <c r="M1584" s="411"/>
      <c r="N1584" s="411"/>
    </row>
    <row r="1585" spans="1:17" s="217" customFormat="1">
      <c r="A1585" s="217">
        <v>1</v>
      </c>
      <c r="B1585" s="10" t="s">
        <v>1735</v>
      </c>
      <c r="C1585" s="11" t="s">
        <v>899</v>
      </c>
      <c r="D1585" s="217">
        <f>IF(A1585=B1570,"New Revenue Adjustments",IF(AND(C1585=D1570,A1585&lt;B1570),"Attrition Necessary",0))</f>
        <v>0</v>
      </c>
      <c r="E1585" s="522">
        <f t="shared" ref="E1585:E1616" si="798">IF($B$1570&gt;$A1585,INDEX(calcY4Q2RevFlow,$A1585,calcTeamNum)*(IF($D1585="Attrition Necessary",1-calcQ2AttritionDifference,1)*(IF($D1585="New Revenue Adjustments",1+calcY4Q3RevenueAdjustment,1))),INDEX(dataY4Q3Rev,$A1585,)*(IF($D1585="Attrition Necessary",1-calcQ2AttritionDifference,1))*(IF($D1585="New Revenue Adjustments",1+calcY4Q3RevenueAdjustment,1)))</f>
        <v>925455.4549802402</v>
      </c>
      <c r="F1585" s="522">
        <f t="shared" ref="F1585:N1594" si="799">IF($B$1570&gt;$A1585,INDEX(calcY4Q2RevFlow,$A1585,calcTeamNum)*(IF($D1585="Attrition Necessary",1-calcQ2AttritionDifference,1)*(IF($D1585="New Revenue Adjustments",1+calcY4Q3RevenueAdjustment,1))),INDEX(dataY4Q3Rev,$A1585,)*(IF($D1585="Attrition Necessary",1-calcQ2AttritionDifference,1))*(IF($D1585="New Revenue Adjustments",1+calcY4Q3RevenueAdjustment,1)))</f>
        <v>925455.4549802402</v>
      </c>
      <c r="G1585" s="522">
        <f t="shared" si="799"/>
        <v>925455.4549802402</v>
      </c>
      <c r="H1585" s="522">
        <f t="shared" si="799"/>
        <v>925455.4549802402</v>
      </c>
      <c r="I1585" s="522">
        <f t="shared" si="799"/>
        <v>925455.4549802402</v>
      </c>
      <c r="J1585" s="522">
        <f t="shared" si="799"/>
        <v>925455.4549802402</v>
      </c>
      <c r="K1585" s="522">
        <f t="shared" si="799"/>
        <v>925455.4549802402</v>
      </c>
      <c r="L1585" s="522">
        <f t="shared" si="799"/>
        <v>925455.4549802402</v>
      </c>
      <c r="M1585" s="522">
        <f t="shared" si="799"/>
        <v>925455.4549802402</v>
      </c>
      <c r="N1585" s="522">
        <f t="shared" si="799"/>
        <v>925455.4549802402</v>
      </c>
      <c r="O1585" s="410" t="s">
        <v>2732</v>
      </c>
      <c r="Q1585" s="217">
        <f t="shared" ref="Q1585:Q1611" si="800">F1585/E1585-1</f>
        <v>0</v>
      </c>
    </row>
    <row r="1586" spans="1:17" s="217" customFormat="1">
      <c r="A1586" s="217">
        <v>2</v>
      </c>
      <c r="B1586" s="10" t="s">
        <v>1735</v>
      </c>
      <c r="C1586" s="11" t="s">
        <v>900</v>
      </c>
      <c r="D1586" s="217">
        <f>IF(A1586=B1570,"New Revenue Adjustments",IF(AND(C1586=D1570,A1586&lt;B1570),"Attrition Necessary",0))</f>
        <v>0</v>
      </c>
      <c r="E1586" s="522">
        <f t="shared" si="798"/>
        <v>1633156.6852592477</v>
      </c>
      <c r="F1586" s="522">
        <f t="shared" si="799"/>
        <v>1633156.6852592477</v>
      </c>
      <c r="G1586" s="522">
        <f t="shared" si="799"/>
        <v>1633156.6852592477</v>
      </c>
      <c r="H1586" s="522">
        <f t="shared" si="799"/>
        <v>1633156.6852592477</v>
      </c>
      <c r="I1586" s="522">
        <f t="shared" si="799"/>
        <v>1633156.6852592477</v>
      </c>
      <c r="J1586" s="522">
        <f t="shared" si="799"/>
        <v>1633156.6852592477</v>
      </c>
      <c r="K1586" s="522">
        <f t="shared" si="799"/>
        <v>1633156.6852592477</v>
      </c>
      <c r="L1586" s="522">
        <f t="shared" si="799"/>
        <v>1633156.6852592477</v>
      </c>
      <c r="M1586" s="522">
        <f t="shared" si="799"/>
        <v>1633156.6852592477</v>
      </c>
      <c r="N1586" s="522">
        <f t="shared" si="799"/>
        <v>1633156.6852592477</v>
      </c>
      <c r="O1586" s="410" t="s">
        <v>2733</v>
      </c>
      <c r="Q1586" s="217">
        <f t="shared" si="800"/>
        <v>0</v>
      </c>
    </row>
    <row r="1587" spans="1:17" s="217" customFormat="1">
      <c r="A1587" s="217">
        <v>3</v>
      </c>
      <c r="B1587" s="10" t="s">
        <v>1735</v>
      </c>
      <c r="C1587" s="11" t="s">
        <v>901</v>
      </c>
      <c r="D1587" s="217" t="str">
        <f>IF(A1587=B1570,"New Revenue Adjustments",IF(AND(C1587=D1570,A1587&lt;B1570),"Attrition Necessary",0))</f>
        <v>Attrition Necessary</v>
      </c>
      <c r="E1587" s="522">
        <f t="shared" si="798"/>
        <v>2177542.2470123302</v>
      </c>
      <c r="F1587" s="522">
        <f t="shared" si="799"/>
        <v>2177542.2470123302</v>
      </c>
      <c r="G1587" s="522">
        <f t="shared" si="799"/>
        <v>2177542.2470123302</v>
      </c>
      <c r="H1587" s="522">
        <f t="shared" si="799"/>
        <v>2177542.2470123302</v>
      </c>
      <c r="I1587" s="522">
        <f t="shared" si="799"/>
        <v>2177542.2470123302</v>
      </c>
      <c r="J1587" s="522">
        <f t="shared" si="799"/>
        <v>2177542.2470123302</v>
      </c>
      <c r="K1587" s="522">
        <f t="shared" si="799"/>
        <v>2177542.2470123302</v>
      </c>
      <c r="L1587" s="522">
        <f t="shared" si="799"/>
        <v>2177542.2470123302</v>
      </c>
      <c r="M1587" s="522">
        <f t="shared" si="799"/>
        <v>2177542.2470123302</v>
      </c>
      <c r="N1587" s="522">
        <f t="shared" si="799"/>
        <v>2177542.2470123302</v>
      </c>
      <c r="O1587" s="410" t="s">
        <v>2734</v>
      </c>
      <c r="Q1587" s="217">
        <f t="shared" si="800"/>
        <v>0</v>
      </c>
    </row>
    <row r="1588" spans="1:17" s="217" customFormat="1">
      <c r="A1588" s="217">
        <v>4</v>
      </c>
      <c r="B1588" s="10" t="s">
        <v>1735</v>
      </c>
      <c r="C1588" s="11" t="s">
        <v>902</v>
      </c>
      <c r="D1588" s="217">
        <f>IF(A1588=B1570,"New Revenue Adjustments",IF(AND(C1588=D1570,A1588&lt;B1570),"Attrition Necessary",0))</f>
        <v>0</v>
      </c>
      <c r="E1588" s="522">
        <f t="shared" si="798"/>
        <v>2716364.2508307123</v>
      </c>
      <c r="F1588" s="522">
        <f t="shared" si="799"/>
        <v>2716364.2508307123</v>
      </c>
      <c r="G1588" s="522">
        <f t="shared" si="799"/>
        <v>2716364.2508307123</v>
      </c>
      <c r="H1588" s="522">
        <f t="shared" si="799"/>
        <v>2716364.2508307123</v>
      </c>
      <c r="I1588" s="522">
        <f t="shared" si="799"/>
        <v>2716364.2508307123</v>
      </c>
      <c r="J1588" s="522">
        <f t="shared" si="799"/>
        <v>2716364.2508307123</v>
      </c>
      <c r="K1588" s="522">
        <f t="shared" si="799"/>
        <v>2716364.2508307123</v>
      </c>
      <c r="L1588" s="522">
        <f t="shared" si="799"/>
        <v>2716364.2508307123</v>
      </c>
      <c r="M1588" s="522">
        <f t="shared" si="799"/>
        <v>2716364.2508307123</v>
      </c>
      <c r="N1588" s="522">
        <f t="shared" si="799"/>
        <v>2716364.2508307123</v>
      </c>
      <c r="O1588" s="410" t="s">
        <v>2735</v>
      </c>
      <c r="Q1588" s="217">
        <f t="shared" si="800"/>
        <v>0</v>
      </c>
    </row>
    <row r="1589" spans="1:17" s="217" customFormat="1">
      <c r="A1589" s="217">
        <v>5</v>
      </c>
      <c r="B1589" s="10" t="s">
        <v>1729</v>
      </c>
      <c r="C1589" s="11" t="s">
        <v>899</v>
      </c>
      <c r="D1589" s="217">
        <f>IF(A1589=B1570,"New Revenue Adjustments",IF(AND(C1589=D1570,A1589&lt;B1570),"Attrition Necessary",0))</f>
        <v>0</v>
      </c>
      <c r="E1589" s="522">
        <f t="shared" si="798"/>
        <v>1088771.1235061651</v>
      </c>
      <c r="F1589" s="522">
        <f t="shared" si="799"/>
        <v>1088771.1235061651</v>
      </c>
      <c r="G1589" s="522">
        <f t="shared" si="799"/>
        <v>1088771.1235061651</v>
      </c>
      <c r="H1589" s="522">
        <f t="shared" si="799"/>
        <v>1088771.1235061651</v>
      </c>
      <c r="I1589" s="522">
        <f t="shared" si="799"/>
        <v>1088771.1235061651</v>
      </c>
      <c r="J1589" s="522">
        <f t="shared" si="799"/>
        <v>1088771.1235061651</v>
      </c>
      <c r="K1589" s="522">
        <f t="shared" si="799"/>
        <v>1088771.1235061651</v>
      </c>
      <c r="L1589" s="522">
        <f t="shared" si="799"/>
        <v>1088771.1235061651</v>
      </c>
      <c r="M1589" s="522">
        <f t="shared" si="799"/>
        <v>1088771.1235061651</v>
      </c>
      <c r="N1589" s="522">
        <f t="shared" si="799"/>
        <v>1088771.1235061651</v>
      </c>
      <c r="O1589" s="410" t="s">
        <v>2736</v>
      </c>
      <c r="Q1589" s="217">
        <f t="shared" si="800"/>
        <v>0</v>
      </c>
    </row>
    <row r="1590" spans="1:17" s="217" customFormat="1">
      <c r="A1590" s="217">
        <v>6</v>
      </c>
      <c r="B1590" s="10" t="s">
        <v>1729</v>
      </c>
      <c r="C1590" s="11" t="s">
        <v>900</v>
      </c>
      <c r="D1590" s="217">
        <f>IF(A1590=B1570,"New Revenue Adjustments",IF(AND(C1590=D1570,A1590&lt;B1570),"Attrition Necessary",0))</f>
        <v>0</v>
      </c>
      <c r="E1590" s="522">
        <f t="shared" si="798"/>
        <v>1568343.8852212771</v>
      </c>
      <c r="F1590" s="522">
        <f t="shared" si="799"/>
        <v>1568343.8852212771</v>
      </c>
      <c r="G1590" s="522">
        <f t="shared" si="799"/>
        <v>1568343.8852212771</v>
      </c>
      <c r="H1590" s="522">
        <f t="shared" si="799"/>
        <v>1568343.8852212771</v>
      </c>
      <c r="I1590" s="522">
        <f t="shared" si="799"/>
        <v>1568343.8852212771</v>
      </c>
      <c r="J1590" s="522">
        <f t="shared" si="799"/>
        <v>1568343.8852212771</v>
      </c>
      <c r="K1590" s="522">
        <f t="shared" si="799"/>
        <v>1568343.8852212771</v>
      </c>
      <c r="L1590" s="522">
        <f t="shared" si="799"/>
        <v>1568343.8852212771</v>
      </c>
      <c r="M1590" s="522">
        <f t="shared" si="799"/>
        <v>1568343.8852212771</v>
      </c>
      <c r="N1590" s="522">
        <f t="shared" si="799"/>
        <v>1568343.8852212771</v>
      </c>
      <c r="O1590" s="410" t="s">
        <v>2737</v>
      </c>
      <c r="Q1590" s="217">
        <f t="shared" si="800"/>
        <v>0</v>
      </c>
    </row>
    <row r="1591" spans="1:17" s="217" customFormat="1">
      <c r="A1591" s="217">
        <v>7</v>
      </c>
      <c r="B1591" s="10" t="s">
        <v>1729</v>
      </c>
      <c r="C1591" s="11" t="s">
        <v>901</v>
      </c>
      <c r="D1591" s="217" t="str">
        <f>IF(A1591=B1570,"New Revenue Adjustments",IF(AND(C1591=D1570,A1591&lt;B1570),"Attrition Necessary",0))</f>
        <v>Attrition Necessary</v>
      </c>
      <c r="E1591" s="522">
        <f t="shared" si="798"/>
        <v>2423804.1862510652</v>
      </c>
      <c r="F1591" s="522">
        <f t="shared" si="799"/>
        <v>2423804.1862510652</v>
      </c>
      <c r="G1591" s="522">
        <f t="shared" si="799"/>
        <v>2423804.1862510652</v>
      </c>
      <c r="H1591" s="522">
        <f t="shared" si="799"/>
        <v>2423804.1862510652</v>
      </c>
      <c r="I1591" s="522">
        <f t="shared" si="799"/>
        <v>2423804.1862510652</v>
      </c>
      <c r="J1591" s="522">
        <f t="shared" si="799"/>
        <v>2423804.1862510652</v>
      </c>
      <c r="K1591" s="522">
        <f t="shared" si="799"/>
        <v>2423804.1862510652</v>
      </c>
      <c r="L1591" s="522">
        <f t="shared" si="799"/>
        <v>2423804.1862510652</v>
      </c>
      <c r="M1591" s="522">
        <f t="shared" si="799"/>
        <v>2423804.1862510652</v>
      </c>
      <c r="N1591" s="522">
        <f t="shared" si="799"/>
        <v>2423804.1862510652</v>
      </c>
      <c r="O1591" s="410" t="s">
        <v>2738</v>
      </c>
      <c r="Q1591" s="217">
        <f t="shared" si="800"/>
        <v>0</v>
      </c>
    </row>
    <row r="1592" spans="1:17" s="217" customFormat="1">
      <c r="A1592" s="217">
        <v>8</v>
      </c>
      <c r="B1592" s="10" t="s">
        <v>1729</v>
      </c>
      <c r="C1592" s="11" t="s">
        <v>902</v>
      </c>
      <c r="D1592" s="217">
        <f>IF(A1592=B1570,"New Revenue Adjustments",IF(AND(C1592=D1570,A1592&lt;B1570),"Attrition Necessary",0))</f>
        <v>0</v>
      </c>
      <c r="E1592" s="522">
        <f t="shared" si="798"/>
        <v>3557132.3325803904</v>
      </c>
      <c r="F1592" s="522">
        <f t="shared" si="799"/>
        <v>3557132.3325803904</v>
      </c>
      <c r="G1592" s="522">
        <f t="shared" si="799"/>
        <v>3557132.3325803904</v>
      </c>
      <c r="H1592" s="522">
        <f t="shared" si="799"/>
        <v>3557132.3325803904</v>
      </c>
      <c r="I1592" s="522">
        <f t="shared" si="799"/>
        <v>3557132.3325803904</v>
      </c>
      <c r="J1592" s="522">
        <f t="shared" si="799"/>
        <v>3557132.3325803904</v>
      </c>
      <c r="K1592" s="522">
        <f t="shared" si="799"/>
        <v>3557132.3325803904</v>
      </c>
      <c r="L1592" s="522">
        <f t="shared" si="799"/>
        <v>3557132.3325803904</v>
      </c>
      <c r="M1592" s="522">
        <f t="shared" si="799"/>
        <v>3557132.3325803904</v>
      </c>
      <c r="N1592" s="522">
        <f t="shared" si="799"/>
        <v>3557132.3325803904</v>
      </c>
      <c r="O1592" s="410" t="s">
        <v>2739</v>
      </c>
      <c r="Q1592" s="217">
        <f t="shared" si="800"/>
        <v>0</v>
      </c>
    </row>
    <row r="1593" spans="1:17" s="217" customFormat="1">
      <c r="A1593" s="217">
        <v>9</v>
      </c>
      <c r="B1593" s="10" t="s">
        <v>405</v>
      </c>
      <c r="C1593" s="11" t="s">
        <v>899</v>
      </c>
      <c r="D1593" s="217">
        <f>IF(A1593=B1570,"New Revenue Adjustments",IF(AND(C1593=D1570,A1593&lt;B1570),"Attrition Necessary",0))</f>
        <v>0</v>
      </c>
      <c r="E1593" s="522">
        <f t="shared" si="798"/>
        <v>1603988.0644308517</v>
      </c>
      <c r="F1593" s="522">
        <f t="shared" si="799"/>
        <v>1603988.0644308517</v>
      </c>
      <c r="G1593" s="522">
        <f t="shared" si="799"/>
        <v>1603988.0644308517</v>
      </c>
      <c r="H1593" s="522">
        <f t="shared" si="799"/>
        <v>1603988.0644308517</v>
      </c>
      <c r="I1593" s="522">
        <f t="shared" si="799"/>
        <v>1603988.0644308517</v>
      </c>
      <c r="J1593" s="522">
        <f t="shared" si="799"/>
        <v>1603988.0644308517</v>
      </c>
      <c r="K1593" s="522">
        <f t="shared" si="799"/>
        <v>1603988.0644308517</v>
      </c>
      <c r="L1593" s="522">
        <f t="shared" si="799"/>
        <v>1603988.0644308517</v>
      </c>
      <c r="M1593" s="522">
        <f t="shared" si="799"/>
        <v>1603988.0644308517</v>
      </c>
      <c r="N1593" s="522">
        <f t="shared" si="799"/>
        <v>1603988.0644308517</v>
      </c>
      <c r="O1593" s="410" t="s">
        <v>2740</v>
      </c>
      <c r="Q1593" s="217">
        <f t="shared" si="800"/>
        <v>0</v>
      </c>
    </row>
    <row r="1594" spans="1:17" s="217" customFormat="1">
      <c r="A1594" s="217">
        <v>10</v>
      </c>
      <c r="B1594" s="10" t="s">
        <v>405</v>
      </c>
      <c r="C1594" s="11" t="s">
        <v>900</v>
      </c>
      <c r="D1594" s="217">
        <f>IF(A1594=B1570,"New Revenue Adjustments",IF(AND(C1594=D1570,A1594&lt;B1570),"Attrition Necessary",0))</f>
        <v>0</v>
      </c>
      <c r="E1594" s="522">
        <f t="shared" si="798"/>
        <v>2310499.2578394678</v>
      </c>
      <c r="F1594" s="522">
        <f t="shared" si="799"/>
        <v>2310499.2578394678</v>
      </c>
      <c r="G1594" s="522">
        <f t="shared" si="799"/>
        <v>2310499.2578394678</v>
      </c>
      <c r="H1594" s="522">
        <f t="shared" si="799"/>
        <v>2310499.2578394678</v>
      </c>
      <c r="I1594" s="522">
        <f t="shared" si="799"/>
        <v>2310499.2578394678</v>
      </c>
      <c r="J1594" s="522">
        <f t="shared" si="799"/>
        <v>2310499.2578394678</v>
      </c>
      <c r="K1594" s="522">
        <f t="shared" si="799"/>
        <v>2310499.2578394678</v>
      </c>
      <c r="L1594" s="522">
        <f t="shared" si="799"/>
        <v>2310499.2578394678</v>
      </c>
      <c r="M1594" s="522">
        <f t="shared" si="799"/>
        <v>2310499.2578394678</v>
      </c>
      <c r="N1594" s="522">
        <f t="shared" si="799"/>
        <v>2310499.2578394678</v>
      </c>
      <c r="O1594" s="410" t="s">
        <v>2741</v>
      </c>
      <c r="Q1594" s="217">
        <f t="shared" si="800"/>
        <v>0</v>
      </c>
    </row>
    <row r="1595" spans="1:17" s="217" customFormat="1">
      <c r="A1595" s="217">
        <v>11</v>
      </c>
      <c r="B1595" s="10" t="s">
        <v>405</v>
      </c>
      <c r="C1595" s="11" t="s">
        <v>901</v>
      </c>
      <c r="D1595" s="217" t="str">
        <f>IF(A1595=B1570,"New Revenue Adjustments",IF(AND(C1595=D1570,A1595&lt;B1570),"Attrition Necessary",0))</f>
        <v>Attrition Necessary</v>
      </c>
      <c r="E1595" s="522">
        <f t="shared" si="798"/>
        <v>3570771.5802973602</v>
      </c>
      <c r="F1595" s="522">
        <f t="shared" ref="F1595:N1604" si="801">IF($B$1570&gt;$A1595,INDEX(calcY4Q2RevFlow,$A1595,calcTeamNum)*(IF($D1595="Attrition Necessary",1-calcQ2AttritionDifference,1)*(IF($D1595="New Revenue Adjustments",1+calcY4Q3RevenueAdjustment,1))),INDEX(dataY4Q3Rev,$A1595,)*(IF($D1595="Attrition Necessary",1-calcQ2AttritionDifference,1))*(IF($D1595="New Revenue Adjustments",1+calcY4Q3RevenueAdjustment,1)))</f>
        <v>3570771.5802973602</v>
      </c>
      <c r="G1595" s="522">
        <f t="shared" si="801"/>
        <v>3570771.5802973602</v>
      </c>
      <c r="H1595" s="522">
        <f t="shared" si="801"/>
        <v>3570771.5802973602</v>
      </c>
      <c r="I1595" s="522">
        <f t="shared" si="801"/>
        <v>3570771.5802973602</v>
      </c>
      <c r="J1595" s="522">
        <f t="shared" si="801"/>
        <v>3570771.5802973602</v>
      </c>
      <c r="K1595" s="522">
        <f t="shared" si="801"/>
        <v>3570771.5802973602</v>
      </c>
      <c r="L1595" s="522">
        <f t="shared" si="801"/>
        <v>3570771.5802973602</v>
      </c>
      <c r="M1595" s="522">
        <f t="shared" si="801"/>
        <v>3570771.5802973602</v>
      </c>
      <c r="N1595" s="522">
        <f t="shared" si="801"/>
        <v>3570771.5802973602</v>
      </c>
      <c r="O1595" s="410" t="s">
        <v>2742</v>
      </c>
      <c r="Q1595" s="217">
        <f t="shared" si="800"/>
        <v>0</v>
      </c>
    </row>
    <row r="1596" spans="1:17" s="217" customFormat="1">
      <c r="A1596" s="217">
        <v>12</v>
      </c>
      <c r="B1596" s="10" t="s">
        <v>405</v>
      </c>
      <c r="C1596" s="11" t="s">
        <v>902</v>
      </c>
      <c r="D1596" s="217">
        <f>IF(A1596=B1570,"New Revenue Adjustments",IF(AND(C1596=D1570,A1596&lt;B1570),"Attrition Necessary",0))</f>
        <v>0</v>
      </c>
      <c r="E1596" s="522">
        <f t="shared" si="798"/>
        <v>5240401.4782154663</v>
      </c>
      <c r="F1596" s="522">
        <f t="shared" si="801"/>
        <v>5240401.4782154663</v>
      </c>
      <c r="G1596" s="522">
        <f t="shared" si="801"/>
        <v>5240401.4782154663</v>
      </c>
      <c r="H1596" s="522">
        <f t="shared" si="801"/>
        <v>5240401.4782154663</v>
      </c>
      <c r="I1596" s="522">
        <f t="shared" si="801"/>
        <v>5240401.4782154663</v>
      </c>
      <c r="J1596" s="522">
        <f t="shared" si="801"/>
        <v>5240401.4782154663</v>
      </c>
      <c r="K1596" s="522">
        <f t="shared" si="801"/>
        <v>5240401.4782154663</v>
      </c>
      <c r="L1596" s="522">
        <f t="shared" si="801"/>
        <v>5240401.4782154663</v>
      </c>
      <c r="M1596" s="522">
        <f t="shared" si="801"/>
        <v>5240401.4782154663</v>
      </c>
      <c r="N1596" s="522">
        <f t="shared" si="801"/>
        <v>5240401.4782154663</v>
      </c>
      <c r="O1596" s="410" t="s">
        <v>2743</v>
      </c>
      <c r="Q1596" s="217">
        <f t="shared" si="800"/>
        <v>0</v>
      </c>
    </row>
    <row r="1597" spans="1:17" s="217" customFormat="1">
      <c r="A1597" s="217">
        <v>13</v>
      </c>
      <c r="B1597" s="10" t="s">
        <v>1278</v>
      </c>
      <c r="C1597" s="11" t="s">
        <v>899</v>
      </c>
      <c r="D1597" s="217">
        <f>IF(A1597=B1570,"New Revenue Adjustments",IF(AND(C1597=D1570,A1597&lt;B1570),"Attrition Necessary",0))</f>
        <v>0</v>
      </c>
      <c r="E1597" s="522">
        <f t="shared" si="798"/>
        <v>2358180.6651969599</v>
      </c>
      <c r="F1597" s="522">
        <f t="shared" si="801"/>
        <v>2358180.6651969599</v>
      </c>
      <c r="G1597" s="522">
        <f t="shared" si="801"/>
        <v>2358180.6651969599</v>
      </c>
      <c r="H1597" s="522">
        <f t="shared" si="801"/>
        <v>2358180.6651969599</v>
      </c>
      <c r="I1597" s="522">
        <f t="shared" si="801"/>
        <v>2358180.6651969599</v>
      </c>
      <c r="J1597" s="522">
        <f t="shared" si="801"/>
        <v>2358180.6651969599</v>
      </c>
      <c r="K1597" s="522">
        <f t="shared" si="801"/>
        <v>2358180.6651969599</v>
      </c>
      <c r="L1597" s="522">
        <f t="shared" si="801"/>
        <v>2358180.6651969599</v>
      </c>
      <c r="M1597" s="522">
        <f t="shared" si="801"/>
        <v>2358180.6651969599</v>
      </c>
      <c r="N1597" s="522">
        <f t="shared" si="801"/>
        <v>2358180.6651969599</v>
      </c>
      <c r="O1597" s="410" t="s">
        <v>2744</v>
      </c>
      <c r="Q1597" s="217">
        <f t="shared" si="800"/>
        <v>0</v>
      </c>
    </row>
    <row r="1598" spans="1:17" s="217" customFormat="1">
      <c r="A1598" s="217">
        <v>14</v>
      </c>
      <c r="B1598" s="10" t="s">
        <v>1278</v>
      </c>
      <c r="C1598" s="11" t="s">
        <v>900</v>
      </c>
      <c r="D1598" s="217">
        <f>IF(A1598=B1570,"New Revenue Adjustments",IF(AND(C1598=D1570,A1598&lt;B1570),"Attrition Necessary",0))</f>
        <v>0</v>
      </c>
      <c r="E1598" s="522">
        <f t="shared" si="798"/>
        <v>2882220.8130185059</v>
      </c>
      <c r="F1598" s="522">
        <f t="shared" si="801"/>
        <v>2882220.8130185059</v>
      </c>
      <c r="G1598" s="522">
        <f t="shared" si="801"/>
        <v>2882220.8130185059</v>
      </c>
      <c r="H1598" s="522">
        <f t="shared" si="801"/>
        <v>2882220.8130185059</v>
      </c>
      <c r="I1598" s="522">
        <f t="shared" si="801"/>
        <v>2882220.8130185059</v>
      </c>
      <c r="J1598" s="522">
        <f t="shared" si="801"/>
        <v>2882220.8130185059</v>
      </c>
      <c r="K1598" s="522">
        <f t="shared" si="801"/>
        <v>2882220.8130185059</v>
      </c>
      <c r="L1598" s="522">
        <f t="shared" si="801"/>
        <v>2882220.8130185059</v>
      </c>
      <c r="M1598" s="522">
        <f t="shared" si="801"/>
        <v>2882220.8130185059</v>
      </c>
      <c r="N1598" s="522">
        <f t="shared" si="801"/>
        <v>2882220.8130185059</v>
      </c>
      <c r="O1598" s="410" t="s">
        <v>2745</v>
      </c>
      <c r="Q1598" s="217">
        <f t="shared" si="800"/>
        <v>0</v>
      </c>
    </row>
    <row r="1599" spans="1:17" s="217" customFormat="1">
      <c r="A1599" s="217">
        <v>15</v>
      </c>
      <c r="B1599" s="10" t="s">
        <v>1278</v>
      </c>
      <c r="C1599" s="11" t="s">
        <v>901</v>
      </c>
      <c r="D1599" s="217" t="str">
        <f>IF(A1599=B1570,"New Revenue Adjustments",IF(AND(C1599=D1570,A1599&lt;B1570),"Attrition Necessary",0))</f>
        <v>Attrition Necessary</v>
      </c>
      <c r="E1599" s="522">
        <f t="shared" si="798"/>
        <v>4454341.256483146</v>
      </c>
      <c r="F1599" s="522">
        <f t="shared" si="801"/>
        <v>4454341.256483146</v>
      </c>
      <c r="G1599" s="522">
        <f t="shared" si="801"/>
        <v>4454341.256483146</v>
      </c>
      <c r="H1599" s="522">
        <f t="shared" si="801"/>
        <v>4454341.256483146</v>
      </c>
      <c r="I1599" s="522">
        <f t="shared" si="801"/>
        <v>4454341.256483146</v>
      </c>
      <c r="J1599" s="522">
        <f t="shared" si="801"/>
        <v>4454341.256483146</v>
      </c>
      <c r="K1599" s="522">
        <f t="shared" si="801"/>
        <v>4454341.256483146</v>
      </c>
      <c r="L1599" s="522">
        <f t="shared" si="801"/>
        <v>4454341.256483146</v>
      </c>
      <c r="M1599" s="522">
        <f t="shared" si="801"/>
        <v>4454341.256483146</v>
      </c>
      <c r="N1599" s="522">
        <f t="shared" si="801"/>
        <v>4454341.256483146</v>
      </c>
      <c r="O1599" s="410" t="s">
        <v>2746</v>
      </c>
      <c r="Q1599" s="217">
        <f t="shared" si="800"/>
        <v>0</v>
      </c>
    </row>
    <row r="1600" spans="1:17" s="217" customFormat="1">
      <c r="A1600" s="217">
        <v>16</v>
      </c>
      <c r="B1600" s="10" t="s">
        <v>1278</v>
      </c>
      <c r="C1600" s="11" t="s">
        <v>902</v>
      </c>
      <c r="D1600" s="217">
        <f>IF(A1600=B1570,"New Revenue Adjustments",IF(AND(C1600=D1570,A1600&lt;B1570),"Attrition Necessary",0))</f>
        <v>0</v>
      </c>
      <c r="E1600" s="522">
        <f t="shared" si="798"/>
        <v>6537112.7724183742</v>
      </c>
      <c r="F1600" s="522">
        <f t="shared" si="801"/>
        <v>6537112.7724183742</v>
      </c>
      <c r="G1600" s="522">
        <f t="shared" si="801"/>
        <v>6537112.7724183742</v>
      </c>
      <c r="H1600" s="522">
        <f t="shared" si="801"/>
        <v>6537112.7724183742</v>
      </c>
      <c r="I1600" s="522">
        <f t="shared" si="801"/>
        <v>6537112.7724183742</v>
      </c>
      <c r="J1600" s="522">
        <f t="shared" si="801"/>
        <v>6537112.7724183742</v>
      </c>
      <c r="K1600" s="522">
        <f t="shared" si="801"/>
        <v>6537112.7724183742</v>
      </c>
      <c r="L1600" s="522">
        <f t="shared" si="801"/>
        <v>6537112.7724183742</v>
      </c>
      <c r="M1600" s="522">
        <f t="shared" si="801"/>
        <v>6537112.7724183742</v>
      </c>
      <c r="N1600" s="522">
        <f t="shared" si="801"/>
        <v>6537112.7724183742</v>
      </c>
      <c r="O1600" s="410" t="s">
        <v>2747</v>
      </c>
      <c r="Q1600" s="217">
        <f t="shared" si="800"/>
        <v>0</v>
      </c>
    </row>
    <row r="1601" spans="1:17" s="217" customFormat="1">
      <c r="A1601" s="217">
        <v>17</v>
      </c>
      <c r="B1601" s="10" t="s">
        <v>1279</v>
      </c>
      <c r="C1601" s="11" t="s">
        <v>899</v>
      </c>
      <c r="D1601" s="217">
        <f>IF(A1601=B1570,"New Revenue Adjustments",IF(AND(C1601=D1570,A1601&lt;B1570),"Attrition Necessary",0))</f>
        <v>0</v>
      </c>
      <c r="E1601" s="522">
        <f t="shared" si="798"/>
        <v>2941700.7475882685</v>
      </c>
      <c r="F1601" s="522">
        <f t="shared" si="801"/>
        <v>2941700.7475882685</v>
      </c>
      <c r="G1601" s="522">
        <f t="shared" si="801"/>
        <v>2941700.7475882685</v>
      </c>
      <c r="H1601" s="522">
        <f t="shared" si="801"/>
        <v>2941700.7475882685</v>
      </c>
      <c r="I1601" s="522">
        <f t="shared" si="801"/>
        <v>2941700.7475882685</v>
      </c>
      <c r="J1601" s="522">
        <f t="shared" si="801"/>
        <v>2941700.7475882685</v>
      </c>
      <c r="K1601" s="522">
        <f t="shared" si="801"/>
        <v>2941700.7475882685</v>
      </c>
      <c r="L1601" s="522">
        <f t="shared" si="801"/>
        <v>2941700.7475882685</v>
      </c>
      <c r="M1601" s="522">
        <f t="shared" si="801"/>
        <v>2941700.7475882685</v>
      </c>
      <c r="N1601" s="522">
        <f t="shared" si="801"/>
        <v>2941700.7475882685</v>
      </c>
      <c r="O1601" s="410" t="s">
        <v>2748</v>
      </c>
      <c r="Q1601" s="217">
        <f t="shared" si="800"/>
        <v>0</v>
      </c>
    </row>
    <row r="1602" spans="1:17" s="217" customFormat="1">
      <c r="A1602" s="217">
        <v>18</v>
      </c>
      <c r="B1602" s="10" t="s">
        <v>1279</v>
      </c>
      <c r="C1602" s="11" t="s">
        <v>900</v>
      </c>
      <c r="D1602" s="217">
        <f>IF(A1602=B1570,"New Revenue Adjustments",IF(AND(C1602=D1570,A1602&lt;B1570),"Attrition Necessary",0))</f>
        <v>0</v>
      </c>
      <c r="E1602" s="522">
        <f t="shared" si="798"/>
        <v>3595412.0248301052</v>
      </c>
      <c r="F1602" s="522">
        <f t="shared" si="801"/>
        <v>3595412.0248301052</v>
      </c>
      <c r="G1602" s="522">
        <f t="shared" si="801"/>
        <v>3595412.0248301052</v>
      </c>
      <c r="H1602" s="522">
        <f t="shared" si="801"/>
        <v>3595412.0248301052</v>
      </c>
      <c r="I1602" s="522">
        <f t="shared" si="801"/>
        <v>3595412.0248301052</v>
      </c>
      <c r="J1602" s="522">
        <f t="shared" si="801"/>
        <v>3595412.0248301052</v>
      </c>
      <c r="K1602" s="522">
        <f t="shared" si="801"/>
        <v>3595412.0248301052</v>
      </c>
      <c r="L1602" s="522">
        <f t="shared" si="801"/>
        <v>3595412.0248301052</v>
      </c>
      <c r="M1602" s="522">
        <f t="shared" si="801"/>
        <v>3595412.0248301052</v>
      </c>
      <c r="N1602" s="522">
        <f t="shared" si="801"/>
        <v>3595412.0248301052</v>
      </c>
      <c r="O1602" s="410" t="s">
        <v>2749</v>
      </c>
      <c r="Q1602" s="217">
        <f t="shared" si="800"/>
        <v>0</v>
      </c>
    </row>
    <row r="1603" spans="1:17" s="217" customFormat="1">
      <c r="A1603" s="217">
        <v>19</v>
      </c>
      <c r="B1603" s="10" t="s">
        <v>1279</v>
      </c>
      <c r="C1603" s="11" t="s">
        <v>901</v>
      </c>
      <c r="D1603" s="217" t="str">
        <f>IF(A1603=B1570,"New Revenue Adjustments",IF(AND(C1603=D1570,A1603&lt;B1570),"Attrition Necessary",0))</f>
        <v>Attrition Necessary</v>
      </c>
      <c r="E1603" s="522">
        <f t="shared" si="798"/>
        <v>5556545.8565556193</v>
      </c>
      <c r="F1603" s="522">
        <f t="shared" si="801"/>
        <v>5556545.8565556193</v>
      </c>
      <c r="G1603" s="522">
        <f t="shared" si="801"/>
        <v>5556545.8565556193</v>
      </c>
      <c r="H1603" s="522">
        <f t="shared" si="801"/>
        <v>5556545.8565556193</v>
      </c>
      <c r="I1603" s="522">
        <f t="shared" si="801"/>
        <v>5556545.8565556193</v>
      </c>
      <c r="J1603" s="522">
        <f t="shared" si="801"/>
        <v>5556545.8565556193</v>
      </c>
      <c r="K1603" s="522">
        <f t="shared" si="801"/>
        <v>5556545.8565556193</v>
      </c>
      <c r="L1603" s="522">
        <f t="shared" si="801"/>
        <v>5556545.8565556193</v>
      </c>
      <c r="M1603" s="522">
        <f t="shared" si="801"/>
        <v>5556545.8565556193</v>
      </c>
      <c r="N1603" s="522">
        <f t="shared" si="801"/>
        <v>5556545.8565556193</v>
      </c>
      <c r="O1603" s="410" t="s">
        <v>2750</v>
      </c>
      <c r="Q1603" s="217">
        <f t="shared" si="800"/>
        <v>0</v>
      </c>
    </row>
    <row r="1604" spans="1:17" s="217" customFormat="1">
      <c r="A1604" s="217">
        <v>20</v>
      </c>
      <c r="B1604" s="10" t="s">
        <v>1279</v>
      </c>
      <c r="C1604" s="11" t="s">
        <v>902</v>
      </c>
      <c r="D1604" s="217">
        <f>IF(A1604=B1570,"New Revenue Adjustments",IF(AND(C1604=D1570,A1604&lt;B1570),"Attrition Necessary",0))</f>
        <v>0</v>
      </c>
      <c r="E1604" s="522">
        <f t="shared" si="798"/>
        <v>8154688.8300374569</v>
      </c>
      <c r="F1604" s="522">
        <f t="shared" si="801"/>
        <v>8154688.8300374569</v>
      </c>
      <c r="G1604" s="522">
        <f t="shared" si="801"/>
        <v>8154688.8300374569</v>
      </c>
      <c r="H1604" s="522">
        <f t="shared" si="801"/>
        <v>8154688.8300374569</v>
      </c>
      <c r="I1604" s="522">
        <f t="shared" si="801"/>
        <v>8154688.8300374569</v>
      </c>
      <c r="J1604" s="522">
        <f t="shared" si="801"/>
        <v>8154688.8300374569</v>
      </c>
      <c r="K1604" s="522">
        <f t="shared" si="801"/>
        <v>8154688.8300374569</v>
      </c>
      <c r="L1604" s="522">
        <f t="shared" si="801"/>
        <v>8154688.8300374569</v>
      </c>
      <c r="M1604" s="522">
        <f t="shared" si="801"/>
        <v>8154688.8300374569</v>
      </c>
      <c r="N1604" s="522">
        <f t="shared" si="801"/>
        <v>8154688.8300374569</v>
      </c>
      <c r="O1604" s="410" t="s">
        <v>2751</v>
      </c>
      <c r="Q1604" s="217">
        <f t="shared" si="800"/>
        <v>0</v>
      </c>
    </row>
    <row r="1605" spans="1:17" s="217" customFormat="1">
      <c r="A1605" s="217">
        <v>21</v>
      </c>
      <c r="B1605" s="10" t="s">
        <v>2052</v>
      </c>
      <c r="C1605" s="11" t="s">
        <v>899</v>
      </c>
      <c r="D1605" s="217">
        <f>IF(A1605=B1570,"New Revenue Adjustments",IF(AND(C1605=D1570,A1605&lt;B1570),"Attrition Necessary",0))</f>
        <v>0</v>
      </c>
      <c r="E1605" s="522">
        <f t="shared" si="798"/>
        <v>3229256.7766948342</v>
      </c>
      <c r="F1605" s="522">
        <f t="shared" ref="F1605:N1616" si="802">IF($B$1570&gt;$A1605,INDEX(calcY4Q2RevFlow,$A1605,calcTeamNum)*(IF($D1605="Attrition Necessary",1-calcQ2AttritionDifference,1)*(IF($D1605="New Revenue Adjustments",1+calcY4Q3RevenueAdjustment,1))),INDEX(dataY4Q3Rev,$A1605,)*(IF($D1605="Attrition Necessary",1-calcQ2AttritionDifference,1))*(IF($D1605="New Revenue Adjustments",1+calcY4Q3RevenueAdjustment,1)))</f>
        <v>3229256.7766948342</v>
      </c>
      <c r="G1605" s="522">
        <f t="shared" si="802"/>
        <v>3229256.7766948342</v>
      </c>
      <c r="H1605" s="522">
        <f t="shared" si="802"/>
        <v>3229256.7766948342</v>
      </c>
      <c r="I1605" s="522">
        <f t="shared" si="802"/>
        <v>3229256.7766948342</v>
      </c>
      <c r="J1605" s="522">
        <f t="shared" si="802"/>
        <v>3229256.7766948342</v>
      </c>
      <c r="K1605" s="522">
        <f t="shared" si="802"/>
        <v>3229256.7766948342</v>
      </c>
      <c r="L1605" s="522">
        <f t="shared" si="802"/>
        <v>3229256.7766948342</v>
      </c>
      <c r="M1605" s="522">
        <f t="shared" si="802"/>
        <v>3229256.7766948342</v>
      </c>
      <c r="N1605" s="522">
        <f t="shared" si="802"/>
        <v>3229256.7766948342</v>
      </c>
      <c r="O1605" s="410" t="s">
        <v>2752</v>
      </c>
      <c r="Q1605" s="217">
        <f t="shared" si="800"/>
        <v>0</v>
      </c>
    </row>
    <row r="1606" spans="1:17" s="217" customFormat="1">
      <c r="A1606" s="217">
        <v>22</v>
      </c>
      <c r="B1606" s="10" t="s">
        <v>2052</v>
      </c>
      <c r="C1606" s="11" t="s">
        <v>900</v>
      </c>
      <c r="D1606" s="217">
        <f>IF(A1606=B1570,"New Revenue Adjustments",IF(AND(C1606=D1570,A1606&lt;B1570),"Attrition Necessary",0))</f>
        <v>0</v>
      </c>
      <c r="E1606" s="522">
        <f t="shared" si="798"/>
        <v>3946869.3937381296</v>
      </c>
      <c r="F1606" s="522">
        <f t="shared" si="802"/>
        <v>3946869.3937381296</v>
      </c>
      <c r="G1606" s="522">
        <f t="shared" si="802"/>
        <v>3946869.3937381296</v>
      </c>
      <c r="H1606" s="522">
        <f t="shared" si="802"/>
        <v>3946869.3937381296</v>
      </c>
      <c r="I1606" s="522">
        <f t="shared" si="802"/>
        <v>3946869.3937381296</v>
      </c>
      <c r="J1606" s="522">
        <f t="shared" si="802"/>
        <v>3946869.3937381296</v>
      </c>
      <c r="K1606" s="522">
        <f t="shared" si="802"/>
        <v>3946869.3937381296</v>
      </c>
      <c r="L1606" s="522">
        <f t="shared" si="802"/>
        <v>3946869.3937381296</v>
      </c>
      <c r="M1606" s="522">
        <f t="shared" si="802"/>
        <v>3946869.3937381296</v>
      </c>
      <c r="N1606" s="522">
        <f t="shared" si="802"/>
        <v>3946869.3937381296</v>
      </c>
      <c r="O1606" s="410" t="s">
        <v>2753</v>
      </c>
      <c r="Q1606" s="217">
        <f t="shared" si="800"/>
        <v>0</v>
      </c>
    </row>
    <row r="1607" spans="1:17" s="217" customFormat="1">
      <c r="A1607" s="217">
        <v>23</v>
      </c>
      <c r="B1607" s="10" t="s">
        <v>2052</v>
      </c>
      <c r="C1607" s="11" t="s">
        <v>901</v>
      </c>
      <c r="D1607" s="217" t="str">
        <f>IF(A1607=B1570,"New Revenue Adjustments",IF(AND(C1607=D1570,A1607&lt;B1570),"Attrition Necessary",0))</f>
        <v>Attrition Necessary</v>
      </c>
      <c r="E1607" s="522">
        <f t="shared" si="798"/>
        <v>6099707.2448680205</v>
      </c>
      <c r="F1607" s="522">
        <f t="shared" si="802"/>
        <v>6099707.2448680205</v>
      </c>
      <c r="G1607" s="522">
        <f t="shared" si="802"/>
        <v>6099707.2448680205</v>
      </c>
      <c r="H1607" s="522">
        <f t="shared" si="802"/>
        <v>6099707.2448680205</v>
      </c>
      <c r="I1607" s="522">
        <f t="shared" si="802"/>
        <v>6099707.2448680205</v>
      </c>
      <c r="J1607" s="522">
        <f t="shared" si="802"/>
        <v>6099707.2448680205</v>
      </c>
      <c r="K1607" s="522">
        <f t="shared" si="802"/>
        <v>6099707.2448680205</v>
      </c>
      <c r="L1607" s="522">
        <f t="shared" si="802"/>
        <v>6099707.2448680205</v>
      </c>
      <c r="M1607" s="522">
        <f t="shared" si="802"/>
        <v>6099707.2448680205</v>
      </c>
      <c r="N1607" s="522">
        <f t="shared" si="802"/>
        <v>6099707.2448680205</v>
      </c>
      <c r="O1607" s="410" t="s">
        <v>2754</v>
      </c>
      <c r="Q1607" s="217">
        <f t="shared" si="800"/>
        <v>0</v>
      </c>
    </row>
    <row r="1608" spans="1:17" s="217" customFormat="1">
      <c r="A1608" s="217">
        <v>24</v>
      </c>
      <c r="B1608" s="10" t="s">
        <v>2052</v>
      </c>
      <c r="C1608" s="11" t="s">
        <v>902</v>
      </c>
      <c r="D1608" s="217">
        <f>IF(A1608=B1570,"New Revenue Adjustments",IF(AND(C1608=D1570,A1608&lt;B1570),"Attrition Necessary",0))</f>
        <v>0</v>
      </c>
      <c r="E1608" s="522">
        <f t="shared" si="798"/>
        <v>8951822.916666666</v>
      </c>
      <c r="F1608" s="522">
        <f t="shared" si="802"/>
        <v>8951822.916666666</v>
      </c>
      <c r="G1608" s="522">
        <f t="shared" si="802"/>
        <v>8951822.916666666</v>
      </c>
      <c r="H1608" s="522">
        <f t="shared" si="802"/>
        <v>8951822.916666666</v>
      </c>
      <c r="I1608" s="522">
        <f t="shared" si="802"/>
        <v>8951822.916666666</v>
      </c>
      <c r="J1608" s="522">
        <f t="shared" si="802"/>
        <v>8951822.916666666</v>
      </c>
      <c r="K1608" s="522">
        <f t="shared" si="802"/>
        <v>8951822.916666666</v>
      </c>
      <c r="L1608" s="522">
        <f t="shared" si="802"/>
        <v>8951822.916666666</v>
      </c>
      <c r="M1608" s="522">
        <f t="shared" si="802"/>
        <v>8951822.916666666</v>
      </c>
      <c r="N1608" s="522">
        <f t="shared" si="802"/>
        <v>8951822.916666666</v>
      </c>
      <c r="O1608" s="410" t="s">
        <v>2755</v>
      </c>
      <c r="Q1608" s="217">
        <f t="shared" si="800"/>
        <v>0</v>
      </c>
    </row>
    <row r="1609" spans="1:17" s="217" customFormat="1">
      <c r="A1609" s="217">
        <v>25</v>
      </c>
      <c r="B1609" s="10" t="s">
        <v>2408</v>
      </c>
      <c r="C1609" s="11" t="s">
        <v>899</v>
      </c>
      <c r="D1609" s="217">
        <f>IF(A1609=B1570,"New Revenue Adjustments",IF(AND(C1609=D1570,A1609&lt;B1570),"Attrition Necessary",0))</f>
        <v>0</v>
      </c>
      <c r="E1609" s="522">
        <f t="shared" si="798"/>
        <v>3464355.4687500005</v>
      </c>
      <c r="F1609" s="522">
        <f t="shared" si="802"/>
        <v>3464355.4687500005</v>
      </c>
      <c r="G1609" s="522">
        <f t="shared" si="802"/>
        <v>3464355.4687500005</v>
      </c>
      <c r="H1609" s="522">
        <f t="shared" si="802"/>
        <v>3464355.4687500005</v>
      </c>
      <c r="I1609" s="522">
        <f t="shared" si="802"/>
        <v>3464355.4687500005</v>
      </c>
      <c r="J1609" s="522">
        <f t="shared" si="802"/>
        <v>3464355.4687500005</v>
      </c>
      <c r="K1609" s="522">
        <f t="shared" si="802"/>
        <v>3464355.4687500005</v>
      </c>
      <c r="L1609" s="522">
        <f t="shared" si="802"/>
        <v>3464355.4687500005</v>
      </c>
      <c r="M1609" s="522">
        <f t="shared" si="802"/>
        <v>3464355.4687500005</v>
      </c>
      <c r="N1609" s="522">
        <f t="shared" si="802"/>
        <v>3464355.4687500005</v>
      </c>
      <c r="O1609" s="410" t="s">
        <v>2756</v>
      </c>
      <c r="Q1609" s="217">
        <f t="shared" si="800"/>
        <v>0</v>
      </c>
    </row>
    <row r="1610" spans="1:17" s="217" customFormat="1">
      <c r="A1610" s="217">
        <v>26</v>
      </c>
      <c r="B1610" s="10" t="s">
        <v>2408</v>
      </c>
      <c r="C1610" s="11" t="s">
        <v>900</v>
      </c>
      <c r="D1610" s="217">
        <f>IF(A1610=B1570,"New Revenue Adjustments",IF(AND(C1610=D1570,A1610&lt;B1570),"Attrition Necessary",0))</f>
        <v>0</v>
      </c>
      <c r="E1610" s="522">
        <f t="shared" si="798"/>
        <v>4234212.239583333</v>
      </c>
      <c r="F1610" s="522">
        <f t="shared" si="802"/>
        <v>4234212.239583333</v>
      </c>
      <c r="G1610" s="522">
        <f t="shared" si="802"/>
        <v>4234212.239583333</v>
      </c>
      <c r="H1610" s="522">
        <f t="shared" si="802"/>
        <v>4234212.239583333</v>
      </c>
      <c r="I1610" s="522">
        <f t="shared" si="802"/>
        <v>4234212.239583333</v>
      </c>
      <c r="J1610" s="522">
        <f t="shared" si="802"/>
        <v>4234212.239583333</v>
      </c>
      <c r="K1610" s="522">
        <f t="shared" si="802"/>
        <v>4234212.239583333</v>
      </c>
      <c r="L1610" s="522">
        <f t="shared" si="802"/>
        <v>4234212.239583333</v>
      </c>
      <c r="M1610" s="522">
        <f t="shared" si="802"/>
        <v>4234212.239583333</v>
      </c>
      <c r="N1610" s="522">
        <f t="shared" si="802"/>
        <v>4234212.239583333</v>
      </c>
      <c r="O1610" s="410" t="s">
        <v>2757</v>
      </c>
      <c r="Q1610" s="217">
        <f t="shared" si="800"/>
        <v>0</v>
      </c>
    </row>
    <row r="1611" spans="1:17" s="217" customFormat="1">
      <c r="A1611" s="217">
        <v>27</v>
      </c>
      <c r="B1611" s="10" t="s">
        <v>2408</v>
      </c>
      <c r="C1611" s="11" t="s">
        <v>901</v>
      </c>
      <c r="D1611" s="217" t="str">
        <f>IF(A1611=B1570,"New Revenue Adjustments",IF(AND(C1611=D1570,A1611&lt;B1570),"Attrition Necessary",0))</f>
        <v>New Revenue Adjustments</v>
      </c>
      <c r="E1611" s="522">
        <f t="shared" si="798"/>
        <v>6543782.5520833349</v>
      </c>
      <c r="F1611" s="522">
        <f t="shared" si="802"/>
        <v>6543782.5520833349</v>
      </c>
      <c r="G1611" s="522">
        <f t="shared" si="802"/>
        <v>6543782.5520833349</v>
      </c>
      <c r="H1611" s="522">
        <f t="shared" si="802"/>
        <v>6543782.5520833349</v>
      </c>
      <c r="I1611" s="522">
        <f t="shared" si="802"/>
        <v>6543782.5520833349</v>
      </c>
      <c r="J1611" s="522">
        <f t="shared" si="802"/>
        <v>6543782.5520833349</v>
      </c>
      <c r="K1611" s="522">
        <f t="shared" si="802"/>
        <v>6543782.5520833349</v>
      </c>
      <c r="L1611" s="522">
        <f t="shared" si="802"/>
        <v>6543782.5520833349</v>
      </c>
      <c r="M1611" s="522">
        <f t="shared" si="802"/>
        <v>6543782.5520833349</v>
      </c>
      <c r="N1611" s="522">
        <f t="shared" si="802"/>
        <v>6543782.5520833349</v>
      </c>
      <c r="O1611" s="410" t="s">
        <v>2758</v>
      </c>
      <c r="Q1611" s="217">
        <f t="shared" si="800"/>
        <v>0</v>
      </c>
    </row>
    <row r="1612" spans="1:17" s="217" customFormat="1">
      <c r="A1612" s="217">
        <v>28</v>
      </c>
      <c r="B1612" s="10" t="s">
        <v>2408</v>
      </c>
      <c r="C1612" s="11" t="s">
        <v>902</v>
      </c>
      <c r="D1612" s="217">
        <f>IF(A1612=B1570,"New Revenue Adjustments",IF(AND(C1612=D1570,A1612&lt;B1570),"Attrition Necessary",0))</f>
        <v>0</v>
      </c>
      <c r="E1612" s="522">
        <f t="shared" si="798"/>
        <v>0</v>
      </c>
      <c r="F1612" s="522">
        <f t="shared" si="802"/>
        <v>0</v>
      </c>
      <c r="G1612" s="522">
        <f t="shared" si="802"/>
        <v>0</v>
      </c>
      <c r="H1612" s="522">
        <f t="shared" si="802"/>
        <v>0</v>
      </c>
      <c r="I1612" s="522">
        <f t="shared" si="802"/>
        <v>0</v>
      </c>
      <c r="J1612" s="522">
        <f t="shared" si="802"/>
        <v>0</v>
      </c>
      <c r="K1612" s="522">
        <f t="shared" si="802"/>
        <v>0</v>
      </c>
      <c r="L1612" s="522">
        <f t="shared" si="802"/>
        <v>0</v>
      </c>
      <c r="M1612" s="522">
        <f t="shared" si="802"/>
        <v>0</v>
      </c>
      <c r="N1612" s="522">
        <f t="shared" si="802"/>
        <v>0</v>
      </c>
      <c r="O1612" s="410" t="s">
        <v>2759</v>
      </c>
    </row>
    <row r="1613" spans="1:17" s="217" customFormat="1">
      <c r="A1613" s="217">
        <v>29</v>
      </c>
      <c r="B1613" s="10" t="s">
        <v>2413</v>
      </c>
      <c r="C1613" s="11" t="s">
        <v>899</v>
      </c>
      <c r="D1613" s="217">
        <f>IF(A1613=B1570,"New Revenue Adjustments",IF(AND(C1613=D1570,A1613&lt;B1570),"Attrition Necessary",0))</f>
        <v>0</v>
      </c>
      <c r="E1613" s="522">
        <f t="shared" si="798"/>
        <v>0</v>
      </c>
      <c r="F1613" s="522">
        <f t="shared" si="802"/>
        <v>0</v>
      </c>
      <c r="G1613" s="522">
        <f t="shared" si="802"/>
        <v>0</v>
      </c>
      <c r="H1613" s="522">
        <f t="shared" si="802"/>
        <v>0</v>
      </c>
      <c r="I1613" s="522">
        <f t="shared" si="802"/>
        <v>0</v>
      </c>
      <c r="J1613" s="522">
        <f t="shared" si="802"/>
        <v>0</v>
      </c>
      <c r="K1613" s="522">
        <f t="shared" si="802"/>
        <v>0</v>
      </c>
      <c r="L1613" s="522">
        <f t="shared" si="802"/>
        <v>0</v>
      </c>
      <c r="M1613" s="522">
        <f t="shared" si="802"/>
        <v>0</v>
      </c>
      <c r="N1613" s="522">
        <f t="shared" si="802"/>
        <v>0</v>
      </c>
      <c r="O1613" s="410" t="s">
        <v>2760</v>
      </c>
    </row>
    <row r="1614" spans="1:17" s="217" customFormat="1">
      <c r="A1614" s="217">
        <v>30</v>
      </c>
      <c r="B1614" s="10" t="s">
        <v>2413</v>
      </c>
      <c r="C1614" s="11" t="s">
        <v>900</v>
      </c>
      <c r="D1614" s="217">
        <f>IF(A1614=B1570,"New Revenue Adjustments",IF(AND(C1614=D1570,A1614&lt;B1570),"Attrition Necessary",0))</f>
        <v>0</v>
      </c>
      <c r="E1614" s="522">
        <f t="shared" si="798"/>
        <v>0</v>
      </c>
      <c r="F1614" s="522">
        <f t="shared" si="802"/>
        <v>0</v>
      </c>
      <c r="G1614" s="522">
        <f t="shared" si="802"/>
        <v>0</v>
      </c>
      <c r="H1614" s="522">
        <f t="shared" si="802"/>
        <v>0</v>
      </c>
      <c r="I1614" s="522">
        <f t="shared" si="802"/>
        <v>0</v>
      </c>
      <c r="J1614" s="522">
        <f t="shared" si="802"/>
        <v>0</v>
      </c>
      <c r="K1614" s="522">
        <f t="shared" si="802"/>
        <v>0</v>
      </c>
      <c r="L1614" s="522">
        <f t="shared" si="802"/>
        <v>0</v>
      </c>
      <c r="M1614" s="522">
        <f t="shared" si="802"/>
        <v>0</v>
      </c>
      <c r="N1614" s="522">
        <f t="shared" si="802"/>
        <v>0</v>
      </c>
      <c r="O1614" s="410" t="s">
        <v>2761</v>
      </c>
    </row>
    <row r="1615" spans="1:17" s="217" customFormat="1">
      <c r="A1615" s="217">
        <v>31</v>
      </c>
      <c r="B1615" s="10" t="s">
        <v>2413</v>
      </c>
      <c r="C1615" s="11" t="s">
        <v>901</v>
      </c>
      <c r="D1615" s="217">
        <f>IF(A1615=B1570,"New Revenue Adjustments",IF(AND(C1615=D1570,A1615&lt;B1570),"Attrition Necessary",0))</f>
        <v>0</v>
      </c>
      <c r="E1615" s="522">
        <f t="shared" si="798"/>
        <v>0</v>
      </c>
      <c r="F1615" s="522">
        <f t="shared" si="802"/>
        <v>0</v>
      </c>
      <c r="G1615" s="522">
        <f t="shared" si="802"/>
        <v>0</v>
      </c>
      <c r="H1615" s="522">
        <f t="shared" si="802"/>
        <v>0</v>
      </c>
      <c r="I1615" s="522">
        <f t="shared" si="802"/>
        <v>0</v>
      </c>
      <c r="J1615" s="522">
        <f t="shared" si="802"/>
        <v>0</v>
      </c>
      <c r="K1615" s="522">
        <f t="shared" si="802"/>
        <v>0</v>
      </c>
      <c r="L1615" s="522">
        <f t="shared" si="802"/>
        <v>0</v>
      </c>
      <c r="M1615" s="522">
        <f t="shared" si="802"/>
        <v>0</v>
      </c>
      <c r="N1615" s="522">
        <f t="shared" si="802"/>
        <v>0</v>
      </c>
      <c r="O1615" s="410" t="s">
        <v>2762</v>
      </c>
    </row>
    <row r="1616" spans="1:17" s="217" customFormat="1">
      <c r="A1616" s="217">
        <v>32</v>
      </c>
      <c r="B1616" s="10" t="s">
        <v>2413</v>
      </c>
      <c r="C1616" s="11" t="s">
        <v>902</v>
      </c>
      <c r="D1616" s="217">
        <f>IF(A1616=B1570,"New Revenue Adjustments",IF(AND(C1616=D1570,A1616&lt;B1570),"Attrition Necessary",0))</f>
        <v>0</v>
      </c>
      <c r="E1616" s="522">
        <f t="shared" si="798"/>
        <v>0</v>
      </c>
      <c r="F1616" s="522">
        <f t="shared" si="802"/>
        <v>0</v>
      </c>
      <c r="G1616" s="522">
        <f t="shared" si="802"/>
        <v>0</v>
      </c>
      <c r="H1616" s="522">
        <f t="shared" si="802"/>
        <v>0</v>
      </c>
      <c r="I1616" s="522">
        <f t="shared" si="802"/>
        <v>0</v>
      </c>
      <c r="J1616" s="522">
        <f t="shared" si="802"/>
        <v>0</v>
      </c>
      <c r="K1616" s="522">
        <f t="shared" si="802"/>
        <v>0</v>
      </c>
      <c r="L1616" s="522">
        <f t="shared" si="802"/>
        <v>0</v>
      </c>
      <c r="M1616" s="522">
        <f t="shared" si="802"/>
        <v>0</v>
      </c>
      <c r="N1616" s="522">
        <f t="shared" si="802"/>
        <v>0</v>
      </c>
      <c r="O1616" s="410" t="s">
        <v>2763</v>
      </c>
    </row>
    <row r="1617" spans="1:18" s="217" customFormat="1">
      <c r="D1617" s="217" t="s">
        <v>908</v>
      </c>
      <c r="E1617" s="427">
        <f>SUM(E1585:E1616)</f>
        <v>101766440.10493733</v>
      </c>
      <c r="F1617" s="427">
        <f t="shared" ref="F1617:I1617" si="803">SUM(F1585:F1616)</f>
        <v>101766440.10493733</v>
      </c>
      <c r="G1617" s="427">
        <f t="shared" si="803"/>
        <v>101766440.10493733</v>
      </c>
      <c r="H1617" s="427">
        <f t="shared" si="803"/>
        <v>101766440.10493733</v>
      </c>
      <c r="I1617" s="427">
        <f t="shared" si="803"/>
        <v>101766440.10493733</v>
      </c>
      <c r="J1617" s="427">
        <f t="shared" ref="J1617:N1617" si="804">SUM(J1585:J1616)</f>
        <v>101766440.10493733</v>
      </c>
      <c r="K1617" s="427">
        <f t="shared" si="804"/>
        <v>101766440.10493733</v>
      </c>
      <c r="L1617" s="427">
        <f t="shared" si="804"/>
        <v>101766440.10493733</v>
      </c>
      <c r="M1617" s="427">
        <f t="shared" si="804"/>
        <v>101766440.10493733</v>
      </c>
      <c r="N1617" s="427">
        <f t="shared" si="804"/>
        <v>101766440.10493733</v>
      </c>
      <c r="O1617" s="217" t="s">
        <v>2764</v>
      </c>
    </row>
    <row r="1618" spans="1:18" s="217" customFormat="1">
      <c r="E1618" s="409"/>
      <c r="F1618" s="409"/>
      <c r="G1618" s="409"/>
      <c r="H1618" s="409"/>
      <c r="I1618" s="409"/>
      <c r="J1618" s="409"/>
      <c r="K1618" s="409"/>
      <c r="L1618" s="409"/>
      <c r="M1618" s="409"/>
      <c r="N1618" s="409"/>
    </row>
    <row r="1619" spans="1:18">
      <c r="A1619" s="217"/>
      <c r="B1619" s="69">
        <v>28</v>
      </c>
      <c r="C1619" s="217" t="s">
        <v>2408</v>
      </c>
      <c r="D1619" s="217" t="s">
        <v>902</v>
      </c>
    </row>
    <row r="1620" spans="1:18" s="217" customFormat="1">
      <c r="C1620" s="217" t="s">
        <v>1736</v>
      </c>
      <c r="E1620" s="409"/>
      <c r="F1620" s="409"/>
      <c r="G1620" s="409"/>
      <c r="H1620" s="409"/>
      <c r="I1620" s="409"/>
      <c r="J1620" s="409"/>
      <c r="K1620" s="409"/>
      <c r="L1620" s="409"/>
      <c r="M1620" s="409"/>
      <c r="N1620" s="409"/>
    </row>
    <row r="1621" spans="1:18" s="410" customFormat="1">
      <c r="D1621" s="410" t="s">
        <v>1754</v>
      </c>
      <c r="E1621" s="547">
        <f t="shared" ref="E1621:N1621" si="805">FORECAST(calcNPS,datatblNPSAttrition,datatblNPSScore)</f>
        <v>0.14946428571428572</v>
      </c>
      <c r="F1621" s="547">
        <f t="shared" si="805"/>
        <v>0.14946428571428572</v>
      </c>
      <c r="G1621" s="547">
        <f t="shared" si="805"/>
        <v>0.14946428571428572</v>
      </c>
      <c r="H1621" s="547">
        <f t="shared" si="805"/>
        <v>0.14946428571428572</v>
      </c>
      <c r="I1621" s="547">
        <f t="shared" si="805"/>
        <v>0.14946428571428572</v>
      </c>
      <c r="J1621" s="547">
        <f t="shared" si="805"/>
        <v>0.14946428571428572</v>
      </c>
      <c r="K1621" s="547">
        <f t="shared" si="805"/>
        <v>0.14946428571428572</v>
      </c>
      <c r="L1621" s="547">
        <f t="shared" si="805"/>
        <v>0.14946428571428572</v>
      </c>
      <c r="M1621" s="547">
        <f t="shared" si="805"/>
        <v>0.14946428571428572</v>
      </c>
      <c r="N1621" s="547">
        <f t="shared" si="805"/>
        <v>0.14946428571428572</v>
      </c>
    </row>
    <row r="1622" spans="1:18" s="410" customFormat="1">
      <c r="D1622" s="410" t="s">
        <v>1753</v>
      </c>
      <c r="E1622" s="547">
        <f>Data!$D$277</f>
        <v>0.1515124491492886</v>
      </c>
      <c r="F1622" s="547">
        <f>Data!$D$277</f>
        <v>0.1515124491492886</v>
      </c>
      <c r="G1622" s="547">
        <f>Data!$D$277</f>
        <v>0.1515124491492886</v>
      </c>
      <c r="H1622" s="547">
        <f>Data!$D$277</f>
        <v>0.1515124491492886</v>
      </c>
      <c r="I1622" s="547">
        <f>Data!$D$277</f>
        <v>0.1515124491492886</v>
      </c>
      <c r="J1622" s="547">
        <f>Data!$D$277</f>
        <v>0.1515124491492886</v>
      </c>
      <c r="K1622" s="547">
        <f>Data!$D$277</f>
        <v>0.1515124491492886</v>
      </c>
      <c r="L1622" s="547">
        <f>Data!$D$277</f>
        <v>0.1515124491492886</v>
      </c>
      <c r="M1622" s="547">
        <f>Data!$D$277</f>
        <v>0.1515124491492886</v>
      </c>
      <c r="N1622" s="547">
        <f>Data!$D$277</f>
        <v>0.1515124491492886</v>
      </c>
    </row>
    <row r="1623" spans="1:18" s="217" customFormat="1">
      <c r="D1623" s="217" t="s">
        <v>1755</v>
      </c>
      <c r="E1623" s="411">
        <f t="shared" ref="E1623" si="806">E1621/E1622-1</f>
        <v>-1.351811977499473E-2</v>
      </c>
      <c r="F1623" s="411">
        <f>F1621/F1622-1</f>
        <v>-1.351811977499473E-2</v>
      </c>
      <c r="G1623" s="411">
        <f t="shared" ref="G1623:I1623" si="807">G1621/G1622-1</f>
        <v>-1.351811977499473E-2</v>
      </c>
      <c r="H1623" s="411">
        <f t="shared" si="807"/>
        <v>-1.351811977499473E-2</v>
      </c>
      <c r="I1623" s="411">
        <f t="shared" si="807"/>
        <v>-1.351811977499473E-2</v>
      </c>
      <c r="J1623" s="411">
        <f t="shared" ref="J1623:N1623" si="808">J1621/J1622-1</f>
        <v>-1.351811977499473E-2</v>
      </c>
      <c r="K1623" s="411">
        <f t="shared" si="808"/>
        <v>-1.351811977499473E-2</v>
      </c>
      <c r="L1623" s="411">
        <f t="shared" si="808"/>
        <v>-1.351811977499473E-2</v>
      </c>
      <c r="M1623" s="411">
        <f t="shared" si="808"/>
        <v>-1.351811977499473E-2</v>
      </c>
      <c r="N1623" s="411">
        <f t="shared" si="808"/>
        <v>-1.351811977499473E-2</v>
      </c>
      <c r="O1623" s="217" t="s">
        <v>2765</v>
      </c>
    </row>
    <row r="1624" spans="1:18" s="217" customFormat="1">
      <c r="C1624" s="217" t="s">
        <v>1757</v>
      </c>
      <c r="E1624" s="411"/>
      <c r="F1624" s="411"/>
      <c r="G1624" s="411"/>
      <c r="H1624" s="411"/>
      <c r="I1624" s="411"/>
      <c r="J1624" s="411"/>
      <c r="K1624" s="411"/>
      <c r="L1624" s="411"/>
      <c r="M1624" s="411"/>
      <c r="N1624" s="411"/>
    </row>
    <row r="1625" spans="1:18">
      <c r="D1625" s="69" t="s">
        <v>1151</v>
      </c>
      <c r="E1625" s="425">
        <f>IF(calcOrg62Timeline&lt;=$Q1625,INDEX(datatblOrg62Timeline,MATCH(decGTMOrg62Timeline,Data!$C$106:$C$111,0),2),0)*paramOrg62Impacts</f>
        <v>0</v>
      </c>
      <c r="F1625" s="425">
        <f>IF(calcOrg62Timeline&lt;=$Q1625,INDEX(datatblOrg62Timeline,MATCH(decGTMOrg62Timeline,Data!$C$106:$C$111,0),2),0)*paramOrg62Impacts</f>
        <v>0</v>
      </c>
      <c r="G1625" s="425">
        <f>IF(calcOrg62Timeline&lt;=$Q1625,INDEX(datatblOrg62Timeline,MATCH(decGTMOrg62Timeline,Data!$C$106:$C$111,0),2),0)*paramOrg62Impacts</f>
        <v>0</v>
      </c>
      <c r="H1625" s="425">
        <f>IF(calcOrg62Timeline&lt;=$Q1625,INDEX(datatblOrg62Timeline,MATCH(decGTMOrg62Timeline,Data!$C$106:$C$111,0),2),0)*paramOrg62Impacts</f>
        <v>0</v>
      </c>
      <c r="I1625" s="425">
        <f>IF(calcOrg62Timeline&lt;=$Q1625,INDEX(datatblOrg62Timeline,MATCH(decGTMOrg62Timeline,Data!$C$106:$C$111,0),2),0)*paramOrg62Impacts</f>
        <v>0</v>
      </c>
      <c r="J1625" s="425">
        <f>IF(calcOrg62Timeline&lt;=$Q1625,INDEX(datatblOrg62Timeline,MATCH(decGTMOrg62Timeline,Data!$C$106:$C$111,0),2),0)*paramOrg62Impacts</f>
        <v>0</v>
      </c>
      <c r="K1625" s="425">
        <f>IF(calcOrg62Timeline&lt;=$Q1625,INDEX(datatblOrg62Timeline,MATCH(decGTMOrg62Timeline,Data!$C$106:$C$111,0),2),0)*paramOrg62Impacts</f>
        <v>0</v>
      </c>
      <c r="L1625" s="425">
        <f>IF(calcOrg62Timeline&lt;=$Q1625,INDEX(datatblOrg62Timeline,MATCH(decGTMOrg62Timeline,Data!$C$106:$C$111,0),2),0)*paramOrg62Impacts</f>
        <v>0</v>
      </c>
      <c r="M1625" s="425">
        <f>IF(calcOrg62Timeline&lt;=$Q1625,INDEX(datatblOrg62Timeline,MATCH(decGTMOrg62Timeline,Data!$C$106:$C$111,0),2),0)*paramOrg62Impacts</f>
        <v>0</v>
      </c>
      <c r="N1625" s="425">
        <f>IF(calcOrg62Timeline&lt;=$Q1625,INDEX(datatblOrg62Timeline,MATCH(decGTMOrg62Timeline,Data!$C$106:$C$111,0),2),0)*paramOrg62Impacts</f>
        <v>0</v>
      </c>
      <c r="Q1625" s="69">
        <v>24</v>
      </c>
    </row>
    <row r="1626" spans="1:18">
      <c r="D1626" s="69" t="s">
        <v>507</v>
      </c>
      <c r="E1626" s="425">
        <f>IF(calcProductTimeline&lt;=$Q1626,INDEX(datatblStackFocusImpact,MATCH(decProductStackFocus,Data!$C$96:$C$101,0),2),0)+paramACVGrowthStack</f>
        <v>0</v>
      </c>
      <c r="F1626" s="425">
        <f>IF(calcProductTimeline&lt;=$Q1626,INDEX(datatblStackFocusImpact,MATCH(decProductStackFocus,Data!$C$96:$C$101,0),2),0)+paramACVGrowthStack</f>
        <v>0</v>
      </c>
      <c r="G1626" s="425">
        <f>IF(calcProductTimeline&lt;=$Q1626,INDEX(datatblStackFocusImpact,MATCH(decProductStackFocus,Data!$C$96:$C$101,0),2),0)+paramACVGrowthStack</f>
        <v>0</v>
      </c>
      <c r="H1626" s="425">
        <f>IF(calcProductTimeline&lt;=$Q1626,INDEX(datatblStackFocusImpact,MATCH(decProductStackFocus,Data!$C$96:$C$101,0),2),0)+paramACVGrowthStack</f>
        <v>0</v>
      </c>
      <c r="I1626" s="425">
        <f>IF(calcProductTimeline&lt;=$Q1626,INDEX(datatblStackFocusImpact,MATCH(decProductStackFocus,Data!$C$96:$C$101,0),2),0)+paramACVGrowthStack</f>
        <v>0</v>
      </c>
      <c r="J1626" s="425">
        <f>IF(calcProductTimeline&lt;=$Q1626,INDEX(datatblStackFocusImpact,MATCH(decProductStackFocus,Data!$C$96:$C$101,0),2),0)+paramACVGrowthStack</f>
        <v>0</v>
      </c>
      <c r="K1626" s="425">
        <f>IF(calcProductTimeline&lt;=$Q1626,INDEX(datatblStackFocusImpact,MATCH(decProductStackFocus,Data!$C$96:$C$101,0),2),0)+paramACVGrowthStack</f>
        <v>0</v>
      </c>
      <c r="L1626" s="425">
        <f>IF(calcProductTimeline&lt;=$Q1626,INDEX(datatblStackFocusImpact,MATCH(decProductStackFocus,Data!$C$96:$C$101,0),2),0)+paramACVGrowthStack</f>
        <v>0</v>
      </c>
      <c r="M1626" s="425">
        <f>IF(calcProductTimeline&lt;=$Q1626,INDEX(datatblStackFocusImpact,MATCH(decProductStackFocus,Data!$C$96:$C$101,0),2),0)+paramACVGrowthStack</f>
        <v>0</v>
      </c>
      <c r="N1626" s="425">
        <f>IF(calcProductTimeline&lt;=$Q1626,INDEX(datatblStackFocusImpact,MATCH(decProductStackFocus,Data!$C$96:$C$101,0),2),0)+paramACVGrowthStack</f>
        <v>0</v>
      </c>
      <c r="Q1626" s="69">
        <f>Q1625</f>
        <v>24</v>
      </c>
    </row>
    <row r="1627" spans="1:18">
      <c r="D1627" s="69" t="s">
        <v>2237</v>
      </c>
      <c r="E1627" s="425">
        <f>IF(calcExternalSalesTimeline&lt;=$Q1627,INDEX(datatblExternalSalesImpact,MATCH(decGTMExternalSales,Data!$C$85:$C$90,0),2),0)</f>
        <v>0</v>
      </c>
      <c r="F1627" s="425">
        <f>IF(calcExternalSalesTimeline&lt;=$Q1627,INDEX(datatblExternalSalesImpact,MATCH(decGTMExternalSales,Data!$C$85:$C$90,0),2),0)</f>
        <v>0</v>
      </c>
      <c r="G1627" s="425">
        <f>IF(calcExternalSalesTimeline&lt;=$Q1627,INDEX(datatblExternalSalesImpact,MATCH(decGTMExternalSales,Data!$C$85:$C$90,0),2),0)</f>
        <v>0</v>
      </c>
      <c r="H1627" s="425">
        <f>IF(calcExternalSalesTimeline&lt;=$Q1627,INDEX(datatblExternalSalesImpact,MATCH(decGTMExternalSales,Data!$C$85:$C$90,0),2),0)</f>
        <v>0</v>
      </c>
      <c r="I1627" s="425">
        <f>IF(calcExternalSalesTimeline&lt;=$Q1627,INDEX(datatblExternalSalesImpact,MATCH(decGTMExternalSales,Data!$C$85:$C$90,0),2),0)</f>
        <v>0</v>
      </c>
      <c r="J1627" s="425">
        <f>IF(calcExternalSalesTimeline&lt;=$Q1627,INDEX(datatblExternalSalesImpact,MATCH(decGTMExternalSales,Data!$C$85:$C$90,0),2),0)</f>
        <v>0</v>
      </c>
      <c r="K1627" s="425">
        <f>IF(calcExternalSalesTimeline&lt;=$Q1627,INDEX(datatblExternalSalesImpact,MATCH(decGTMExternalSales,Data!$C$85:$C$90,0),2),0)</f>
        <v>0</v>
      </c>
      <c r="L1627" s="425">
        <f>IF(calcExternalSalesTimeline&lt;=$Q1627,INDEX(datatblExternalSalesImpact,MATCH(decGTMExternalSales,Data!$C$85:$C$90,0),2),0)</f>
        <v>0</v>
      </c>
      <c r="M1627" s="425">
        <f>IF(calcExternalSalesTimeline&lt;=$Q1627,INDEX(datatblExternalSalesImpact,MATCH(decGTMExternalSales,Data!$C$85:$C$90,0),2),0)</f>
        <v>0</v>
      </c>
      <c r="N1627" s="425">
        <f>IF(calcExternalSalesTimeline&lt;=$Q1627,INDEX(datatblExternalSalesImpact,MATCH(decGTMExternalSales,Data!$C$85:$C$90,0),2),0)</f>
        <v>0</v>
      </c>
      <c r="O1627" s="482"/>
      <c r="P1627" s="482"/>
      <c r="Q1627" s="69">
        <f>Q1626</f>
        <v>24</v>
      </c>
    </row>
    <row r="1628" spans="1:18">
      <c r="D1628" s="69" t="s">
        <v>2284</v>
      </c>
      <c r="E1628" s="425">
        <f>IF(calcCSGTimeline&lt;=$Q1628,INDEX(datatblCSGPostSales,MATCH(decGTMCSGPostSales,Data!$C$204:$C$209,0),3),0)</f>
        <v>0</v>
      </c>
      <c r="F1628" s="425">
        <f>IF(calcCSGTimeline&lt;=$Q1628,INDEX(datatblCSGPostSales,MATCH(decGTMCSGPostSales,Data!$C$204:$C$209,0),3),0)</f>
        <v>0</v>
      </c>
      <c r="G1628" s="425">
        <f>IF(calcCSGTimeline&lt;=$Q1628,INDEX(datatblCSGPostSales,MATCH(decGTMCSGPostSales,Data!$C$204:$C$209,0),3),0)</f>
        <v>0</v>
      </c>
      <c r="H1628" s="425">
        <f>IF(calcCSGTimeline&lt;=$Q1628,INDEX(datatblCSGPostSales,MATCH(decGTMCSGPostSales,Data!$C$204:$C$209,0),3),0)</f>
        <v>0</v>
      </c>
      <c r="I1628" s="425">
        <f>IF(calcCSGTimeline&lt;=$Q1628,INDEX(datatblCSGPostSales,MATCH(decGTMCSGPostSales,Data!$C$204:$C$209,0),3),0)</f>
        <v>0</v>
      </c>
      <c r="J1628" s="425">
        <f>IF(calcCSGTimeline&lt;=$Q1628,INDEX(datatblCSGPostSales,MATCH(decGTMCSGPostSales,Data!$C$204:$C$209,0),3),0)</f>
        <v>0</v>
      </c>
      <c r="K1628" s="425">
        <f>IF(calcCSGTimeline&lt;=$Q1628,INDEX(datatblCSGPostSales,MATCH(decGTMCSGPostSales,Data!$C$204:$C$209,0),3),0)</f>
        <v>0</v>
      </c>
      <c r="L1628" s="425">
        <f>IF(calcCSGTimeline&lt;=$Q1628,INDEX(datatblCSGPostSales,MATCH(decGTMCSGPostSales,Data!$C$204:$C$209,0),3),0)</f>
        <v>0</v>
      </c>
      <c r="M1628" s="425">
        <f>IF(calcCSGTimeline&lt;=$Q1628,INDEX(datatblCSGPostSales,MATCH(decGTMCSGPostSales,Data!$C$204:$C$209,0),3),0)</f>
        <v>0</v>
      </c>
      <c r="N1628" s="425">
        <f>IF(calcCSGTimeline&lt;=$Q1628,INDEX(datatblCSGPostSales,MATCH(decGTMCSGPostSales,Data!$C$204:$C$209,0),3),0)</f>
        <v>0</v>
      </c>
      <c r="O1628" s="482"/>
      <c r="P1628" s="482"/>
      <c r="Q1628" s="69">
        <f>Q1627</f>
        <v>24</v>
      </c>
    </row>
    <row r="1629" spans="1:18">
      <c r="D1629" s="69" t="s">
        <v>3079</v>
      </c>
      <c r="E1629" s="425">
        <f>IF(calcBrandIntegrationTimeline&lt;=$Q1629,INDEX(datatblBrandIntegration,MATCH(decGTMBrandIntegration,Data!$C$220:$C$226,0),3),0)</f>
        <v>0</v>
      </c>
      <c r="F1629" s="425">
        <f>IF(calcBrandIntegrationTimeline&lt;=$Q1629,INDEX(datatblBrandIntegration,MATCH(decGTMBrandIntegration,Data!$C$220:$C$226,0),3),0)</f>
        <v>0</v>
      </c>
      <c r="G1629" s="425">
        <f>IF(calcBrandIntegrationTimeline&lt;=$Q1629,INDEX(datatblBrandIntegration,MATCH(decGTMBrandIntegration,Data!$C$220:$C$226,0),3),0)</f>
        <v>0</v>
      </c>
      <c r="H1629" s="425">
        <f>IF(calcBrandIntegrationTimeline&lt;=$Q1629,INDEX(datatblBrandIntegration,MATCH(decGTMBrandIntegration,Data!$C$220:$C$226,0),3),0)</f>
        <v>0</v>
      </c>
      <c r="I1629" s="425">
        <f>IF(calcBrandIntegrationTimeline&lt;=$Q1629,INDEX(datatblBrandIntegration,MATCH(decGTMBrandIntegration,Data!$C$220:$C$226,0),3),0)</f>
        <v>0</v>
      </c>
      <c r="J1629" s="425">
        <f>IF(calcBrandIntegrationTimeline&lt;=$Q1629,INDEX(datatblBrandIntegration,MATCH(decGTMBrandIntegration,Data!$C$220:$C$226,0),3),0)</f>
        <v>0</v>
      </c>
      <c r="K1629" s="425">
        <f>IF(calcBrandIntegrationTimeline&lt;=$Q1629,INDEX(datatblBrandIntegration,MATCH(decGTMBrandIntegration,Data!$C$220:$C$226,0),3),0)</f>
        <v>0</v>
      </c>
      <c r="L1629" s="425">
        <f>IF(calcBrandIntegrationTimeline&lt;=$Q1629,INDEX(datatblBrandIntegration,MATCH(decGTMBrandIntegration,Data!$C$220:$C$226,0),3),0)</f>
        <v>0</v>
      </c>
      <c r="M1629" s="425">
        <f>IF(calcBrandIntegrationTimeline&lt;=$Q1629,INDEX(datatblBrandIntegration,MATCH(decGTMBrandIntegration,Data!$C$220:$C$226,0),3),0)</f>
        <v>0</v>
      </c>
      <c r="N1629" s="425">
        <f>IF(calcBrandIntegrationTimeline&lt;=$Q1629,INDEX(datatblBrandIntegration,MATCH(decGTMBrandIntegration,Data!$C$220:$C$226,0),3),0)</f>
        <v>0</v>
      </c>
      <c r="O1629" s="482"/>
      <c r="P1629" s="482"/>
      <c r="Q1629" s="69">
        <f>Q1628</f>
        <v>24</v>
      </c>
    </row>
    <row r="1630" spans="1:18">
      <c r="D1630" s="69" t="s">
        <v>2277</v>
      </c>
      <c r="E1630" s="425">
        <f>IF(decGTMOrg62Timeline="choose",0,IF(E1625=0,INDEX(datatblLeadPass,MATCH(decGTMLeadPass,Data!$C$212:$C$217,0),3),0))</f>
        <v>0</v>
      </c>
      <c r="F1630" s="425">
        <f>IF(decGTMOrg62Timeline="choose",0,IF(F1625=0,INDEX(datatblLeadPass,MATCH(decGTMLeadPass,Data!$C$212:$C$217,0),3),0))</f>
        <v>0</v>
      </c>
      <c r="G1630" s="425">
        <f>IF(decGTMOrg62Timeline="choose",0,IF(G1625=0,INDEX(datatblLeadPass,MATCH(decGTMLeadPass,Data!$C$212:$C$217,0),3),0))</f>
        <v>0</v>
      </c>
      <c r="H1630" s="425">
        <f>IF(decGTMOrg62Timeline="choose",0,IF(H1625=0,INDEX(datatblLeadPass,MATCH(decGTMLeadPass,Data!$C$212:$C$217,0),3),0))</f>
        <v>0</v>
      </c>
      <c r="I1630" s="425">
        <f>IF(decGTMOrg62Timeline="choose",0,IF(I1625=0,INDEX(datatblLeadPass,MATCH(decGTMLeadPass,Data!$C$212:$C$217,0),3),0))</f>
        <v>0</v>
      </c>
      <c r="J1630" s="425">
        <f>IF(decGTMOrg62Timeline="choose",0,IF(J1625=0,INDEX(datatblLeadPass,MATCH(decGTMLeadPass,Data!$C$212:$C$217,0),3),0))</f>
        <v>0</v>
      </c>
      <c r="K1630" s="425">
        <f>IF(decGTMOrg62Timeline="choose",0,IF(K1625=0,INDEX(datatblLeadPass,MATCH(decGTMLeadPass,Data!$C$212:$C$217,0),3),0))</f>
        <v>0</v>
      </c>
      <c r="L1630" s="425">
        <f>IF(decGTMOrg62Timeline="choose",0,IF(L1625=0,INDEX(datatblLeadPass,MATCH(decGTMLeadPass,Data!$C$212:$C$217,0),3),0))</f>
        <v>0</v>
      </c>
      <c r="M1630" s="425">
        <f>IF(decGTMOrg62Timeline="choose",0,IF(M1625=0,INDEX(datatblLeadPass,MATCH(decGTMLeadPass,Data!$C$212:$C$217,0),3),0))</f>
        <v>0</v>
      </c>
      <c r="N1630" s="425">
        <f>IF(decGTMOrg62Timeline="choose",0,IF(N1625=0,INDEX(datatblLeadPass,MATCH(decGTMLeadPass,Data!$C$212:$C$217,0),3),0))</f>
        <v>0</v>
      </c>
      <c r="O1630" s="482"/>
      <c r="P1630" s="482"/>
    </row>
    <row r="1631" spans="1:18">
      <c r="D1631" s="69" t="s">
        <v>1032</v>
      </c>
      <c r="E1631" s="425">
        <f>IF(decSecurityProductRestrictions="Yes",$Q1631,IF(decSecurityProductRestrictions="No",$R1631,$S1631))</f>
        <v>0</v>
      </c>
      <c r="F1631" s="425">
        <f t="shared" ref="F1631:N1631" si="809">IF(decSecurityProductRestrictions="Yes",$Q1631,IF(decSecurityProductRestrictions="No",$R1631,$S1631))</f>
        <v>0</v>
      </c>
      <c r="G1631" s="425">
        <f t="shared" si="809"/>
        <v>0</v>
      </c>
      <c r="H1631" s="425">
        <f t="shared" si="809"/>
        <v>0</v>
      </c>
      <c r="I1631" s="425">
        <f t="shared" si="809"/>
        <v>0</v>
      </c>
      <c r="J1631" s="425">
        <f t="shared" si="809"/>
        <v>0</v>
      </c>
      <c r="K1631" s="425">
        <f t="shared" si="809"/>
        <v>0</v>
      </c>
      <c r="L1631" s="425">
        <f t="shared" si="809"/>
        <v>0</v>
      </c>
      <c r="M1631" s="425">
        <f t="shared" si="809"/>
        <v>0</v>
      </c>
      <c r="N1631" s="425">
        <f t="shared" si="809"/>
        <v>0</v>
      </c>
      <c r="Q1631" s="482">
        <f>xxProductRestrictionACVHit</f>
        <v>-0.02</v>
      </c>
      <c r="R1631" s="482">
        <f>xxProductRestrictionACVIncrease</f>
        <v>0.02</v>
      </c>
    </row>
    <row r="1632" spans="1:18" s="217" customFormat="1">
      <c r="D1632" s="217" t="s">
        <v>1758</v>
      </c>
      <c r="E1632" s="411">
        <f t="shared" ref="E1632:N1632" si="810">SUM(E1625:E1631)+paramACVGrowthBaseline</f>
        <v>0</v>
      </c>
      <c r="F1632" s="411">
        <f t="shared" si="810"/>
        <v>0</v>
      </c>
      <c r="G1632" s="411">
        <f t="shared" si="810"/>
        <v>0</v>
      </c>
      <c r="H1632" s="411">
        <f t="shared" si="810"/>
        <v>0</v>
      </c>
      <c r="I1632" s="411">
        <f t="shared" si="810"/>
        <v>0</v>
      </c>
      <c r="J1632" s="411">
        <f t="shared" si="810"/>
        <v>0</v>
      </c>
      <c r="K1632" s="411">
        <f t="shared" si="810"/>
        <v>0</v>
      </c>
      <c r="L1632" s="411">
        <f t="shared" si="810"/>
        <v>0</v>
      </c>
      <c r="M1632" s="411">
        <f t="shared" si="810"/>
        <v>0</v>
      </c>
      <c r="N1632" s="411">
        <f t="shared" si="810"/>
        <v>0</v>
      </c>
      <c r="O1632" s="217" t="s">
        <v>2766</v>
      </c>
    </row>
    <row r="1633" spans="1:17" s="217" customFormat="1">
      <c r="E1633" s="411"/>
      <c r="F1633" s="411"/>
      <c r="G1633" s="411"/>
      <c r="H1633" s="411"/>
      <c r="I1633" s="411"/>
      <c r="J1633" s="411"/>
      <c r="K1633" s="411"/>
      <c r="L1633" s="411"/>
      <c r="M1633" s="411"/>
      <c r="N1633" s="411"/>
    </row>
    <row r="1634" spans="1:17" s="217" customFormat="1">
      <c r="A1634" s="217">
        <v>1</v>
      </c>
      <c r="B1634" s="10" t="s">
        <v>1735</v>
      </c>
      <c r="C1634" s="11" t="s">
        <v>899</v>
      </c>
      <c r="D1634" s="217">
        <f>IF(A1634=B1619,"New Revenue Adjustments",IF(AND(C1634=D1619,A1634&lt;B1619),"Attrition Necessary",0))</f>
        <v>0</v>
      </c>
      <c r="E1634" s="522">
        <f t="shared" ref="E1634:N1643" si="811">IF($B$1619&gt;$A1634,INDEX(calcY4Q3RevFlow,$A1634,calcTeamNum)*(IF($D1634="Attrition Necessary",1-calcQ2AttritionDifference,1)*(IF($D1634="New Revenue Adjustments",1+calcY4Q4RevenueAdjustment,1))),INDEX(dataY4Q4Rev,$A1634,)*(IF($D1634="Attrition Necessary",1-calcQ2AttritionDifference,1))*(IF($D1634="New Revenue Adjustments",1+calcY4Q4RevenueAdjustment,1)))</f>
        <v>925455.4549802402</v>
      </c>
      <c r="F1634" s="522">
        <f t="shared" si="811"/>
        <v>925455.4549802402</v>
      </c>
      <c r="G1634" s="522">
        <f t="shared" si="811"/>
        <v>925455.4549802402</v>
      </c>
      <c r="H1634" s="522">
        <f t="shared" si="811"/>
        <v>925455.4549802402</v>
      </c>
      <c r="I1634" s="522">
        <f t="shared" si="811"/>
        <v>925455.4549802402</v>
      </c>
      <c r="J1634" s="522">
        <f t="shared" si="811"/>
        <v>925455.4549802402</v>
      </c>
      <c r="K1634" s="522">
        <f t="shared" si="811"/>
        <v>925455.4549802402</v>
      </c>
      <c r="L1634" s="522">
        <f t="shared" si="811"/>
        <v>925455.4549802402</v>
      </c>
      <c r="M1634" s="522">
        <f t="shared" si="811"/>
        <v>925455.4549802402</v>
      </c>
      <c r="N1634" s="522">
        <f t="shared" si="811"/>
        <v>925455.4549802402</v>
      </c>
      <c r="O1634" s="410" t="s">
        <v>2767</v>
      </c>
      <c r="Q1634" s="217">
        <f t="shared" ref="Q1634:Q1661" si="812">F1634/E1634-1</f>
        <v>0</v>
      </c>
    </row>
    <row r="1635" spans="1:17" s="217" customFormat="1">
      <c r="A1635" s="217">
        <v>2</v>
      </c>
      <c r="B1635" s="10" t="s">
        <v>1735</v>
      </c>
      <c r="C1635" s="11" t="s">
        <v>900</v>
      </c>
      <c r="D1635" s="217">
        <f>IF(A1635=B1619,"New Revenue Adjustments",IF(AND(C1635=D1619,A1635&lt;B1619),"Attrition Necessary",0))</f>
        <v>0</v>
      </c>
      <c r="E1635" s="522">
        <f t="shared" si="811"/>
        <v>1633156.6852592477</v>
      </c>
      <c r="F1635" s="522">
        <f t="shared" si="811"/>
        <v>1633156.6852592477</v>
      </c>
      <c r="G1635" s="522">
        <f t="shared" si="811"/>
        <v>1633156.6852592477</v>
      </c>
      <c r="H1635" s="522">
        <f t="shared" si="811"/>
        <v>1633156.6852592477</v>
      </c>
      <c r="I1635" s="522">
        <f t="shared" si="811"/>
        <v>1633156.6852592477</v>
      </c>
      <c r="J1635" s="522">
        <f t="shared" si="811"/>
        <v>1633156.6852592477</v>
      </c>
      <c r="K1635" s="522">
        <f t="shared" si="811"/>
        <v>1633156.6852592477</v>
      </c>
      <c r="L1635" s="522">
        <f t="shared" si="811"/>
        <v>1633156.6852592477</v>
      </c>
      <c r="M1635" s="522">
        <f t="shared" si="811"/>
        <v>1633156.6852592477</v>
      </c>
      <c r="N1635" s="522">
        <f t="shared" si="811"/>
        <v>1633156.6852592477</v>
      </c>
      <c r="O1635" s="410" t="s">
        <v>2768</v>
      </c>
      <c r="Q1635" s="217">
        <f t="shared" si="812"/>
        <v>0</v>
      </c>
    </row>
    <row r="1636" spans="1:17" s="217" customFormat="1">
      <c r="A1636" s="217">
        <v>3</v>
      </c>
      <c r="B1636" s="10" t="s">
        <v>1735</v>
      </c>
      <c r="C1636" s="11" t="s">
        <v>901</v>
      </c>
      <c r="D1636" s="217">
        <f>IF(A1636=B1619,"New Revenue Adjustments",IF(AND(C1636=D1619,A1636&lt;B1619),"Attrition Necessary",0))</f>
        <v>0</v>
      </c>
      <c r="E1636" s="522">
        <f t="shared" si="811"/>
        <v>2177542.2470123302</v>
      </c>
      <c r="F1636" s="522">
        <f t="shared" si="811"/>
        <v>2177542.2470123302</v>
      </c>
      <c r="G1636" s="522">
        <f t="shared" si="811"/>
        <v>2177542.2470123302</v>
      </c>
      <c r="H1636" s="522">
        <f t="shared" si="811"/>
        <v>2177542.2470123302</v>
      </c>
      <c r="I1636" s="522">
        <f t="shared" si="811"/>
        <v>2177542.2470123302</v>
      </c>
      <c r="J1636" s="522">
        <f t="shared" si="811"/>
        <v>2177542.2470123302</v>
      </c>
      <c r="K1636" s="522">
        <f t="shared" si="811"/>
        <v>2177542.2470123302</v>
      </c>
      <c r="L1636" s="522">
        <f t="shared" si="811"/>
        <v>2177542.2470123302</v>
      </c>
      <c r="M1636" s="522">
        <f t="shared" si="811"/>
        <v>2177542.2470123302</v>
      </c>
      <c r="N1636" s="522">
        <f t="shared" si="811"/>
        <v>2177542.2470123302</v>
      </c>
      <c r="O1636" s="410" t="s">
        <v>2769</v>
      </c>
      <c r="Q1636" s="217">
        <f t="shared" si="812"/>
        <v>0</v>
      </c>
    </row>
    <row r="1637" spans="1:17" s="217" customFormat="1">
      <c r="A1637" s="217">
        <v>4</v>
      </c>
      <c r="B1637" s="10" t="s">
        <v>1735</v>
      </c>
      <c r="C1637" s="11" t="s">
        <v>902</v>
      </c>
      <c r="D1637" s="217" t="str">
        <f>IF(A1637=B1619,"New Revenue Adjustments",IF(AND(C1637=D1619,A1637&lt;B1619),"Attrition Necessary",0))</f>
        <v>Attrition Necessary</v>
      </c>
      <c r="E1637" s="522">
        <f t="shared" si="811"/>
        <v>2721927.8087654128</v>
      </c>
      <c r="F1637" s="522">
        <f t="shared" si="811"/>
        <v>2721927.8087654128</v>
      </c>
      <c r="G1637" s="522">
        <f t="shared" si="811"/>
        <v>2721927.8087654128</v>
      </c>
      <c r="H1637" s="522">
        <f t="shared" si="811"/>
        <v>2721927.8087654128</v>
      </c>
      <c r="I1637" s="522">
        <f t="shared" si="811"/>
        <v>2721927.8087654128</v>
      </c>
      <c r="J1637" s="522">
        <f t="shared" si="811"/>
        <v>2721927.8087654128</v>
      </c>
      <c r="K1637" s="522">
        <f t="shared" si="811"/>
        <v>2721927.8087654128</v>
      </c>
      <c r="L1637" s="522">
        <f t="shared" si="811"/>
        <v>2721927.8087654128</v>
      </c>
      <c r="M1637" s="522">
        <f t="shared" si="811"/>
        <v>2721927.8087654128</v>
      </c>
      <c r="N1637" s="522">
        <f t="shared" si="811"/>
        <v>2721927.8087654128</v>
      </c>
      <c r="O1637" s="410" t="s">
        <v>2770</v>
      </c>
      <c r="Q1637" s="217">
        <f t="shared" si="812"/>
        <v>0</v>
      </c>
    </row>
    <row r="1638" spans="1:17" s="217" customFormat="1">
      <c r="A1638" s="217">
        <v>5</v>
      </c>
      <c r="B1638" s="10" t="s">
        <v>1729</v>
      </c>
      <c r="C1638" s="11" t="s">
        <v>899</v>
      </c>
      <c r="D1638" s="217">
        <f>IF(A1638=B1619,"New Revenue Adjustments",IF(AND(C1638=D1619,A1638&lt;B1619),"Attrition Necessary",0))</f>
        <v>0</v>
      </c>
      <c r="E1638" s="522">
        <f t="shared" si="811"/>
        <v>1088771.1235061651</v>
      </c>
      <c r="F1638" s="522">
        <f t="shared" si="811"/>
        <v>1088771.1235061651</v>
      </c>
      <c r="G1638" s="522">
        <f t="shared" si="811"/>
        <v>1088771.1235061651</v>
      </c>
      <c r="H1638" s="522">
        <f t="shared" si="811"/>
        <v>1088771.1235061651</v>
      </c>
      <c r="I1638" s="522">
        <f t="shared" si="811"/>
        <v>1088771.1235061651</v>
      </c>
      <c r="J1638" s="522">
        <f t="shared" si="811"/>
        <v>1088771.1235061651</v>
      </c>
      <c r="K1638" s="522">
        <f t="shared" si="811"/>
        <v>1088771.1235061651</v>
      </c>
      <c r="L1638" s="522">
        <f t="shared" si="811"/>
        <v>1088771.1235061651</v>
      </c>
      <c r="M1638" s="522">
        <f t="shared" si="811"/>
        <v>1088771.1235061651</v>
      </c>
      <c r="N1638" s="522">
        <f t="shared" si="811"/>
        <v>1088771.1235061651</v>
      </c>
      <c r="O1638" s="410" t="s">
        <v>2771</v>
      </c>
      <c r="Q1638" s="217">
        <f t="shared" si="812"/>
        <v>0</v>
      </c>
    </row>
    <row r="1639" spans="1:17" s="217" customFormat="1">
      <c r="A1639" s="217">
        <v>6</v>
      </c>
      <c r="B1639" s="10" t="s">
        <v>1729</v>
      </c>
      <c r="C1639" s="11" t="s">
        <v>900</v>
      </c>
      <c r="D1639" s="217">
        <f>IF(A1639=B1619,"New Revenue Adjustments",IF(AND(C1639=D1619,A1639&lt;B1619),"Attrition Necessary",0))</f>
        <v>0</v>
      </c>
      <c r="E1639" s="522">
        <f t="shared" si="811"/>
        <v>1568343.8852212771</v>
      </c>
      <c r="F1639" s="522">
        <f t="shared" si="811"/>
        <v>1568343.8852212771</v>
      </c>
      <c r="G1639" s="522">
        <f t="shared" si="811"/>
        <v>1568343.8852212771</v>
      </c>
      <c r="H1639" s="522">
        <f t="shared" si="811"/>
        <v>1568343.8852212771</v>
      </c>
      <c r="I1639" s="522">
        <f t="shared" si="811"/>
        <v>1568343.8852212771</v>
      </c>
      <c r="J1639" s="522">
        <f t="shared" si="811"/>
        <v>1568343.8852212771</v>
      </c>
      <c r="K1639" s="522">
        <f t="shared" si="811"/>
        <v>1568343.8852212771</v>
      </c>
      <c r="L1639" s="522">
        <f t="shared" si="811"/>
        <v>1568343.8852212771</v>
      </c>
      <c r="M1639" s="522">
        <f t="shared" si="811"/>
        <v>1568343.8852212771</v>
      </c>
      <c r="N1639" s="522">
        <f t="shared" si="811"/>
        <v>1568343.8852212771</v>
      </c>
      <c r="O1639" s="410" t="s">
        <v>2772</v>
      </c>
      <c r="Q1639" s="217">
        <f t="shared" si="812"/>
        <v>0</v>
      </c>
    </row>
    <row r="1640" spans="1:17" s="217" customFormat="1">
      <c r="A1640" s="217">
        <v>7</v>
      </c>
      <c r="B1640" s="10" t="s">
        <v>1729</v>
      </c>
      <c r="C1640" s="11" t="s">
        <v>901</v>
      </c>
      <c r="D1640" s="217">
        <f>IF(A1640=B1619,"New Revenue Adjustments",IF(AND(C1640=D1619,A1640&lt;B1619),"Attrition Necessary",0))</f>
        <v>0</v>
      </c>
      <c r="E1640" s="522">
        <f t="shared" si="811"/>
        <v>2423804.1862510652</v>
      </c>
      <c r="F1640" s="522">
        <f t="shared" si="811"/>
        <v>2423804.1862510652</v>
      </c>
      <c r="G1640" s="522">
        <f t="shared" si="811"/>
        <v>2423804.1862510652</v>
      </c>
      <c r="H1640" s="522">
        <f t="shared" si="811"/>
        <v>2423804.1862510652</v>
      </c>
      <c r="I1640" s="522">
        <f t="shared" si="811"/>
        <v>2423804.1862510652</v>
      </c>
      <c r="J1640" s="522">
        <f t="shared" si="811"/>
        <v>2423804.1862510652</v>
      </c>
      <c r="K1640" s="522">
        <f t="shared" si="811"/>
        <v>2423804.1862510652</v>
      </c>
      <c r="L1640" s="522">
        <f t="shared" si="811"/>
        <v>2423804.1862510652</v>
      </c>
      <c r="M1640" s="522">
        <f t="shared" si="811"/>
        <v>2423804.1862510652</v>
      </c>
      <c r="N1640" s="522">
        <f t="shared" si="811"/>
        <v>2423804.1862510652</v>
      </c>
      <c r="O1640" s="410" t="s">
        <v>2773</v>
      </c>
      <c r="Q1640" s="217">
        <f t="shared" si="812"/>
        <v>0</v>
      </c>
    </row>
    <row r="1641" spans="1:17" s="217" customFormat="1">
      <c r="A1641" s="217">
        <v>8</v>
      </c>
      <c r="B1641" s="10" t="s">
        <v>1729</v>
      </c>
      <c r="C1641" s="11" t="s">
        <v>902</v>
      </c>
      <c r="D1641" s="217" t="str">
        <f>IF(A1641=B1619,"New Revenue Adjustments",IF(AND(C1641=D1619,A1641&lt;B1619),"Attrition Necessary",0))</f>
        <v>Attrition Necessary</v>
      </c>
      <c r="E1641" s="522">
        <f t="shared" si="811"/>
        <v>3564417.920957448</v>
      </c>
      <c r="F1641" s="522">
        <f t="shared" si="811"/>
        <v>3564417.920957448</v>
      </c>
      <c r="G1641" s="522">
        <f t="shared" si="811"/>
        <v>3564417.920957448</v>
      </c>
      <c r="H1641" s="522">
        <f t="shared" si="811"/>
        <v>3564417.920957448</v>
      </c>
      <c r="I1641" s="522">
        <f t="shared" si="811"/>
        <v>3564417.920957448</v>
      </c>
      <c r="J1641" s="522">
        <f t="shared" si="811"/>
        <v>3564417.920957448</v>
      </c>
      <c r="K1641" s="522">
        <f t="shared" si="811"/>
        <v>3564417.920957448</v>
      </c>
      <c r="L1641" s="522">
        <f t="shared" si="811"/>
        <v>3564417.920957448</v>
      </c>
      <c r="M1641" s="522">
        <f t="shared" si="811"/>
        <v>3564417.920957448</v>
      </c>
      <c r="N1641" s="522">
        <f t="shared" si="811"/>
        <v>3564417.920957448</v>
      </c>
      <c r="O1641" s="410" t="s">
        <v>2774</v>
      </c>
      <c r="Q1641" s="217">
        <f t="shared" si="812"/>
        <v>0</v>
      </c>
    </row>
    <row r="1642" spans="1:17" s="217" customFormat="1">
      <c r="A1642" s="217">
        <v>9</v>
      </c>
      <c r="B1642" s="10" t="s">
        <v>405</v>
      </c>
      <c r="C1642" s="11" t="s">
        <v>899</v>
      </c>
      <c r="D1642" s="217">
        <f>IF(A1642=B1619,"New Revenue Adjustments",IF(AND(C1642=D1619,A1642&lt;B1619),"Attrition Necessary",0))</f>
        <v>0</v>
      </c>
      <c r="E1642" s="522">
        <f t="shared" si="811"/>
        <v>1603988.0644308517</v>
      </c>
      <c r="F1642" s="522">
        <f t="shared" si="811"/>
        <v>1603988.0644308517</v>
      </c>
      <c r="G1642" s="522">
        <f t="shared" si="811"/>
        <v>1603988.0644308517</v>
      </c>
      <c r="H1642" s="522">
        <f t="shared" si="811"/>
        <v>1603988.0644308517</v>
      </c>
      <c r="I1642" s="522">
        <f t="shared" si="811"/>
        <v>1603988.0644308517</v>
      </c>
      <c r="J1642" s="522">
        <f t="shared" si="811"/>
        <v>1603988.0644308517</v>
      </c>
      <c r="K1642" s="522">
        <f t="shared" si="811"/>
        <v>1603988.0644308517</v>
      </c>
      <c r="L1642" s="522">
        <f t="shared" si="811"/>
        <v>1603988.0644308517</v>
      </c>
      <c r="M1642" s="522">
        <f t="shared" si="811"/>
        <v>1603988.0644308517</v>
      </c>
      <c r="N1642" s="522">
        <f t="shared" si="811"/>
        <v>1603988.0644308517</v>
      </c>
      <c r="O1642" s="410" t="s">
        <v>2775</v>
      </c>
      <c r="Q1642" s="217">
        <f t="shared" si="812"/>
        <v>0</v>
      </c>
    </row>
    <row r="1643" spans="1:17" s="217" customFormat="1">
      <c r="A1643" s="217">
        <v>10</v>
      </c>
      <c r="B1643" s="10" t="s">
        <v>405</v>
      </c>
      <c r="C1643" s="11" t="s">
        <v>900</v>
      </c>
      <c r="D1643" s="217">
        <f>IF(A1643=B1619,"New Revenue Adjustments",IF(AND(C1643=D1619,A1643&lt;B1619),"Attrition Necessary",0))</f>
        <v>0</v>
      </c>
      <c r="E1643" s="522">
        <f t="shared" si="811"/>
        <v>2310499.2578394678</v>
      </c>
      <c r="F1643" s="522">
        <f t="shared" si="811"/>
        <v>2310499.2578394678</v>
      </c>
      <c r="G1643" s="522">
        <f t="shared" si="811"/>
        <v>2310499.2578394678</v>
      </c>
      <c r="H1643" s="522">
        <f t="shared" si="811"/>
        <v>2310499.2578394678</v>
      </c>
      <c r="I1643" s="522">
        <f t="shared" si="811"/>
        <v>2310499.2578394678</v>
      </c>
      <c r="J1643" s="522">
        <f t="shared" si="811"/>
        <v>2310499.2578394678</v>
      </c>
      <c r="K1643" s="522">
        <f t="shared" si="811"/>
        <v>2310499.2578394678</v>
      </c>
      <c r="L1643" s="522">
        <f t="shared" si="811"/>
        <v>2310499.2578394678</v>
      </c>
      <c r="M1643" s="522">
        <f t="shared" si="811"/>
        <v>2310499.2578394678</v>
      </c>
      <c r="N1643" s="522">
        <f t="shared" si="811"/>
        <v>2310499.2578394678</v>
      </c>
      <c r="O1643" s="410" t="s">
        <v>2776</v>
      </c>
      <c r="Q1643" s="217">
        <f t="shared" si="812"/>
        <v>0</v>
      </c>
    </row>
    <row r="1644" spans="1:17" s="217" customFormat="1">
      <c r="A1644" s="217">
        <v>11</v>
      </c>
      <c r="B1644" s="10" t="s">
        <v>405</v>
      </c>
      <c r="C1644" s="11" t="s">
        <v>901</v>
      </c>
      <c r="D1644" s="217">
        <f>IF(A1644=B1619,"New Revenue Adjustments",IF(AND(C1644=D1619,A1644&lt;B1619),"Attrition Necessary",0))</f>
        <v>0</v>
      </c>
      <c r="E1644" s="522">
        <f t="shared" ref="E1644:N1653" si="813">IF($B$1619&gt;$A1644,INDEX(calcY4Q3RevFlow,$A1644,calcTeamNum)*(IF($D1644="Attrition Necessary",1-calcQ2AttritionDifference,1)*(IF($D1644="New Revenue Adjustments",1+calcY4Q4RevenueAdjustment,1))),INDEX(dataY4Q4Rev,$A1644,)*(IF($D1644="Attrition Necessary",1-calcQ2AttritionDifference,1))*(IF($D1644="New Revenue Adjustments",1+calcY4Q4RevenueAdjustment,1)))</f>
        <v>3570771.5802973602</v>
      </c>
      <c r="F1644" s="522">
        <f t="shared" si="813"/>
        <v>3570771.5802973602</v>
      </c>
      <c r="G1644" s="522">
        <f t="shared" si="813"/>
        <v>3570771.5802973602</v>
      </c>
      <c r="H1644" s="522">
        <f t="shared" si="813"/>
        <v>3570771.5802973602</v>
      </c>
      <c r="I1644" s="522">
        <f t="shared" si="813"/>
        <v>3570771.5802973602</v>
      </c>
      <c r="J1644" s="522">
        <f t="shared" si="813"/>
        <v>3570771.5802973602</v>
      </c>
      <c r="K1644" s="522">
        <f t="shared" si="813"/>
        <v>3570771.5802973602</v>
      </c>
      <c r="L1644" s="522">
        <f t="shared" si="813"/>
        <v>3570771.5802973602</v>
      </c>
      <c r="M1644" s="522">
        <f t="shared" si="813"/>
        <v>3570771.5802973602</v>
      </c>
      <c r="N1644" s="522">
        <f t="shared" si="813"/>
        <v>3570771.5802973602</v>
      </c>
      <c r="O1644" s="410" t="s">
        <v>2777</v>
      </c>
      <c r="Q1644" s="217">
        <f t="shared" si="812"/>
        <v>0</v>
      </c>
    </row>
    <row r="1645" spans="1:17" s="217" customFormat="1">
      <c r="A1645" s="217">
        <v>12</v>
      </c>
      <c r="B1645" s="10" t="s">
        <v>405</v>
      </c>
      <c r="C1645" s="11" t="s">
        <v>902</v>
      </c>
      <c r="D1645" s="217" t="str">
        <f>IF(A1645=B1619,"New Revenue Adjustments",IF(AND(C1645=D1619,A1645&lt;B1619),"Attrition Necessary",0))</f>
        <v>Attrition Necessary</v>
      </c>
      <c r="E1645" s="522">
        <f t="shared" si="813"/>
        <v>5251134.6769078821</v>
      </c>
      <c r="F1645" s="522">
        <f t="shared" si="813"/>
        <v>5251134.6769078821</v>
      </c>
      <c r="G1645" s="522">
        <f t="shared" si="813"/>
        <v>5251134.6769078821</v>
      </c>
      <c r="H1645" s="522">
        <f t="shared" si="813"/>
        <v>5251134.6769078821</v>
      </c>
      <c r="I1645" s="522">
        <f t="shared" si="813"/>
        <v>5251134.6769078821</v>
      </c>
      <c r="J1645" s="522">
        <f t="shared" si="813"/>
        <v>5251134.6769078821</v>
      </c>
      <c r="K1645" s="522">
        <f t="shared" si="813"/>
        <v>5251134.6769078821</v>
      </c>
      <c r="L1645" s="522">
        <f t="shared" si="813"/>
        <v>5251134.6769078821</v>
      </c>
      <c r="M1645" s="522">
        <f t="shared" si="813"/>
        <v>5251134.6769078821</v>
      </c>
      <c r="N1645" s="522">
        <f t="shared" si="813"/>
        <v>5251134.6769078821</v>
      </c>
      <c r="O1645" s="410" t="s">
        <v>2778</v>
      </c>
      <c r="Q1645" s="217">
        <f t="shared" si="812"/>
        <v>0</v>
      </c>
    </row>
    <row r="1646" spans="1:17" s="217" customFormat="1">
      <c r="A1646" s="217">
        <v>13</v>
      </c>
      <c r="B1646" s="10" t="s">
        <v>1278</v>
      </c>
      <c r="C1646" s="11" t="s">
        <v>899</v>
      </c>
      <c r="D1646" s="217">
        <f>IF(A1646=B1619,"New Revenue Adjustments",IF(AND(C1646=D1619,A1646&lt;B1619),"Attrition Necessary",0))</f>
        <v>0</v>
      </c>
      <c r="E1646" s="522">
        <f t="shared" si="813"/>
        <v>2358180.6651969599</v>
      </c>
      <c r="F1646" s="522">
        <f t="shared" si="813"/>
        <v>2358180.6651969599</v>
      </c>
      <c r="G1646" s="522">
        <f t="shared" si="813"/>
        <v>2358180.6651969599</v>
      </c>
      <c r="H1646" s="522">
        <f t="shared" si="813"/>
        <v>2358180.6651969599</v>
      </c>
      <c r="I1646" s="522">
        <f t="shared" si="813"/>
        <v>2358180.6651969599</v>
      </c>
      <c r="J1646" s="522">
        <f t="shared" si="813"/>
        <v>2358180.6651969599</v>
      </c>
      <c r="K1646" s="522">
        <f t="shared" si="813"/>
        <v>2358180.6651969599</v>
      </c>
      <c r="L1646" s="522">
        <f t="shared" si="813"/>
        <v>2358180.6651969599</v>
      </c>
      <c r="M1646" s="522">
        <f t="shared" si="813"/>
        <v>2358180.6651969599</v>
      </c>
      <c r="N1646" s="522">
        <f t="shared" si="813"/>
        <v>2358180.6651969599</v>
      </c>
      <c r="O1646" s="410" t="s">
        <v>2779</v>
      </c>
      <c r="Q1646" s="217">
        <f t="shared" si="812"/>
        <v>0</v>
      </c>
    </row>
    <row r="1647" spans="1:17" s="217" customFormat="1">
      <c r="A1647" s="217">
        <v>14</v>
      </c>
      <c r="B1647" s="10" t="s">
        <v>1278</v>
      </c>
      <c r="C1647" s="11" t="s">
        <v>900</v>
      </c>
      <c r="D1647" s="217">
        <f>IF(A1647=B1619,"New Revenue Adjustments",IF(AND(C1647=D1619,A1647&lt;B1619),"Attrition Necessary",0))</f>
        <v>0</v>
      </c>
      <c r="E1647" s="522">
        <f t="shared" si="813"/>
        <v>2882220.8130185059</v>
      </c>
      <c r="F1647" s="522">
        <f t="shared" si="813"/>
        <v>2882220.8130185059</v>
      </c>
      <c r="G1647" s="522">
        <f t="shared" si="813"/>
        <v>2882220.8130185059</v>
      </c>
      <c r="H1647" s="522">
        <f t="shared" si="813"/>
        <v>2882220.8130185059</v>
      </c>
      <c r="I1647" s="522">
        <f t="shared" si="813"/>
        <v>2882220.8130185059</v>
      </c>
      <c r="J1647" s="522">
        <f t="shared" si="813"/>
        <v>2882220.8130185059</v>
      </c>
      <c r="K1647" s="522">
        <f t="shared" si="813"/>
        <v>2882220.8130185059</v>
      </c>
      <c r="L1647" s="522">
        <f t="shared" si="813"/>
        <v>2882220.8130185059</v>
      </c>
      <c r="M1647" s="522">
        <f t="shared" si="813"/>
        <v>2882220.8130185059</v>
      </c>
      <c r="N1647" s="522">
        <f t="shared" si="813"/>
        <v>2882220.8130185059</v>
      </c>
      <c r="O1647" s="410" t="s">
        <v>2780</v>
      </c>
      <c r="Q1647" s="217">
        <f t="shared" si="812"/>
        <v>0</v>
      </c>
    </row>
    <row r="1648" spans="1:17" s="217" customFormat="1">
      <c r="A1648" s="217">
        <v>15</v>
      </c>
      <c r="B1648" s="10" t="s">
        <v>1278</v>
      </c>
      <c r="C1648" s="11" t="s">
        <v>901</v>
      </c>
      <c r="D1648" s="217">
        <f>IF(A1648=B1619,"New Revenue Adjustments",IF(AND(C1648=D1619,A1648&lt;B1619),"Attrition Necessary",0))</f>
        <v>0</v>
      </c>
      <c r="E1648" s="522">
        <f t="shared" si="813"/>
        <v>4454341.256483146</v>
      </c>
      <c r="F1648" s="522">
        <f t="shared" si="813"/>
        <v>4454341.256483146</v>
      </c>
      <c r="G1648" s="522">
        <f t="shared" si="813"/>
        <v>4454341.256483146</v>
      </c>
      <c r="H1648" s="522">
        <f t="shared" si="813"/>
        <v>4454341.256483146</v>
      </c>
      <c r="I1648" s="522">
        <f t="shared" si="813"/>
        <v>4454341.256483146</v>
      </c>
      <c r="J1648" s="522">
        <f t="shared" si="813"/>
        <v>4454341.256483146</v>
      </c>
      <c r="K1648" s="522">
        <f t="shared" si="813"/>
        <v>4454341.256483146</v>
      </c>
      <c r="L1648" s="522">
        <f t="shared" si="813"/>
        <v>4454341.256483146</v>
      </c>
      <c r="M1648" s="522">
        <f t="shared" si="813"/>
        <v>4454341.256483146</v>
      </c>
      <c r="N1648" s="522">
        <f t="shared" si="813"/>
        <v>4454341.256483146</v>
      </c>
      <c r="O1648" s="410" t="s">
        <v>2781</v>
      </c>
      <c r="Q1648" s="217">
        <f t="shared" si="812"/>
        <v>0</v>
      </c>
    </row>
    <row r="1649" spans="1:17" s="217" customFormat="1">
      <c r="A1649" s="217">
        <v>16</v>
      </c>
      <c r="B1649" s="10" t="s">
        <v>1278</v>
      </c>
      <c r="C1649" s="11" t="s">
        <v>902</v>
      </c>
      <c r="D1649" s="217" t="str">
        <f>IF(A1649=B1619,"New Revenue Adjustments",IF(AND(C1649=D1619,A1649&lt;B1619),"Attrition Necessary",0))</f>
        <v>Attrition Necessary</v>
      </c>
      <c r="E1649" s="522">
        <f t="shared" si="813"/>
        <v>6550501.8477693321</v>
      </c>
      <c r="F1649" s="522">
        <f t="shared" si="813"/>
        <v>6550501.8477693321</v>
      </c>
      <c r="G1649" s="522">
        <f t="shared" si="813"/>
        <v>6550501.8477693321</v>
      </c>
      <c r="H1649" s="522">
        <f t="shared" si="813"/>
        <v>6550501.8477693321</v>
      </c>
      <c r="I1649" s="522">
        <f t="shared" si="813"/>
        <v>6550501.8477693321</v>
      </c>
      <c r="J1649" s="522">
        <f t="shared" si="813"/>
        <v>6550501.8477693321</v>
      </c>
      <c r="K1649" s="522">
        <f t="shared" si="813"/>
        <v>6550501.8477693321</v>
      </c>
      <c r="L1649" s="522">
        <f t="shared" si="813"/>
        <v>6550501.8477693321</v>
      </c>
      <c r="M1649" s="522">
        <f t="shared" si="813"/>
        <v>6550501.8477693321</v>
      </c>
      <c r="N1649" s="522">
        <f t="shared" si="813"/>
        <v>6550501.8477693321</v>
      </c>
      <c r="O1649" s="410" t="s">
        <v>2782</v>
      </c>
      <c r="Q1649" s="217">
        <f t="shared" si="812"/>
        <v>0</v>
      </c>
    </row>
    <row r="1650" spans="1:17" s="217" customFormat="1">
      <c r="A1650" s="217">
        <v>17</v>
      </c>
      <c r="B1650" s="10" t="s">
        <v>1279</v>
      </c>
      <c r="C1650" s="11" t="s">
        <v>899</v>
      </c>
      <c r="D1650" s="217">
        <f>IF(A1650=B1619,"New Revenue Adjustments",IF(AND(C1650=D1619,A1650&lt;B1619),"Attrition Necessary",0))</f>
        <v>0</v>
      </c>
      <c r="E1650" s="522">
        <f t="shared" si="813"/>
        <v>2941700.7475882685</v>
      </c>
      <c r="F1650" s="522">
        <f t="shared" si="813"/>
        <v>2941700.7475882685</v>
      </c>
      <c r="G1650" s="522">
        <f t="shared" si="813"/>
        <v>2941700.7475882685</v>
      </c>
      <c r="H1650" s="522">
        <f t="shared" si="813"/>
        <v>2941700.7475882685</v>
      </c>
      <c r="I1650" s="522">
        <f t="shared" si="813"/>
        <v>2941700.7475882685</v>
      </c>
      <c r="J1650" s="522">
        <f t="shared" si="813"/>
        <v>2941700.7475882685</v>
      </c>
      <c r="K1650" s="522">
        <f t="shared" si="813"/>
        <v>2941700.7475882685</v>
      </c>
      <c r="L1650" s="522">
        <f t="shared" si="813"/>
        <v>2941700.7475882685</v>
      </c>
      <c r="M1650" s="522">
        <f t="shared" si="813"/>
        <v>2941700.7475882685</v>
      </c>
      <c r="N1650" s="522">
        <f t="shared" si="813"/>
        <v>2941700.7475882685</v>
      </c>
      <c r="O1650" s="410" t="s">
        <v>2783</v>
      </c>
      <c r="Q1650" s="217">
        <f t="shared" si="812"/>
        <v>0</v>
      </c>
    </row>
    <row r="1651" spans="1:17" s="217" customFormat="1">
      <c r="A1651" s="217">
        <v>18</v>
      </c>
      <c r="B1651" s="10" t="s">
        <v>1279</v>
      </c>
      <c r="C1651" s="11" t="s">
        <v>900</v>
      </c>
      <c r="D1651" s="217">
        <f>IF(A1651=B1619,"New Revenue Adjustments",IF(AND(C1651=D1619,A1651&lt;B1619),"Attrition Necessary",0))</f>
        <v>0</v>
      </c>
      <c r="E1651" s="522">
        <f t="shared" si="813"/>
        <v>3595412.0248301052</v>
      </c>
      <c r="F1651" s="522">
        <f t="shared" si="813"/>
        <v>3595412.0248301052</v>
      </c>
      <c r="G1651" s="522">
        <f t="shared" si="813"/>
        <v>3595412.0248301052</v>
      </c>
      <c r="H1651" s="522">
        <f t="shared" si="813"/>
        <v>3595412.0248301052</v>
      </c>
      <c r="I1651" s="522">
        <f t="shared" si="813"/>
        <v>3595412.0248301052</v>
      </c>
      <c r="J1651" s="522">
        <f t="shared" si="813"/>
        <v>3595412.0248301052</v>
      </c>
      <c r="K1651" s="522">
        <f t="shared" si="813"/>
        <v>3595412.0248301052</v>
      </c>
      <c r="L1651" s="522">
        <f t="shared" si="813"/>
        <v>3595412.0248301052</v>
      </c>
      <c r="M1651" s="522">
        <f t="shared" si="813"/>
        <v>3595412.0248301052</v>
      </c>
      <c r="N1651" s="522">
        <f t="shared" si="813"/>
        <v>3595412.0248301052</v>
      </c>
      <c r="O1651" s="410" t="s">
        <v>2784</v>
      </c>
      <c r="Q1651" s="217">
        <f t="shared" si="812"/>
        <v>0</v>
      </c>
    </row>
    <row r="1652" spans="1:17" s="217" customFormat="1">
      <c r="A1652" s="217">
        <v>19</v>
      </c>
      <c r="B1652" s="10" t="s">
        <v>1279</v>
      </c>
      <c r="C1652" s="11" t="s">
        <v>901</v>
      </c>
      <c r="D1652" s="217">
        <f>IF(A1652=B1619,"New Revenue Adjustments",IF(AND(C1652=D1619,A1652&lt;B1619),"Attrition Necessary",0))</f>
        <v>0</v>
      </c>
      <c r="E1652" s="522">
        <f t="shared" si="813"/>
        <v>5556545.8565556193</v>
      </c>
      <c r="F1652" s="522">
        <f t="shared" si="813"/>
        <v>5556545.8565556193</v>
      </c>
      <c r="G1652" s="522">
        <f t="shared" si="813"/>
        <v>5556545.8565556193</v>
      </c>
      <c r="H1652" s="522">
        <f t="shared" si="813"/>
        <v>5556545.8565556193</v>
      </c>
      <c r="I1652" s="522">
        <f t="shared" si="813"/>
        <v>5556545.8565556193</v>
      </c>
      <c r="J1652" s="522">
        <f t="shared" si="813"/>
        <v>5556545.8565556193</v>
      </c>
      <c r="K1652" s="522">
        <f t="shared" si="813"/>
        <v>5556545.8565556193</v>
      </c>
      <c r="L1652" s="522">
        <f t="shared" si="813"/>
        <v>5556545.8565556193</v>
      </c>
      <c r="M1652" s="522">
        <f t="shared" si="813"/>
        <v>5556545.8565556193</v>
      </c>
      <c r="N1652" s="522">
        <f t="shared" si="813"/>
        <v>5556545.8565556193</v>
      </c>
      <c r="O1652" s="410" t="s">
        <v>2785</v>
      </c>
      <c r="Q1652" s="217">
        <f t="shared" si="812"/>
        <v>0</v>
      </c>
    </row>
    <row r="1653" spans="1:17" s="217" customFormat="1">
      <c r="A1653" s="217">
        <v>20</v>
      </c>
      <c r="B1653" s="10" t="s">
        <v>1279</v>
      </c>
      <c r="C1653" s="11" t="s">
        <v>902</v>
      </c>
      <c r="D1653" s="217" t="str">
        <f>IF(A1653=B1619,"New Revenue Adjustments",IF(AND(C1653=D1619,A1653&lt;B1619),"Attrition Necessary",0))</f>
        <v>Attrition Necessary</v>
      </c>
      <c r="E1653" s="522">
        <f t="shared" si="813"/>
        <v>8171390.9655229663</v>
      </c>
      <c r="F1653" s="522">
        <f t="shared" si="813"/>
        <v>8171390.9655229663</v>
      </c>
      <c r="G1653" s="522">
        <f t="shared" si="813"/>
        <v>8171390.9655229663</v>
      </c>
      <c r="H1653" s="522">
        <f t="shared" si="813"/>
        <v>8171390.9655229663</v>
      </c>
      <c r="I1653" s="522">
        <f t="shared" si="813"/>
        <v>8171390.9655229663</v>
      </c>
      <c r="J1653" s="522">
        <f t="shared" si="813"/>
        <v>8171390.9655229663</v>
      </c>
      <c r="K1653" s="522">
        <f t="shared" si="813"/>
        <v>8171390.9655229663</v>
      </c>
      <c r="L1653" s="522">
        <f t="shared" si="813"/>
        <v>8171390.9655229663</v>
      </c>
      <c r="M1653" s="522">
        <f t="shared" si="813"/>
        <v>8171390.9655229663</v>
      </c>
      <c r="N1653" s="522">
        <f t="shared" si="813"/>
        <v>8171390.9655229663</v>
      </c>
      <c r="O1653" s="410" t="s">
        <v>2786</v>
      </c>
      <c r="Q1653" s="217">
        <f t="shared" si="812"/>
        <v>0</v>
      </c>
    </row>
    <row r="1654" spans="1:17" s="217" customFormat="1">
      <c r="A1654" s="217">
        <v>21</v>
      </c>
      <c r="B1654" s="10" t="s">
        <v>2052</v>
      </c>
      <c r="C1654" s="11" t="s">
        <v>899</v>
      </c>
      <c r="D1654" s="217">
        <f>IF(A1654=B1619,"New Revenue Adjustments",IF(AND(C1654=D1619,A1654&lt;B1619),"Attrition Necessary",0))</f>
        <v>0</v>
      </c>
      <c r="E1654" s="522">
        <f t="shared" ref="E1654:N1665" si="814">IF($B$1619&gt;$A1654,INDEX(calcY4Q3RevFlow,$A1654,calcTeamNum)*(IF($D1654="Attrition Necessary",1-calcQ2AttritionDifference,1)*(IF($D1654="New Revenue Adjustments",1+calcY4Q4RevenueAdjustment,1))),INDEX(dataY4Q4Rev,$A1654,)*(IF($D1654="Attrition Necessary",1-calcQ2AttritionDifference,1))*(IF($D1654="New Revenue Adjustments",1+calcY4Q4RevenueAdjustment,1)))</f>
        <v>3229256.7766948342</v>
      </c>
      <c r="F1654" s="522">
        <f t="shared" si="814"/>
        <v>3229256.7766948342</v>
      </c>
      <c r="G1654" s="522">
        <f t="shared" si="814"/>
        <v>3229256.7766948342</v>
      </c>
      <c r="H1654" s="522">
        <f t="shared" si="814"/>
        <v>3229256.7766948342</v>
      </c>
      <c r="I1654" s="522">
        <f t="shared" si="814"/>
        <v>3229256.7766948342</v>
      </c>
      <c r="J1654" s="522">
        <f t="shared" si="814"/>
        <v>3229256.7766948342</v>
      </c>
      <c r="K1654" s="522">
        <f t="shared" si="814"/>
        <v>3229256.7766948342</v>
      </c>
      <c r="L1654" s="522">
        <f t="shared" si="814"/>
        <v>3229256.7766948342</v>
      </c>
      <c r="M1654" s="522">
        <f t="shared" si="814"/>
        <v>3229256.7766948342</v>
      </c>
      <c r="N1654" s="522">
        <f t="shared" si="814"/>
        <v>3229256.7766948342</v>
      </c>
      <c r="O1654" s="410" t="s">
        <v>2787</v>
      </c>
      <c r="Q1654" s="217">
        <f t="shared" si="812"/>
        <v>0</v>
      </c>
    </row>
    <row r="1655" spans="1:17" s="217" customFormat="1">
      <c r="A1655" s="217">
        <v>22</v>
      </c>
      <c r="B1655" s="10" t="s">
        <v>2052</v>
      </c>
      <c r="C1655" s="11" t="s">
        <v>900</v>
      </c>
      <c r="D1655" s="217">
        <f>IF(A1655=B1619,"New Revenue Adjustments",IF(AND(C1655=D1619,A1655&lt;B1619),"Attrition Necessary",0))</f>
        <v>0</v>
      </c>
      <c r="E1655" s="522">
        <f t="shared" si="814"/>
        <v>3946869.3937381296</v>
      </c>
      <c r="F1655" s="522">
        <f t="shared" si="814"/>
        <v>3946869.3937381296</v>
      </c>
      <c r="G1655" s="522">
        <f t="shared" si="814"/>
        <v>3946869.3937381296</v>
      </c>
      <c r="H1655" s="522">
        <f t="shared" si="814"/>
        <v>3946869.3937381296</v>
      </c>
      <c r="I1655" s="522">
        <f t="shared" si="814"/>
        <v>3946869.3937381296</v>
      </c>
      <c r="J1655" s="522">
        <f t="shared" si="814"/>
        <v>3946869.3937381296</v>
      </c>
      <c r="K1655" s="522">
        <f t="shared" si="814"/>
        <v>3946869.3937381296</v>
      </c>
      <c r="L1655" s="522">
        <f t="shared" si="814"/>
        <v>3946869.3937381296</v>
      </c>
      <c r="M1655" s="522">
        <f t="shared" si="814"/>
        <v>3946869.3937381296</v>
      </c>
      <c r="N1655" s="522">
        <f t="shared" si="814"/>
        <v>3946869.3937381296</v>
      </c>
      <c r="O1655" s="410" t="s">
        <v>2788</v>
      </c>
      <c r="Q1655" s="217">
        <f t="shared" si="812"/>
        <v>0</v>
      </c>
    </row>
    <row r="1656" spans="1:17" s="217" customFormat="1">
      <c r="A1656" s="217">
        <v>23</v>
      </c>
      <c r="B1656" s="10" t="s">
        <v>2052</v>
      </c>
      <c r="C1656" s="11" t="s">
        <v>901</v>
      </c>
      <c r="D1656" s="217">
        <f>IF(A1656=B1619,"New Revenue Adjustments",IF(AND(C1656=D1619,A1656&lt;B1619),"Attrition Necessary",0))</f>
        <v>0</v>
      </c>
      <c r="E1656" s="522">
        <f t="shared" si="814"/>
        <v>6099707.2448680205</v>
      </c>
      <c r="F1656" s="522">
        <f t="shared" si="814"/>
        <v>6099707.2448680205</v>
      </c>
      <c r="G1656" s="522">
        <f t="shared" si="814"/>
        <v>6099707.2448680205</v>
      </c>
      <c r="H1656" s="522">
        <f t="shared" si="814"/>
        <v>6099707.2448680205</v>
      </c>
      <c r="I1656" s="522">
        <f t="shared" si="814"/>
        <v>6099707.2448680205</v>
      </c>
      <c r="J1656" s="522">
        <f t="shared" si="814"/>
        <v>6099707.2448680205</v>
      </c>
      <c r="K1656" s="522">
        <f t="shared" si="814"/>
        <v>6099707.2448680205</v>
      </c>
      <c r="L1656" s="522">
        <f t="shared" si="814"/>
        <v>6099707.2448680205</v>
      </c>
      <c r="M1656" s="522">
        <f t="shared" si="814"/>
        <v>6099707.2448680205</v>
      </c>
      <c r="N1656" s="522">
        <f t="shared" si="814"/>
        <v>6099707.2448680205</v>
      </c>
      <c r="O1656" s="410" t="s">
        <v>2789</v>
      </c>
      <c r="Q1656" s="217">
        <f t="shared" si="812"/>
        <v>0</v>
      </c>
    </row>
    <row r="1657" spans="1:17" s="217" customFormat="1">
      <c r="A1657" s="217">
        <v>24</v>
      </c>
      <c r="B1657" s="10" t="s">
        <v>2052</v>
      </c>
      <c r="C1657" s="11" t="s">
        <v>902</v>
      </c>
      <c r="D1657" s="217" t="str">
        <f>IF(A1657=B1619,"New Revenue Adjustments",IF(AND(C1657=D1619,A1657&lt;B1619),"Attrition Necessary",0))</f>
        <v>Attrition Necessary</v>
      </c>
      <c r="E1657" s="522">
        <f t="shared" si="814"/>
        <v>8970157.7130412031</v>
      </c>
      <c r="F1657" s="522">
        <f t="shared" si="814"/>
        <v>8970157.7130412031</v>
      </c>
      <c r="G1657" s="522">
        <f t="shared" si="814"/>
        <v>8970157.7130412031</v>
      </c>
      <c r="H1657" s="522">
        <f t="shared" si="814"/>
        <v>8970157.7130412031</v>
      </c>
      <c r="I1657" s="522">
        <f t="shared" si="814"/>
        <v>8970157.7130412031</v>
      </c>
      <c r="J1657" s="522">
        <f t="shared" si="814"/>
        <v>8970157.7130412031</v>
      </c>
      <c r="K1657" s="522">
        <f t="shared" si="814"/>
        <v>8970157.7130412031</v>
      </c>
      <c r="L1657" s="522">
        <f t="shared" si="814"/>
        <v>8970157.7130412031</v>
      </c>
      <c r="M1657" s="522">
        <f t="shared" si="814"/>
        <v>8970157.7130412031</v>
      </c>
      <c r="N1657" s="522">
        <f t="shared" si="814"/>
        <v>8970157.7130412031</v>
      </c>
      <c r="O1657" s="410" t="s">
        <v>2790</v>
      </c>
      <c r="Q1657" s="217">
        <f t="shared" si="812"/>
        <v>0</v>
      </c>
    </row>
    <row r="1658" spans="1:17" s="217" customFormat="1">
      <c r="A1658" s="217">
        <v>25</v>
      </c>
      <c r="B1658" s="10" t="s">
        <v>2408</v>
      </c>
      <c r="C1658" s="11" t="s">
        <v>899</v>
      </c>
      <c r="D1658" s="217">
        <f>IF(A1658=B1619,"New Revenue Adjustments",IF(AND(C1658=D1619,A1658&lt;B1619),"Attrition Necessary",0))</f>
        <v>0</v>
      </c>
      <c r="E1658" s="522">
        <f t="shared" si="814"/>
        <v>3464355.4687500005</v>
      </c>
      <c r="F1658" s="522">
        <f t="shared" si="814"/>
        <v>3464355.4687500005</v>
      </c>
      <c r="G1658" s="522">
        <f t="shared" si="814"/>
        <v>3464355.4687500005</v>
      </c>
      <c r="H1658" s="522">
        <f t="shared" si="814"/>
        <v>3464355.4687500005</v>
      </c>
      <c r="I1658" s="522">
        <f t="shared" si="814"/>
        <v>3464355.4687500005</v>
      </c>
      <c r="J1658" s="522">
        <f t="shared" si="814"/>
        <v>3464355.4687500005</v>
      </c>
      <c r="K1658" s="522">
        <f t="shared" si="814"/>
        <v>3464355.4687500005</v>
      </c>
      <c r="L1658" s="522">
        <f t="shared" si="814"/>
        <v>3464355.4687500005</v>
      </c>
      <c r="M1658" s="522">
        <f t="shared" si="814"/>
        <v>3464355.4687500005</v>
      </c>
      <c r="N1658" s="522">
        <f t="shared" si="814"/>
        <v>3464355.4687500005</v>
      </c>
      <c r="O1658" s="410" t="s">
        <v>2791</v>
      </c>
      <c r="Q1658" s="217">
        <f t="shared" si="812"/>
        <v>0</v>
      </c>
    </row>
    <row r="1659" spans="1:17" s="217" customFormat="1">
      <c r="A1659" s="217">
        <v>26</v>
      </c>
      <c r="B1659" s="10" t="s">
        <v>2408</v>
      </c>
      <c r="C1659" s="11" t="s">
        <v>900</v>
      </c>
      <c r="D1659" s="217">
        <f>IF(A1659=B1619,"New Revenue Adjustments",IF(AND(C1659=D1619,A1659&lt;B1619),"Attrition Necessary",0))</f>
        <v>0</v>
      </c>
      <c r="E1659" s="522">
        <f t="shared" si="814"/>
        <v>4234212.239583333</v>
      </c>
      <c r="F1659" s="522">
        <f t="shared" si="814"/>
        <v>4234212.239583333</v>
      </c>
      <c r="G1659" s="522">
        <f t="shared" si="814"/>
        <v>4234212.239583333</v>
      </c>
      <c r="H1659" s="522">
        <f t="shared" si="814"/>
        <v>4234212.239583333</v>
      </c>
      <c r="I1659" s="522">
        <f t="shared" si="814"/>
        <v>4234212.239583333</v>
      </c>
      <c r="J1659" s="522">
        <f t="shared" si="814"/>
        <v>4234212.239583333</v>
      </c>
      <c r="K1659" s="522">
        <f t="shared" si="814"/>
        <v>4234212.239583333</v>
      </c>
      <c r="L1659" s="522">
        <f t="shared" si="814"/>
        <v>4234212.239583333</v>
      </c>
      <c r="M1659" s="522">
        <f t="shared" si="814"/>
        <v>4234212.239583333</v>
      </c>
      <c r="N1659" s="522">
        <f t="shared" si="814"/>
        <v>4234212.239583333</v>
      </c>
      <c r="O1659" s="410" t="s">
        <v>2792</v>
      </c>
      <c r="Q1659" s="217">
        <f t="shared" si="812"/>
        <v>0</v>
      </c>
    </row>
    <row r="1660" spans="1:17" s="217" customFormat="1">
      <c r="A1660" s="217">
        <v>27</v>
      </c>
      <c r="B1660" s="10" t="s">
        <v>2408</v>
      </c>
      <c r="C1660" s="11" t="s">
        <v>901</v>
      </c>
      <c r="D1660" s="217">
        <f>IF(A1660=B1619,"New Revenue Adjustments",IF(AND(C1660=D1619,A1660&lt;B1619),"Attrition Necessary",0))</f>
        <v>0</v>
      </c>
      <c r="E1660" s="522">
        <f t="shared" si="814"/>
        <v>6543782.5520833349</v>
      </c>
      <c r="F1660" s="522">
        <f t="shared" si="814"/>
        <v>6543782.5520833349</v>
      </c>
      <c r="G1660" s="522">
        <f t="shared" si="814"/>
        <v>6543782.5520833349</v>
      </c>
      <c r="H1660" s="522">
        <f t="shared" si="814"/>
        <v>6543782.5520833349</v>
      </c>
      <c r="I1660" s="522">
        <f t="shared" si="814"/>
        <v>6543782.5520833349</v>
      </c>
      <c r="J1660" s="522">
        <f t="shared" si="814"/>
        <v>6543782.5520833349</v>
      </c>
      <c r="K1660" s="522">
        <f t="shared" si="814"/>
        <v>6543782.5520833349</v>
      </c>
      <c r="L1660" s="522">
        <f t="shared" si="814"/>
        <v>6543782.5520833349</v>
      </c>
      <c r="M1660" s="522">
        <f t="shared" si="814"/>
        <v>6543782.5520833349</v>
      </c>
      <c r="N1660" s="522">
        <f t="shared" si="814"/>
        <v>6543782.5520833349</v>
      </c>
      <c r="O1660" s="410" t="s">
        <v>2793</v>
      </c>
      <c r="Q1660" s="217">
        <f t="shared" si="812"/>
        <v>0</v>
      </c>
    </row>
    <row r="1661" spans="1:17" s="217" customFormat="1">
      <c r="A1661" s="217">
        <v>28</v>
      </c>
      <c r="B1661" s="10" t="s">
        <v>2408</v>
      </c>
      <c r="C1661" s="11" t="s">
        <v>902</v>
      </c>
      <c r="D1661" s="217" t="str">
        <f>IF(A1661=B1619,"New Revenue Adjustments",IF(AND(C1661=D1619,A1661&lt;B1619),"Attrition Necessary",0))</f>
        <v>New Revenue Adjustments</v>
      </c>
      <c r="E1661" s="522">
        <f t="shared" si="814"/>
        <v>9623209.635416666</v>
      </c>
      <c r="F1661" s="522">
        <f t="shared" si="814"/>
        <v>9623209.635416666</v>
      </c>
      <c r="G1661" s="522">
        <f t="shared" si="814"/>
        <v>9623209.635416666</v>
      </c>
      <c r="H1661" s="522">
        <f t="shared" si="814"/>
        <v>9623209.635416666</v>
      </c>
      <c r="I1661" s="522">
        <f t="shared" si="814"/>
        <v>9623209.635416666</v>
      </c>
      <c r="J1661" s="522">
        <f t="shared" si="814"/>
        <v>9623209.635416666</v>
      </c>
      <c r="K1661" s="522">
        <f t="shared" si="814"/>
        <v>9623209.635416666</v>
      </c>
      <c r="L1661" s="522">
        <f t="shared" si="814"/>
        <v>9623209.635416666</v>
      </c>
      <c r="M1661" s="522">
        <f t="shared" si="814"/>
        <v>9623209.635416666</v>
      </c>
      <c r="N1661" s="522">
        <f t="shared" si="814"/>
        <v>9623209.635416666</v>
      </c>
      <c r="O1661" s="410" t="s">
        <v>2794</v>
      </c>
      <c r="Q1661" s="217">
        <f t="shared" si="812"/>
        <v>0</v>
      </c>
    </row>
    <row r="1662" spans="1:17" s="217" customFormat="1">
      <c r="A1662" s="217">
        <v>29</v>
      </c>
      <c r="B1662" s="10" t="s">
        <v>2413</v>
      </c>
      <c r="C1662" s="11" t="s">
        <v>899</v>
      </c>
      <c r="D1662" s="217">
        <f>IF(A1662=B1619,"New Revenue Adjustments",IF(AND(C1662=D1619,A1662&lt;B1619),"Attrition Necessary",0))</f>
        <v>0</v>
      </c>
      <c r="E1662" s="522">
        <f t="shared" si="814"/>
        <v>0</v>
      </c>
      <c r="F1662" s="522">
        <f t="shared" si="814"/>
        <v>0</v>
      </c>
      <c r="G1662" s="522">
        <f t="shared" si="814"/>
        <v>0</v>
      </c>
      <c r="H1662" s="522">
        <f t="shared" si="814"/>
        <v>0</v>
      </c>
      <c r="I1662" s="522">
        <f t="shared" si="814"/>
        <v>0</v>
      </c>
      <c r="J1662" s="522">
        <f t="shared" si="814"/>
        <v>0</v>
      </c>
      <c r="K1662" s="522">
        <f t="shared" si="814"/>
        <v>0</v>
      </c>
      <c r="L1662" s="522">
        <f t="shared" si="814"/>
        <v>0</v>
      </c>
      <c r="M1662" s="522">
        <f t="shared" si="814"/>
        <v>0</v>
      </c>
      <c r="N1662" s="522">
        <f t="shared" si="814"/>
        <v>0</v>
      </c>
      <c r="O1662" s="410" t="s">
        <v>2795</v>
      </c>
    </row>
    <row r="1663" spans="1:17" s="217" customFormat="1">
      <c r="A1663" s="217">
        <v>30</v>
      </c>
      <c r="B1663" s="10" t="s">
        <v>2413</v>
      </c>
      <c r="C1663" s="11" t="s">
        <v>900</v>
      </c>
      <c r="D1663" s="217">
        <f>IF(A1663=B1619,"New Revenue Adjustments",IF(AND(C1663=D1619,A1663&lt;B1619),"Attrition Necessary",0))</f>
        <v>0</v>
      </c>
      <c r="E1663" s="522">
        <f t="shared" si="814"/>
        <v>0</v>
      </c>
      <c r="F1663" s="522">
        <f t="shared" si="814"/>
        <v>0</v>
      </c>
      <c r="G1663" s="522">
        <f t="shared" si="814"/>
        <v>0</v>
      </c>
      <c r="H1663" s="522">
        <f t="shared" si="814"/>
        <v>0</v>
      </c>
      <c r="I1663" s="522">
        <f t="shared" si="814"/>
        <v>0</v>
      </c>
      <c r="J1663" s="522">
        <f t="shared" si="814"/>
        <v>0</v>
      </c>
      <c r="K1663" s="522">
        <f t="shared" si="814"/>
        <v>0</v>
      </c>
      <c r="L1663" s="522">
        <f t="shared" si="814"/>
        <v>0</v>
      </c>
      <c r="M1663" s="522">
        <f t="shared" si="814"/>
        <v>0</v>
      </c>
      <c r="N1663" s="522">
        <f t="shared" si="814"/>
        <v>0</v>
      </c>
      <c r="O1663" s="410" t="s">
        <v>2796</v>
      </c>
    </row>
    <row r="1664" spans="1:17" s="217" customFormat="1">
      <c r="A1664" s="217">
        <v>31</v>
      </c>
      <c r="B1664" s="10" t="s">
        <v>2413</v>
      </c>
      <c r="C1664" s="11" t="s">
        <v>901</v>
      </c>
      <c r="D1664" s="217">
        <f>IF(A1664=B1619,"New Revenue Adjustments",IF(AND(C1664=D1619,A1664&lt;B1619),"Attrition Necessary",0))</f>
        <v>0</v>
      </c>
      <c r="E1664" s="522">
        <f t="shared" si="814"/>
        <v>0</v>
      </c>
      <c r="F1664" s="522">
        <f t="shared" si="814"/>
        <v>0</v>
      </c>
      <c r="G1664" s="522">
        <f t="shared" si="814"/>
        <v>0</v>
      </c>
      <c r="H1664" s="522">
        <f t="shared" si="814"/>
        <v>0</v>
      </c>
      <c r="I1664" s="522">
        <f t="shared" si="814"/>
        <v>0</v>
      </c>
      <c r="J1664" s="522">
        <f t="shared" si="814"/>
        <v>0</v>
      </c>
      <c r="K1664" s="522">
        <f t="shared" si="814"/>
        <v>0</v>
      </c>
      <c r="L1664" s="522">
        <f t="shared" si="814"/>
        <v>0</v>
      </c>
      <c r="M1664" s="522">
        <f t="shared" si="814"/>
        <v>0</v>
      </c>
      <c r="N1664" s="522">
        <f t="shared" si="814"/>
        <v>0</v>
      </c>
      <c r="O1664" s="410" t="s">
        <v>2797</v>
      </c>
    </row>
    <row r="1665" spans="1:17" s="217" customFormat="1">
      <c r="A1665" s="217">
        <v>32</v>
      </c>
      <c r="B1665" s="10" t="s">
        <v>2413</v>
      </c>
      <c r="C1665" s="11" t="s">
        <v>902</v>
      </c>
      <c r="D1665" s="217">
        <f>IF(A1665=B1619,"New Revenue Adjustments",IF(AND(C1665=D1619,A1665&lt;B1619),"Attrition Necessary",0))</f>
        <v>0</v>
      </c>
      <c r="E1665" s="522">
        <f t="shared" si="814"/>
        <v>0</v>
      </c>
      <c r="F1665" s="522">
        <f t="shared" si="814"/>
        <v>0</v>
      </c>
      <c r="G1665" s="522">
        <f t="shared" si="814"/>
        <v>0</v>
      </c>
      <c r="H1665" s="522">
        <f t="shared" si="814"/>
        <v>0</v>
      </c>
      <c r="I1665" s="522">
        <f t="shared" si="814"/>
        <v>0</v>
      </c>
      <c r="J1665" s="522">
        <f t="shared" si="814"/>
        <v>0</v>
      </c>
      <c r="K1665" s="522">
        <f t="shared" si="814"/>
        <v>0</v>
      </c>
      <c r="L1665" s="522">
        <f t="shared" si="814"/>
        <v>0</v>
      </c>
      <c r="M1665" s="522">
        <f t="shared" si="814"/>
        <v>0</v>
      </c>
      <c r="N1665" s="522">
        <f t="shared" si="814"/>
        <v>0</v>
      </c>
      <c r="O1665" s="410" t="s">
        <v>2798</v>
      </c>
    </row>
    <row r="1666" spans="1:17" s="217" customFormat="1">
      <c r="D1666" s="217" t="s">
        <v>910</v>
      </c>
      <c r="E1666" s="427">
        <f>SUM(E1634:E1665)</f>
        <v>111461658.09256917</v>
      </c>
      <c r="F1666" s="427">
        <f t="shared" ref="F1666" si="815">SUM(F1634:F1665)</f>
        <v>111461658.09256917</v>
      </c>
      <c r="G1666" s="427">
        <f t="shared" ref="G1666" si="816">SUM(G1634:G1665)</f>
        <v>111461658.09256917</v>
      </c>
      <c r="H1666" s="427">
        <f t="shared" ref="H1666" si="817">SUM(H1634:H1665)</f>
        <v>111461658.09256917</v>
      </c>
      <c r="I1666" s="427">
        <f t="shared" ref="I1666:N1666" si="818">SUM(I1634:I1665)</f>
        <v>111461658.09256917</v>
      </c>
      <c r="J1666" s="427">
        <f t="shared" si="818"/>
        <v>111461658.09256917</v>
      </c>
      <c r="K1666" s="427">
        <f t="shared" si="818"/>
        <v>111461658.09256917</v>
      </c>
      <c r="L1666" s="427">
        <f t="shared" si="818"/>
        <v>111461658.09256917</v>
      </c>
      <c r="M1666" s="427">
        <f t="shared" si="818"/>
        <v>111461658.09256917</v>
      </c>
      <c r="N1666" s="427">
        <f t="shared" si="818"/>
        <v>111461658.09256917</v>
      </c>
      <c r="O1666" s="217" t="s">
        <v>2799</v>
      </c>
    </row>
    <row r="1669" spans="1:17" s="473" customFormat="1">
      <c r="A1669" s="473" t="s">
        <v>2413</v>
      </c>
    </row>
    <row r="1670" spans="1:17">
      <c r="E1670" s="357"/>
      <c r="F1670" s="357"/>
      <c r="G1670" s="357"/>
      <c r="H1670" s="357"/>
      <c r="I1670" s="357"/>
      <c r="J1670" s="357"/>
      <c r="K1670" s="357"/>
      <c r="L1670" s="357"/>
      <c r="M1670" s="357"/>
      <c r="N1670" s="357"/>
    </row>
    <row r="1671" spans="1:17">
      <c r="A1671" s="217"/>
      <c r="B1671" s="69">
        <v>29</v>
      </c>
      <c r="C1671" s="217" t="s">
        <v>2413</v>
      </c>
      <c r="D1671" s="217" t="s">
        <v>899</v>
      </c>
    </row>
    <row r="1672" spans="1:17" s="217" customFormat="1">
      <c r="C1672" s="217" t="s">
        <v>1736</v>
      </c>
      <c r="E1672" s="409"/>
      <c r="F1672" s="409"/>
      <c r="G1672" s="409"/>
      <c r="H1672" s="409"/>
      <c r="I1672" s="409"/>
      <c r="J1672" s="409"/>
      <c r="K1672" s="409"/>
      <c r="L1672" s="409"/>
      <c r="M1672" s="409"/>
      <c r="N1672" s="409"/>
    </row>
    <row r="1673" spans="1:17" s="410" customFormat="1">
      <c r="D1673" s="410" t="s">
        <v>1754</v>
      </c>
      <c r="E1673" s="547">
        <f t="shared" ref="E1673:N1673" si="819">FORECAST(calcNPS,datatblNPSAttrition,datatblNPSScore)</f>
        <v>0.14946428571428572</v>
      </c>
      <c r="F1673" s="547">
        <f t="shared" si="819"/>
        <v>0.14946428571428572</v>
      </c>
      <c r="G1673" s="547">
        <f t="shared" si="819"/>
        <v>0.14946428571428572</v>
      </c>
      <c r="H1673" s="547">
        <f t="shared" si="819"/>
        <v>0.14946428571428572</v>
      </c>
      <c r="I1673" s="547">
        <f t="shared" si="819"/>
        <v>0.14946428571428572</v>
      </c>
      <c r="J1673" s="547">
        <f t="shared" si="819"/>
        <v>0.14946428571428572</v>
      </c>
      <c r="K1673" s="547">
        <f t="shared" si="819"/>
        <v>0.14946428571428572</v>
      </c>
      <c r="L1673" s="547">
        <f t="shared" si="819"/>
        <v>0.14946428571428572</v>
      </c>
      <c r="M1673" s="547">
        <f t="shared" si="819"/>
        <v>0.14946428571428572</v>
      </c>
      <c r="N1673" s="547">
        <f t="shared" si="819"/>
        <v>0.14946428571428572</v>
      </c>
    </row>
    <row r="1674" spans="1:17" s="410" customFormat="1">
      <c r="D1674" s="410" t="s">
        <v>1753</v>
      </c>
      <c r="E1674" s="547">
        <f>Data!$D$277</f>
        <v>0.1515124491492886</v>
      </c>
      <c r="F1674" s="547">
        <f>Data!$D$277</f>
        <v>0.1515124491492886</v>
      </c>
      <c r="G1674" s="547">
        <f>Data!$D$277</f>
        <v>0.1515124491492886</v>
      </c>
      <c r="H1674" s="547">
        <f>Data!$D$277</f>
        <v>0.1515124491492886</v>
      </c>
      <c r="I1674" s="547">
        <f>Data!$D$277</f>
        <v>0.1515124491492886</v>
      </c>
      <c r="J1674" s="547">
        <f>Data!$D$277</f>
        <v>0.1515124491492886</v>
      </c>
      <c r="K1674" s="547">
        <f>Data!$D$277</f>
        <v>0.1515124491492886</v>
      </c>
      <c r="L1674" s="547">
        <f>Data!$D$277</f>
        <v>0.1515124491492886</v>
      </c>
      <c r="M1674" s="547">
        <f>Data!$D$277</f>
        <v>0.1515124491492886</v>
      </c>
      <c r="N1674" s="547">
        <f>Data!$D$277</f>
        <v>0.1515124491492886</v>
      </c>
    </row>
    <row r="1675" spans="1:17" s="217" customFormat="1">
      <c r="D1675" s="217" t="s">
        <v>1755</v>
      </c>
      <c r="E1675" s="411">
        <f>E1673-E1674</f>
        <v>-2.0481634350028866E-3</v>
      </c>
      <c r="F1675" s="411">
        <f t="shared" ref="F1675" si="820">F1673-F1674</f>
        <v>-2.0481634350028866E-3</v>
      </c>
      <c r="G1675" s="411">
        <f t="shared" ref="G1675" si="821">G1673-G1674</f>
        <v>-2.0481634350028866E-3</v>
      </c>
      <c r="H1675" s="411">
        <f t="shared" ref="H1675" si="822">H1673-H1674</f>
        <v>-2.0481634350028866E-3</v>
      </c>
      <c r="I1675" s="411">
        <f t="shared" ref="I1675:N1675" si="823">I1673-I1674</f>
        <v>-2.0481634350028866E-3</v>
      </c>
      <c r="J1675" s="411">
        <f t="shared" si="823"/>
        <v>-2.0481634350028866E-3</v>
      </c>
      <c r="K1675" s="411">
        <f t="shared" si="823"/>
        <v>-2.0481634350028866E-3</v>
      </c>
      <c r="L1675" s="411">
        <f t="shared" si="823"/>
        <v>-2.0481634350028866E-3</v>
      </c>
      <c r="M1675" s="411">
        <f t="shared" si="823"/>
        <v>-2.0481634350028866E-3</v>
      </c>
      <c r="N1675" s="411">
        <f t="shared" si="823"/>
        <v>-2.0481634350028866E-3</v>
      </c>
      <c r="O1675" s="217" t="s">
        <v>2905</v>
      </c>
    </row>
    <row r="1676" spans="1:17" s="217" customFormat="1">
      <c r="C1676" s="217" t="s">
        <v>1757</v>
      </c>
      <c r="E1676" s="411"/>
      <c r="F1676" s="411"/>
      <c r="G1676" s="411"/>
      <c r="H1676" s="411"/>
      <c r="I1676" s="411"/>
      <c r="J1676" s="411"/>
      <c r="K1676" s="411"/>
      <c r="L1676" s="411"/>
      <c r="M1676" s="411"/>
      <c r="N1676" s="411"/>
    </row>
    <row r="1677" spans="1:17">
      <c r="D1677" s="69" t="s">
        <v>1151</v>
      </c>
      <c r="E1677" s="425">
        <f>IF(calcOrg62Timeline&lt;=$Q1677,INDEX(datatblOrg62Timeline,MATCH(decGTMOrg62Timeline,Data!$C$106:$C$111,0),2),0)*paramOrg62Impacts</f>
        <v>0</v>
      </c>
      <c r="F1677" s="425">
        <f>IF(calcOrg62Timeline&lt;=$Q1677,INDEX(datatblOrg62Timeline,MATCH(decGTMOrg62Timeline,Data!$C$106:$C$111,0),2),0)*paramOrg62Impacts</f>
        <v>0</v>
      </c>
      <c r="G1677" s="425">
        <f>IF(calcOrg62Timeline&lt;=$Q1677,INDEX(datatblOrg62Timeline,MATCH(decGTMOrg62Timeline,Data!$C$106:$C$111,0),2),0)*paramOrg62Impacts</f>
        <v>0</v>
      </c>
      <c r="H1677" s="425">
        <f>IF(calcOrg62Timeline&lt;=$Q1677,INDEX(datatblOrg62Timeline,MATCH(decGTMOrg62Timeline,Data!$C$106:$C$111,0),2),0)*paramOrg62Impacts</f>
        <v>0</v>
      </c>
      <c r="I1677" s="425">
        <f>IF(calcOrg62Timeline&lt;=$Q1677,INDEX(datatblOrg62Timeline,MATCH(decGTMOrg62Timeline,Data!$C$106:$C$111,0),2),0)*paramOrg62Impacts</f>
        <v>0</v>
      </c>
      <c r="J1677" s="425">
        <f>IF(calcOrg62Timeline&lt;=$Q1677,INDEX(datatblOrg62Timeline,MATCH(decGTMOrg62Timeline,Data!$C$106:$C$111,0),2),0)*paramOrg62Impacts</f>
        <v>0</v>
      </c>
      <c r="K1677" s="425">
        <f>IF(calcOrg62Timeline&lt;=$Q1677,INDEX(datatblOrg62Timeline,MATCH(decGTMOrg62Timeline,Data!$C$106:$C$111,0),2),0)*paramOrg62Impacts</f>
        <v>0</v>
      </c>
      <c r="L1677" s="425">
        <f>IF(calcOrg62Timeline&lt;=$Q1677,INDEX(datatblOrg62Timeline,MATCH(decGTMOrg62Timeline,Data!$C$106:$C$111,0),2),0)*paramOrg62Impacts</f>
        <v>0</v>
      </c>
      <c r="M1677" s="425">
        <f>IF(calcOrg62Timeline&lt;=$Q1677,INDEX(datatblOrg62Timeline,MATCH(decGTMOrg62Timeline,Data!$C$106:$C$111,0),2),0)*paramOrg62Impacts</f>
        <v>0</v>
      </c>
      <c r="N1677" s="425">
        <f>IF(calcOrg62Timeline&lt;=$Q1677,INDEX(datatblOrg62Timeline,MATCH(decGTMOrg62Timeline,Data!$C$106:$C$111,0),2),0)*paramOrg62Impacts</f>
        <v>0</v>
      </c>
      <c r="Q1677" s="69">
        <v>24</v>
      </c>
    </row>
    <row r="1678" spans="1:17">
      <c r="D1678" s="69" t="s">
        <v>507</v>
      </c>
      <c r="E1678" s="425">
        <f>IF(calcProductTimeline&lt;=$Q1678,INDEX(datatblStackFocusImpact,MATCH(decProductStackFocus,Data!$C$96:$C$101,0),2),0)+paramACVGrowthStack</f>
        <v>0</v>
      </c>
      <c r="F1678" s="425">
        <f>IF(calcProductTimeline&lt;=$Q1678,INDEX(datatblStackFocusImpact,MATCH(decProductStackFocus,Data!$C$96:$C$101,0),2),0)+paramACVGrowthStack</f>
        <v>0</v>
      </c>
      <c r="G1678" s="425">
        <f>IF(calcProductTimeline&lt;=$Q1678,INDEX(datatblStackFocusImpact,MATCH(decProductStackFocus,Data!$C$96:$C$101,0),2),0)+paramACVGrowthStack</f>
        <v>0</v>
      </c>
      <c r="H1678" s="425">
        <f>IF(calcProductTimeline&lt;=$Q1678,INDEX(datatblStackFocusImpact,MATCH(decProductStackFocus,Data!$C$96:$C$101,0),2),0)+paramACVGrowthStack</f>
        <v>0</v>
      </c>
      <c r="I1678" s="425">
        <f>IF(calcProductTimeline&lt;=$Q1678,INDEX(datatblStackFocusImpact,MATCH(decProductStackFocus,Data!$C$96:$C$101,0),2),0)+paramACVGrowthStack</f>
        <v>0</v>
      </c>
      <c r="J1678" s="425">
        <f>IF(calcProductTimeline&lt;=$Q1678,INDEX(datatblStackFocusImpact,MATCH(decProductStackFocus,Data!$C$96:$C$101,0),2),0)+paramACVGrowthStack</f>
        <v>0</v>
      </c>
      <c r="K1678" s="425">
        <f>IF(calcProductTimeline&lt;=$Q1678,INDEX(datatblStackFocusImpact,MATCH(decProductStackFocus,Data!$C$96:$C$101,0),2),0)+paramACVGrowthStack</f>
        <v>0</v>
      </c>
      <c r="L1678" s="425">
        <f>IF(calcProductTimeline&lt;=$Q1678,INDEX(datatblStackFocusImpact,MATCH(decProductStackFocus,Data!$C$96:$C$101,0),2),0)+paramACVGrowthStack</f>
        <v>0</v>
      </c>
      <c r="M1678" s="425">
        <f>IF(calcProductTimeline&lt;=$Q1678,INDEX(datatblStackFocusImpact,MATCH(decProductStackFocus,Data!$C$96:$C$101,0),2),0)+paramACVGrowthStack</f>
        <v>0</v>
      </c>
      <c r="N1678" s="425">
        <f>IF(calcProductTimeline&lt;=$Q1678,INDEX(datatblStackFocusImpact,MATCH(decProductStackFocus,Data!$C$96:$C$101,0),2),0)+paramACVGrowthStack</f>
        <v>0</v>
      </c>
      <c r="Q1678" s="69">
        <f>Q1677</f>
        <v>24</v>
      </c>
    </row>
    <row r="1679" spans="1:17">
      <c r="D1679" s="69" t="s">
        <v>2237</v>
      </c>
      <c r="E1679" s="425">
        <f>IF(calcExternalSalesTimeline&lt;=$Q1679,INDEX(datatblExternalSalesImpact,MATCH(decGTMExternalSales,Data!$C$85:$C$90,0),2),0)</f>
        <v>0</v>
      </c>
      <c r="F1679" s="425">
        <f>IF(calcExternalSalesTimeline&lt;=$Q1679,INDEX(datatblExternalSalesImpact,MATCH(decGTMExternalSales,Data!$C$85:$C$90,0),2),0)</f>
        <v>0</v>
      </c>
      <c r="G1679" s="425">
        <f>IF(calcExternalSalesTimeline&lt;=$Q1679,INDEX(datatblExternalSalesImpact,MATCH(decGTMExternalSales,Data!$C$85:$C$90,0),2),0)</f>
        <v>0</v>
      </c>
      <c r="H1679" s="425">
        <f>IF(calcExternalSalesTimeline&lt;=$Q1679,INDEX(datatblExternalSalesImpact,MATCH(decGTMExternalSales,Data!$C$85:$C$90,0),2),0)</f>
        <v>0</v>
      </c>
      <c r="I1679" s="425">
        <f>IF(calcExternalSalesTimeline&lt;=$Q1679,INDEX(datatblExternalSalesImpact,MATCH(decGTMExternalSales,Data!$C$85:$C$90,0),2),0)</f>
        <v>0</v>
      </c>
      <c r="J1679" s="425">
        <f>IF(calcExternalSalesTimeline&lt;=$Q1679,INDEX(datatblExternalSalesImpact,MATCH(decGTMExternalSales,Data!$C$85:$C$90,0),2),0)</f>
        <v>0</v>
      </c>
      <c r="K1679" s="425">
        <f>IF(calcExternalSalesTimeline&lt;=$Q1679,INDEX(datatblExternalSalesImpact,MATCH(decGTMExternalSales,Data!$C$85:$C$90,0),2),0)</f>
        <v>0</v>
      </c>
      <c r="L1679" s="425">
        <f>IF(calcExternalSalesTimeline&lt;=$Q1679,INDEX(datatblExternalSalesImpact,MATCH(decGTMExternalSales,Data!$C$85:$C$90,0),2),0)</f>
        <v>0</v>
      </c>
      <c r="M1679" s="425">
        <f>IF(calcExternalSalesTimeline&lt;=$Q1679,INDEX(datatblExternalSalesImpact,MATCH(decGTMExternalSales,Data!$C$85:$C$90,0),2),0)</f>
        <v>0</v>
      </c>
      <c r="N1679" s="425">
        <f>IF(calcExternalSalesTimeline&lt;=$Q1679,INDEX(datatblExternalSalesImpact,MATCH(decGTMExternalSales,Data!$C$85:$C$90,0),2),0)</f>
        <v>0</v>
      </c>
      <c r="O1679" s="482">
        <v>0.05</v>
      </c>
      <c r="P1679" s="482">
        <v>-0.05</v>
      </c>
      <c r="Q1679" s="69">
        <f>Q1678</f>
        <v>24</v>
      </c>
    </row>
    <row r="1680" spans="1:17">
      <c r="D1680" s="69" t="s">
        <v>2284</v>
      </c>
      <c r="E1680" s="425">
        <f>IF(calcCSGTimeline&lt;=$Q1680,INDEX(datatblCSGPostSales,MATCH(decGTMCSGPostSales,Data!$C$204:$C$209,0),3),0)</f>
        <v>0</v>
      </c>
      <c r="F1680" s="425">
        <f>IF(calcCSGTimeline&lt;=$Q1680,INDEX(datatblCSGPostSales,MATCH(decGTMCSGPostSales,Data!$C$204:$C$209,0),3),0)</f>
        <v>0</v>
      </c>
      <c r="G1680" s="425">
        <f>IF(calcCSGTimeline&lt;=$Q1680,INDEX(datatblCSGPostSales,MATCH(decGTMCSGPostSales,Data!$C$204:$C$209,0),3),0)</f>
        <v>0</v>
      </c>
      <c r="H1680" s="425">
        <f>IF(calcCSGTimeline&lt;=$Q1680,INDEX(datatblCSGPostSales,MATCH(decGTMCSGPostSales,Data!$C$204:$C$209,0),3),0)</f>
        <v>0</v>
      </c>
      <c r="I1680" s="425">
        <f>IF(calcCSGTimeline&lt;=$Q1680,INDEX(datatblCSGPostSales,MATCH(decGTMCSGPostSales,Data!$C$204:$C$209,0),3),0)</f>
        <v>0</v>
      </c>
      <c r="J1680" s="425">
        <f>IF(calcCSGTimeline&lt;=$Q1680,INDEX(datatblCSGPostSales,MATCH(decGTMCSGPostSales,Data!$C$204:$C$209,0),3),0)</f>
        <v>0</v>
      </c>
      <c r="K1680" s="425">
        <f>IF(calcCSGTimeline&lt;=$Q1680,INDEX(datatblCSGPostSales,MATCH(decGTMCSGPostSales,Data!$C$204:$C$209,0),3),0)</f>
        <v>0</v>
      </c>
      <c r="L1680" s="425">
        <f>IF(calcCSGTimeline&lt;=$Q1680,INDEX(datatblCSGPostSales,MATCH(decGTMCSGPostSales,Data!$C$204:$C$209,0),3),0)</f>
        <v>0</v>
      </c>
      <c r="M1680" s="425">
        <f>IF(calcCSGTimeline&lt;=$Q1680,INDEX(datatblCSGPostSales,MATCH(decGTMCSGPostSales,Data!$C$204:$C$209,0),3),0)</f>
        <v>0</v>
      </c>
      <c r="N1680" s="425">
        <f>IF(calcCSGTimeline&lt;=$Q1680,INDEX(datatblCSGPostSales,MATCH(decGTMCSGPostSales,Data!$C$204:$C$209,0),3),0)</f>
        <v>0</v>
      </c>
      <c r="O1680" s="482"/>
      <c r="P1680" s="482"/>
      <c r="Q1680" s="69">
        <f>Q1679</f>
        <v>24</v>
      </c>
    </row>
    <row r="1681" spans="1:18">
      <c r="D1681" s="69" t="s">
        <v>3079</v>
      </c>
      <c r="E1681" s="425">
        <f>IF(calcBrandIntegrationTimeline&lt;=$Q1681,INDEX(datatblBrandIntegration,MATCH(decGTMBrandIntegration,Data!$C$220:$C$226,0),3),0)</f>
        <v>0</v>
      </c>
      <c r="F1681" s="425">
        <f>IF(calcBrandIntegrationTimeline&lt;=$Q1681,INDEX(datatblBrandIntegration,MATCH(decGTMBrandIntegration,Data!$C$220:$C$226,0),3),0)</f>
        <v>0</v>
      </c>
      <c r="G1681" s="425">
        <f>IF(calcBrandIntegrationTimeline&lt;=$Q1681,INDEX(datatblBrandIntegration,MATCH(decGTMBrandIntegration,Data!$C$220:$C$226,0),3),0)</f>
        <v>0</v>
      </c>
      <c r="H1681" s="425">
        <f>IF(calcBrandIntegrationTimeline&lt;=$Q1681,INDEX(datatblBrandIntegration,MATCH(decGTMBrandIntegration,Data!$C$220:$C$226,0),3),0)</f>
        <v>0</v>
      </c>
      <c r="I1681" s="425">
        <f>IF(calcBrandIntegrationTimeline&lt;=$Q1681,INDEX(datatblBrandIntegration,MATCH(decGTMBrandIntegration,Data!$C$220:$C$226,0),3),0)</f>
        <v>0</v>
      </c>
      <c r="J1681" s="425">
        <f>IF(calcBrandIntegrationTimeline&lt;=$Q1681,INDEX(datatblBrandIntegration,MATCH(decGTMBrandIntegration,Data!$C$220:$C$226,0),3),0)</f>
        <v>0</v>
      </c>
      <c r="K1681" s="425">
        <f>IF(calcBrandIntegrationTimeline&lt;=$Q1681,INDEX(datatblBrandIntegration,MATCH(decGTMBrandIntegration,Data!$C$220:$C$226,0),3),0)</f>
        <v>0</v>
      </c>
      <c r="L1681" s="425">
        <f>IF(calcBrandIntegrationTimeline&lt;=$Q1681,INDEX(datatblBrandIntegration,MATCH(decGTMBrandIntegration,Data!$C$220:$C$226,0),3),0)</f>
        <v>0</v>
      </c>
      <c r="M1681" s="425">
        <f>IF(calcBrandIntegrationTimeline&lt;=$Q1681,INDEX(datatblBrandIntegration,MATCH(decGTMBrandIntegration,Data!$C$220:$C$226,0),3),0)</f>
        <v>0</v>
      </c>
      <c r="N1681" s="425">
        <f>IF(calcBrandIntegrationTimeline&lt;=$Q1681,INDEX(datatblBrandIntegration,MATCH(decGTMBrandIntegration,Data!$C$220:$C$226,0),3),0)</f>
        <v>0</v>
      </c>
      <c r="O1681" s="482"/>
      <c r="P1681" s="482"/>
      <c r="Q1681" s="69">
        <f>Q1680</f>
        <v>24</v>
      </c>
    </row>
    <row r="1682" spans="1:18">
      <c r="D1682" s="69" t="s">
        <v>2277</v>
      </c>
      <c r="E1682" s="425">
        <f>IF(decGTMOrg62Timeline="choose",0,IF(E1677=0,INDEX(datatblLeadPass,MATCH(decGTMLeadPass,Data!$C$212:$C$217,0),3),0))</f>
        <v>0</v>
      </c>
      <c r="F1682" s="425">
        <f>IF(decGTMOrg62Timeline="choose",0,IF(F1677=0,INDEX(datatblLeadPass,MATCH(decGTMLeadPass,Data!$C$212:$C$217,0),3),0))</f>
        <v>0</v>
      </c>
      <c r="G1682" s="425">
        <f>IF(decGTMOrg62Timeline="choose",0,IF(G1677=0,INDEX(datatblLeadPass,MATCH(decGTMLeadPass,Data!$C$212:$C$217,0),3),0))</f>
        <v>0</v>
      </c>
      <c r="H1682" s="425">
        <f>IF(decGTMOrg62Timeline="choose",0,IF(H1677=0,INDEX(datatblLeadPass,MATCH(decGTMLeadPass,Data!$C$212:$C$217,0),3),0))</f>
        <v>0</v>
      </c>
      <c r="I1682" s="425">
        <f>IF(decGTMOrg62Timeline="choose",0,IF(I1677=0,INDEX(datatblLeadPass,MATCH(decGTMLeadPass,Data!$C$212:$C$217,0),3),0))</f>
        <v>0</v>
      </c>
      <c r="J1682" s="425">
        <f>IF(decGTMOrg62Timeline="choose",0,IF(J1677=0,INDEX(datatblLeadPass,MATCH(decGTMLeadPass,Data!$C$212:$C$217,0),3),0))</f>
        <v>0</v>
      </c>
      <c r="K1682" s="425">
        <f>IF(decGTMOrg62Timeline="choose",0,IF(K1677=0,INDEX(datatblLeadPass,MATCH(decGTMLeadPass,Data!$C$212:$C$217,0),3),0))</f>
        <v>0</v>
      </c>
      <c r="L1682" s="425">
        <f>IF(decGTMOrg62Timeline="choose",0,IF(L1677=0,INDEX(datatblLeadPass,MATCH(decGTMLeadPass,Data!$C$212:$C$217,0),3),0))</f>
        <v>0</v>
      </c>
      <c r="M1682" s="425">
        <f>IF(decGTMOrg62Timeline="choose",0,IF(M1677=0,INDEX(datatblLeadPass,MATCH(decGTMLeadPass,Data!$C$212:$C$217,0),3),0))</f>
        <v>0</v>
      </c>
      <c r="N1682" s="425">
        <f>IF(decGTMOrg62Timeline="choose",0,IF(N1677=0,INDEX(datatblLeadPass,MATCH(decGTMLeadPass,Data!$C$212:$C$217,0),3),0))</f>
        <v>0</v>
      </c>
      <c r="O1682" s="482"/>
      <c r="P1682" s="482"/>
    </row>
    <row r="1683" spans="1:18">
      <c r="D1683" s="69" t="s">
        <v>1032</v>
      </c>
      <c r="E1683" s="425">
        <f>IF(decSecurityProductRestrictions="Yes",$Q1683,IF(decSecurityProductRestrictions="No",$R1683,$S1683))</f>
        <v>0</v>
      </c>
      <c r="F1683" s="425">
        <f t="shared" ref="F1683:N1683" si="824">IF(decSecurityProductRestrictions="Yes",$Q1683,IF(decSecurityProductRestrictions="No",$R1683,$S1683))</f>
        <v>0</v>
      </c>
      <c r="G1683" s="425">
        <f t="shared" si="824"/>
        <v>0</v>
      </c>
      <c r="H1683" s="425">
        <f t="shared" si="824"/>
        <v>0</v>
      </c>
      <c r="I1683" s="425">
        <f t="shared" si="824"/>
        <v>0</v>
      </c>
      <c r="J1683" s="425">
        <f t="shared" si="824"/>
        <v>0</v>
      </c>
      <c r="K1683" s="425">
        <f t="shared" si="824"/>
        <v>0</v>
      </c>
      <c r="L1683" s="425">
        <f t="shared" si="824"/>
        <v>0</v>
      </c>
      <c r="M1683" s="425">
        <f t="shared" si="824"/>
        <v>0</v>
      </c>
      <c r="N1683" s="425">
        <f t="shared" si="824"/>
        <v>0</v>
      </c>
      <c r="Q1683" s="482">
        <f>xxProductRestrictionACVHit</f>
        <v>-0.02</v>
      </c>
      <c r="R1683" s="482">
        <f>xxProductRestrictionACVIncrease</f>
        <v>0.02</v>
      </c>
    </row>
    <row r="1684" spans="1:18" s="217" customFormat="1">
      <c r="D1684" s="217" t="s">
        <v>1758</v>
      </c>
      <c r="E1684" s="411">
        <f t="shared" ref="E1684:N1684" si="825">SUM(E1677:E1683)+paramACVGrowthBaseline</f>
        <v>0</v>
      </c>
      <c r="F1684" s="411">
        <f t="shared" si="825"/>
        <v>0</v>
      </c>
      <c r="G1684" s="411">
        <f t="shared" si="825"/>
        <v>0</v>
      </c>
      <c r="H1684" s="411">
        <f t="shared" si="825"/>
        <v>0</v>
      </c>
      <c r="I1684" s="411">
        <f t="shared" si="825"/>
        <v>0</v>
      </c>
      <c r="J1684" s="411">
        <f t="shared" si="825"/>
        <v>0</v>
      </c>
      <c r="K1684" s="411">
        <f t="shared" si="825"/>
        <v>0</v>
      </c>
      <c r="L1684" s="411">
        <f t="shared" si="825"/>
        <v>0</v>
      </c>
      <c r="M1684" s="411">
        <f t="shared" si="825"/>
        <v>0</v>
      </c>
      <c r="N1684" s="411">
        <f t="shared" si="825"/>
        <v>0</v>
      </c>
      <c r="O1684" s="217" t="s">
        <v>2906</v>
      </c>
    </row>
    <row r="1685" spans="1:18" s="217" customFormat="1">
      <c r="E1685" s="411"/>
      <c r="F1685" s="411"/>
      <c r="G1685" s="411"/>
      <c r="H1685" s="411"/>
      <c r="I1685" s="411"/>
      <c r="J1685" s="411"/>
      <c r="K1685" s="411"/>
      <c r="L1685" s="411"/>
      <c r="M1685" s="411"/>
      <c r="N1685" s="411"/>
    </row>
    <row r="1686" spans="1:18" s="217" customFormat="1">
      <c r="A1686" s="217">
        <v>1</v>
      </c>
      <c r="B1686" s="10" t="s">
        <v>1735</v>
      </c>
      <c r="C1686" s="11" t="s">
        <v>899</v>
      </c>
      <c r="D1686" s="217" t="str">
        <f>IF(A1686=B1671,"New Revenue Adjustments",IF(AND(C1686=D1671,A1686&lt;B1671),"Attrition Necessary",0))</f>
        <v>Attrition Necessary</v>
      </c>
      <c r="E1686" s="522">
        <f t="shared" ref="E1686:E1717" si="826">IF($B$1671&gt;$A1686,INDEX(calcY4Q4RevFlow,$A1686,calcTeamNum)*(IF($D1686="Attrition Necessary",1-calcQ2AttritionDifference,1)*(IF($D1686="New Revenue Adjustments",1+calcY5Q1RevenueAdjustment,1))),INDEX(dataY5Q1Rev,$A1686,)*(IF($D1686="Attrition Necessary",1-calcQ2AttritionDifference,1))*(IF($D1686="New Revenue Adjustments",1+calcY5Q1RevenueAdjustment,1)))</f>
        <v>927350.93900385476</v>
      </c>
      <c r="F1686" s="522">
        <f t="shared" ref="F1686:N1695" si="827">IF($B$1671&gt;$A1686,INDEX(calcY4Q4RevFlow,$A1686,calcTeamNum)*(IF($D1686="Attrition Necessary",1-calcQ2AttritionDifference,1)*(IF($D1686="New Revenue Adjustments",1+calcY5Q1RevenueAdjustment,1))),INDEX(dataY5Q1Rev,$A1686,)*(IF($D1686="Attrition Necessary",1-calcQ2AttritionDifference,1))*(IF($D1686="New Revenue Adjustments",1+calcY5Q1RevenueAdjustment,1)))</f>
        <v>927350.93900385476</v>
      </c>
      <c r="G1686" s="522">
        <f t="shared" si="827"/>
        <v>927350.93900385476</v>
      </c>
      <c r="H1686" s="522">
        <f t="shared" si="827"/>
        <v>927350.93900385476</v>
      </c>
      <c r="I1686" s="522">
        <f t="shared" si="827"/>
        <v>927350.93900385476</v>
      </c>
      <c r="J1686" s="522">
        <f t="shared" si="827"/>
        <v>927350.93900385476</v>
      </c>
      <c r="K1686" s="522">
        <f t="shared" si="827"/>
        <v>927350.93900385476</v>
      </c>
      <c r="L1686" s="522">
        <f t="shared" si="827"/>
        <v>927350.93900385476</v>
      </c>
      <c r="M1686" s="522">
        <f t="shared" si="827"/>
        <v>927350.93900385476</v>
      </c>
      <c r="N1686" s="522">
        <f t="shared" si="827"/>
        <v>927350.93900385476</v>
      </c>
      <c r="O1686" s="410" t="s">
        <v>2907</v>
      </c>
    </row>
    <row r="1687" spans="1:18" s="217" customFormat="1">
      <c r="A1687" s="217">
        <v>2</v>
      </c>
      <c r="B1687" s="10" t="s">
        <v>1735</v>
      </c>
      <c r="C1687" s="11" t="s">
        <v>900</v>
      </c>
      <c r="D1687" s="217">
        <f>IF(A1687=B1671,"New Revenue Adjustments",IF(AND(C1687=D1671,A1687&lt;B1671),"Attrition Necessary",0))</f>
        <v>0</v>
      </c>
      <c r="E1687" s="522">
        <f t="shared" si="826"/>
        <v>1633156.6852592477</v>
      </c>
      <c r="F1687" s="522">
        <f t="shared" si="827"/>
        <v>1633156.6852592477</v>
      </c>
      <c r="G1687" s="522">
        <f t="shared" si="827"/>
        <v>1633156.6852592477</v>
      </c>
      <c r="H1687" s="522">
        <f t="shared" si="827"/>
        <v>1633156.6852592477</v>
      </c>
      <c r="I1687" s="522">
        <f t="shared" si="827"/>
        <v>1633156.6852592477</v>
      </c>
      <c r="J1687" s="522">
        <f t="shared" si="827"/>
        <v>1633156.6852592477</v>
      </c>
      <c r="K1687" s="522">
        <f t="shared" si="827"/>
        <v>1633156.6852592477</v>
      </c>
      <c r="L1687" s="522">
        <f t="shared" si="827"/>
        <v>1633156.6852592477</v>
      </c>
      <c r="M1687" s="522">
        <f t="shared" si="827"/>
        <v>1633156.6852592477</v>
      </c>
      <c r="N1687" s="522">
        <f t="shared" si="827"/>
        <v>1633156.6852592477</v>
      </c>
      <c r="O1687" s="410" t="s">
        <v>2908</v>
      </c>
    </row>
    <row r="1688" spans="1:18" s="217" customFormat="1">
      <c r="A1688" s="217">
        <v>3</v>
      </c>
      <c r="B1688" s="10" t="s">
        <v>1735</v>
      </c>
      <c r="C1688" s="11" t="s">
        <v>901</v>
      </c>
      <c r="D1688" s="217">
        <f>IF(A1688=B1671,"New Revenue Adjustments",IF(AND(C1688=D1671,A1688&lt;B1671),"Attrition Necessary",0))</f>
        <v>0</v>
      </c>
      <c r="E1688" s="522">
        <f t="shared" si="826"/>
        <v>2177542.2470123302</v>
      </c>
      <c r="F1688" s="522">
        <f t="shared" si="827"/>
        <v>2177542.2470123302</v>
      </c>
      <c r="G1688" s="522">
        <f t="shared" si="827"/>
        <v>2177542.2470123302</v>
      </c>
      <c r="H1688" s="522">
        <f t="shared" si="827"/>
        <v>2177542.2470123302</v>
      </c>
      <c r="I1688" s="522">
        <f t="shared" si="827"/>
        <v>2177542.2470123302</v>
      </c>
      <c r="J1688" s="522">
        <f t="shared" si="827"/>
        <v>2177542.2470123302</v>
      </c>
      <c r="K1688" s="522">
        <f t="shared" si="827"/>
        <v>2177542.2470123302</v>
      </c>
      <c r="L1688" s="522">
        <f t="shared" si="827"/>
        <v>2177542.2470123302</v>
      </c>
      <c r="M1688" s="522">
        <f t="shared" si="827"/>
        <v>2177542.2470123302</v>
      </c>
      <c r="N1688" s="522">
        <f t="shared" si="827"/>
        <v>2177542.2470123302</v>
      </c>
      <c r="O1688" s="410" t="s">
        <v>2909</v>
      </c>
    </row>
    <row r="1689" spans="1:18" s="217" customFormat="1">
      <c r="A1689" s="217">
        <v>4</v>
      </c>
      <c r="B1689" s="10" t="s">
        <v>1735</v>
      </c>
      <c r="C1689" s="11" t="s">
        <v>902</v>
      </c>
      <c r="D1689" s="217">
        <f>IF(A1689=B1671,"New Revenue Adjustments",IF(AND(C1689=D1671,A1689&lt;B1671),"Attrition Necessary",0))</f>
        <v>0</v>
      </c>
      <c r="E1689" s="522">
        <f t="shared" si="826"/>
        <v>2721927.8087654128</v>
      </c>
      <c r="F1689" s="522">
        <f t="shared" si="827"/>
        <v>2721927.8087654128</v>
      </c>
      <c r="G1689" s="522">
        <f t="shared" si="827"/>
        <v>2721927.8087654128</v>
      </c>
      <c r="H1689" s="522">
        <f t="shared" si="827"/>
        <v>2721927.8087654128</v>
      </c>
      <c r="I1689" s="522">
        <f t="shared" si="827"/>
        <v>2721927.8087654128</v>
      </c>
      <c r="J1689" s="522">
        <f t="shared" si="827"/>
        <v>2721927.8087654128</v>
      </c>
      <c r="K1689" s="522">
        <f t="shared" si="827"/>
        <v>2721927.8087654128</v>
      </c>
      <c r="L1689" s="522">
        <f t="shared" si="827"/>
        <v>2721927.8087654128</v>
      </c>
      <c r="M1689" s="522">
        <f t="shared" si="827"/>
        <v>2721927.8087654128</v>
      </c>
      <c r="N1689" s="522">
        <f t="shared" si="827"/>
        <v>2721927.8087654128</v>
      </c>
      <c r="O1689" s="410" t="s">
        <v>2910</v>
      </c>
    </row>
    <row r="1690" spans="1:18" s="217" customFormat="1">
      <c r="A1690" s="217">
        <v>5</v>
      </c>
      <c r="B1690" s="10" t="s">
        <v>1729</v>
      </c>
      <c r="C1690" s="11" t="s">
        <v>899</v>
      </c>
      <c r="D1690" s="217" t="str">
        <f>IF(A1690=B1671,"New Revenue Adjustments",IF(AND(C1690=D1671,A1690&lt;B1671),"Attrition Necessary",0))</f>
        <v>Attrition Necessary</v>
      </c>
      <c r="E1690" s="522">
        <f t="shared" si="826"/>
        <v>1091001.1047104176</v>
      </c>
      <c r="F1690" s="522">
        <f t="shared" si="827"/>
        <v>1091001.1047104176</v>
      </c>
      <c r="G1690" s="522">
        <f t="shared" si="827"/>
        <v>1091001.1047104176</v>
      </c>
      <c r="H1690" s="522">
        <f t="shared" si="827"/>
        <v>1091001.1047104176</v>
      </c>
      <c r="I1690" s="522">
        <f t="shared" si="827"/>
        <v>1091001.1047104176</v>
      </c>
      <c r="J1690" s="522">
        <f t="shared" si="827"/>
        <v>1091001.1047104176</v>
      </c>
      <c r="K1690" s="522">
        <f t="shared" si="827"/>
        <v>1091001.1047104176</v>
      </c>
      <c r="L1690" s="522">
        <f t="shared" si="827"/>
        <v>1091001.1047104176</v>
      </c>
      <c r="M1690" s="522">
        <f t="shared" si="827"/>
        <v>1091001.1047104176</v>
      </c>
      <c r="N1690" s="522">
        <f t="shared" si="827"/>
        <v>1091001.1047104176</v>
      </c>
      <c r="O1690" s="410" t="s">
        <v>2911</v>
      </c>
    </row>
    <row r="1691" spans="1:18" s="217" customFormat="1">
      <c r="A1691" s="217">
        <v>6</v>
      </c>
      <c r="B1691" s="10" t="s">
        <v>1729</v>
      </c>
      <c r="C1691" s="11" t="s">
        <v>900</v>
      </c>
      <c r="D1691" s="217">
        <f>IF(A1691=B1671,"New Revenue Adjustments",IF(AND(C1691=D1671,A1691&lt;B1671),"Attrition Necessary",0))</f>
        <v>0</v>
      </c>
      <c r="E1691" s="522">
        <f t="shared" si="826"/>
        <v>1568343.8852212771</v>
      </c>
      <c r="F1691" s="522">
        <f t="shared" si="827"/>
        <v>1568343.8852212771</v>
      </c>
      <c r="G1691" s="522">
        <f t="shared" si="827"/>
        <v>1568343.8852212771</v>
      </c>
      <c r="H1691" s="522">
        <f t="shared" si="827"/>
        <v>1568343.8852212771</v>
      </c>
      <c r="I1691" s="522">
        <f t="shared" si="827"/>
        <v>1568343.8852212771</v>
      </c>
      <c r="J1691" s="522">
        <f t="shared" si="827"/>
        <v>1568343.8852212771</v>
      </c>
      <c r="K1691" s="522">
        <f t="shared" si="827"/>
        <v>1568343.8852212771</v>
      </c>
      <c r="L1691" s="522">
        <f t="shared" si="827"/>
        <v>1568343.8852212771</v>
      </c>
      <c r="M1691" s="522">
        <f t="shared" si="827"/>
        <v>1568343.8852212771</v>
      </c>
      <c r="N1691" s="522">
        <f t="shared" si="827"/>
        <v>1568343.8852212771</v>
      </c>
      <c r="O1691" s="410" t="s">
        <v>2912</v>
      </c>
    </row>
    <row r="1692" spans="1:18" s="217" customFormat="1">
      <c r="A1692" s="217">
        <v>7</v>
      </c>
      <c r="B1692" s="10" t="s">
        <v>1729</v>
      </c>
      <c r="C1692" s="11" t="s">
        <v>901</v>
      </c>
      <c r="D1692" s="217">
        <f>IF(A1692=B1671,"New Revenue Adjustments",IF(AND(C1692=D1671,A1692&lt;B1671),"Attrition Necessary",0))</f>
        <v>0</v>
      </c>
      <c r="E1692" s="522">
        <f t="shared" si="826"/>
        <v>2423804.1862510652</v>
      </c>
      <c r="F1692" s="522">
        <f t="shared" si="827"/>
        <v>2423804.1862510652</v>
      </c>
      <c r="G1692" s="522">
        <f t="shared" si="827"/>
        <v>2423804.1862510652</v>
      </c>
      <c r="H1692" s="522">
        <f t="shared" si="827"/>
        <v>2423804.1862510652</v>
      </c>
      <c r="I1692" s="522">
        <f t="shared" si="827"/>
        <v>2423804.1862510652</v>
      </c>
      <c r="J1692" s="522">
        <f t="shared" si="827"/>
        <v>2423804.1862510652</v>
      </c>
      <c r="K1692" s="522">
        <f t="shared" si="827"/>
        <v>2423804.1862510652</v>
      </c>
      <c r="L1692" s="522">
        <f t="shared" si="827"/>
        <v>2423804.1862510652</v>
      </c>
      <c r="M1692" s="522">
        <f t="shared" si="827"/>
        <v>2423804.1862510652</v>
      </c>
      <c r="N1692" s="522">
        <f t="shared" si="827"/>
        <v>2423804.1862510652</v>
      </c>
      <c r="O1692" s="410" t="s">
        <v>2913</v>
      </c>
    </row>
    <row r="1693" spans="1:18" s="217" customFormat="1">
      <c r="A1693" s="217">
        <v>8</v>
      </c>
      <c r="B1693" s="10" t="s">
        <v>1729</v>
      </c>
      <c r="C1693" s="11" t="s">
        <v>902</v>
      </c>
      <c r="D1693" s="217">
        <f>IF(A1693=B1671,"New Revenue Adjustments",IF(AND(C1693=D1671,A1693&lt;B1671),"Attrition Necessary",0))</f>
        <v>0</v>
      </c>
      <c r="E1693" s="522">
        <f t="shared" si="826"/>
        <v>3564417.920957448</v>
      </c>
      <c r="F1693" s="522">
        <f t="shared" si="827"/>
        <v>3564417.920957448</v>
      </c>
      <c r="G1693" s="522">
        <f t="shared" si="827"/>
        <v>3564417.920957448</v>
      </c>
      <c r="H1693" s="522">
        <f t="shared" si="827"/>
        <v>3564417.920957448</v>
      </c>
      <c r="I1693" s="522">
        <f t="shared" si="827"/>
        <v>3564417.920957448</v>
      </c>
      <c r="J1693" s="522">
        <f t="shared" si="827"/>
        <v>3564417.920957448</v>
      </c>
      <c r="K1693" s="522">
        <f t="shared" si="827"/>
        <v>3564417.920957448</v>
      </c>
      <c r="L1693" s="522">
        <f t="shared" si="827"/>
        <v>3564417.920957448</v>
      </c>
      <c r="M1693" s="522">
        <f t="shared" si="827"/>
        <v>3564417.920957448</v>
      </c>
      <c r="N1693" s="522">
        <f t="shared" si="827"/>
        <v>3564417.920957448</v>
      </c>
      <c r="O1693" s="410" t="s">
        <v>2914</v>
      </c>
    </row>
    <row r="1694" spans="1:18" s="217" customFormat="1">
      <c r="A1694" s="217">
        <v>9</v>
      </c>
      <c r="B1694" s="10" t="s">
        <v>405</v>
      </c>
      <c r="C1694" s="11" t="s">
        <v>899</v>
      </c>
      <c r="D1694" s="217" t="str">
        <f>IF(A1694=B1671,"New Revenue Adjustments",IF(AND(C1694=D1671,A1694&lt;B1671),"Attrition Necessary",0))</f>
        <v>Attrition Necessary</v>
      </c>
      <c r="E1694" s="522">
        <f t="shared" si="826"/>
        <v>1607273.2941346001</v>
      </c>
      <c r="F1694" s="522">
        <f t="shared" si="827"/>
        <v>1607273.2941346001</v>
      </c>
      <c r="G1694" s="522">
        <f t="shared" si="827"/>
        <v>1607273.2941346001</v>
      </c>
      <c r="H1694" s="522">
        <f t="shared" si="827"/>
        <v>1607273.2941346001</v>
      </c>
      <c r="I1694" s="522">
        <f t="shared" si="827"/>
        <v>1607273.2941346001</v>
      </c>
      <c r="J1694" s="522">
        <f t="shared" si="827"/>
        <v>1607273.2941346001</v>
      </c>
      <c r="K1694" s="522">
        <f t="shared" si="827"/>
        <v>1607273.2941346001</v>
      </c>
      <c r="L1694" s="522">
        <f t="shared" si="827"/>
        <v>1607273.2941346001</v>
      </c>
      <c r="M1694" s="522">
        <f t="shared" si="827"/>
        <v>1607273.2941346001</v>
      </c>
      <c r="N1694" s="522">
        <f t="shared" si="827"/>
        <v>1607273.2941346001</v>
      </c>
      <c r="O1694" s="410" t="s">
        <v>2915</v>
      </c>
    </row>
    <row r="1695" spans="1:18" s="217" customFormat="1">
      <c r="A1695" s="217">
        <v>10</v>
      </c>
      <c r="B1695" s="10" t="s">
        <v>405</v>
      </c>
      <c r="C1695" s="11" t="s">
        <v>900</v>
      </c>
      <c r="D1695" s="217">
        <f>IF(A1695=B1671,"New Revenue Adjustments",IF(AND(C1695=D1671,A1695&lt;B1671),"Attrition Necessary",0))</f>
        <v>0</v>
      </c>
      <c r="E1695" s="522">
        <f t="shared" si="826"/>
        <v>2310499.2578394678</v>
      </c>
      <c r="F1695" s="522">
        <f t="shared" si="827"/>
        <v>2310499.2578394678</v>
      </c>
      <c r="G1695" s="522">
        <f t="shared" si="827"/>
        <v>2310499.2578394678</v>
      </c>
      <c r="H1695" s="522">
        <f t="shared" si="827"/>
        <v>2310499.2578394678</v>
      </c>
      <c r="I1695" s="522">
        <f t="shared" si="827"/>
        <v>2310499.2578394678</v>
      </c>
      <c r="J1695" s="522">
        <f t="shared" si="827"/>
        <v>2310499.2578394678</v>
      </c>
      <c r="K1695" s="522">
        <f t="shared" si="827"/>
        <v>2310499.2578394678</v>
      </c>
      <c r="L1695" s="522">
        <f t="shared" si="827"/>
        <v>2310499.2578394678</v>
      </c>
      <c r="M1695" s="522">
        <f t="shared" si="827"/>
        <v>2310499.2578394678</v>
      </c>
      <c r="N1695" s="522">
        <f t="shared" si="827"/>
        <v>2310499.2578394678</v>
      </c>
      <c r="O1695" s="410" t="s">
        <v>2916</v>
      </c>
    </row>
    <row r="1696" spans="1:18" s="217" customFormat="1">
      <c r="A1696" s="217">
        <v>11</v>
      </c>
      <c r="B1696" s="10" t="s">
        <v>405</v>
      </c>
      <c r="C1696" s="11" t="s">
        <v>901</v>
      </c>
      <c r="D1696" s="217">
        <f>IF(A1696=B1671,"New Revenue Adjustments",IF(AND(C1696=D1671,A1696&lt;B1671),"Attrition Necessary",0))</f>
        <v>0</v>
      </c>
      <c r="E1696" s="522">
        <f t="shared" si="826"/>
        <v>3570771.5802973602</v>
      </c>
      <c r="F1696" s="522">
        <f t="shared" ref="F1696:N1705" si="828">IF($B$1671&gt;$A1696,INDEX(calcY4Q4RevFlow,$A1696,calcTeamNum)*(IF($D1696="Attrition Necessary",1-calcQ2AttritionDifference,1)*(IF($D1696="New Revenue Adjustments",1+calcY5Q1RevenueAdjustment,1))),INDEX(dataY5Q1Rev,$A1696,)*(IF($D1696="Attrition Necessary",1-calcQ2AttritionDifference,1))*(IF($D1696="New Revenue Adjustments",1+calcY5Q1RevenueAdjustment,1)))</f>
        <v>3570771.5802973602</v>
      </c>
      <c r="G1696" s="522">
        <f t="shared" si="828"/>
        <v>3570771.5802973602</v>
      </c>
      <c r="H1696" s="522">
        <f t="shared" si="828"/>
        <v>3570771.5802973602</v>
      </c>
      <c r="I1696" s="522">
        <f t="shared" si="828"/>
        <v>3570771.5802973602</v>
      </c>
      <c r="J1696" s="522">
        <f t="shared" si="828"/>
        <v>3570771.5802973602</v>
      </c>
      <c r="K1696" s="522">
        <f t="shared" si="828"/>
        <v>3570771.5802973602</v>
      </c>
      <c r="L1696" s="522">
        <f t="shared" si="828"/>
        <v>3570771.5802973602</v>
      </c>
      <c r="M1696" s="522">
        <f t="shared" si="828"/>
        <v>3570771.5802973602</v>
      </c>
      <c r="N1696" s="522">
        <f t="shared" si="828"/>
        <v>3570771.5802973602</v>
      </c>
      <c r="O1696" s="410" t="s">
        <v>2917</v>
      </c>
    </row>
    <row r="1697" spans="1:15" s="217" customFormat="1">
      <c r="A1697" s="217">
        <v>12</v>
      </c>
      <c r="B1697" s="10" t="s">
        <v>405</v>
      </c>
      <c r="C1697" s="11" t="s">
        <v>902</v>
      </c>
      <c r="D1697" s="217">
        <f>IF(A1697=B1671,"New Revenue Adjustments",IF(AND(C1697=D1671,A1697&lt;B1671),"Attrition Necessary",0))</f>
        <v>0</v>
      </c>
      <c r="E1697" s="522">
        <f t="shared" si="826"/>
        <v>5251134.6769078821</v>
      </c>
      <c r="F1697" s="522">
        <f t="shared" si="828"/>
        <v>5251134.6769078821</v>
      </c>
      <c r="G1697" s="522">
        <f t="shared" si="828"/>
        <v>5251134.6769078821</v>
      </c>
      <c r="H1697" s="522">
        <f t="shared" si="828"/>
        <v>5251134.6769078821</v>
      </c>
      <c r="I1697" s="522">
        <f t="shared" si="828"/>
        <v>5251134.6769078821</v>
      </c>
      <c r="J1697" s="522">
        <f t="shared" si="828"/>
        <v>5251134.6769078821</v>
      </c>
      <c r="K1697" s="522">
        <f t="shared" si="828"/>
        <v>5251134.6769078821</v>
      </c>
      <c r="L1697" s="522">
        <f t="shared" si="828"/>
        <v>5251134.6769078821</v>
      </c>
      <c r="M1697" s="522">
        <f t="shared" si="828"/>
        <v>5251134.6769078821</v>
      </c>
      <c r="N1697" s="522">
        <f t="shared" si="828"/>
        <v>5251134.6769078821</v>
      </c>
      <c r="O1697" s="410" t="s">
        <v>2918</v>
      </c>
    </row>
    <row r="1698" spans="1:15" s="217" customFormat="1">
      <c r="A1698" s="217">
        <v>13</v>
      </c>
      <c r="B1698" s="10" t="s">
        <v>1278</v>
      </c>
      <c r="C1698" s="11" t="s">
        <v>899</v>
      </c>
      <c r="D1698" s="217" t="str">
        <f>IF(A1698=B1671,"New Revenue Adjustments",IF(AND(C1698=D1671,A1698&lt;B1671),"Attrition Necessary",0))</f>
        <v>Attrition Necessary</v>
      </c>
      <c r="E1698" s="522">
        <f t="shared" si="826"/>
        <v>2363010.6046085469</v>
      </c>
      <c r="F1698" s="522">
        <f t="shared" si="828"/>
        <v>2363010.6046085469</v>
      </c>
      <c r="G1698" s="522">
        <f t="shared" si="828"/>
        <v>2363010.6046085469</v>
      </c>
      <c r="H1698" s="522">
        <f t="shared" si="828"/>
        <v>2363010.6046085469</v>
      </c>
      <c r="I1698" s="522">
        <f t="shared" si="828"/>
        <v>2363010.6046085469</v>
      </c>
      <c r="J1698" s="522">
        <f t="shared" si="828"/>
        <v>2363010.6046085469</v>
      </c>
      <c r="K1698" s="522">
        <f t="shared" si="828"/>
        <v>2363010.6046085469</v>
      </c>
      <c r="L1698" s="522">
        <f t="shared" si="828"/>
        <v>2363010.6046085469</v>
      </c>
      <c r="M1698" s="522">
        <f t="shared" si="828"/>
        <v>2363010.6046085469</v>
      </c>
      <c r="N1698" s="522">
        <f t="shared" si="828"/>
        <v>2363010.6046085469</v>
      </c>
      <c r="O1698" s="410" t="s">
        <v>2919</v>
      </c>
    </row>
    <row r="1699" spans="1:15" s="217" customFormat="1">
      <c r="A1699" s="217">
        <v>14</v>
      </c>
      <c r="B1699" s="10" t="s">
        <v>1278</v>
      </c>
      <c r="C1699" s="11" t="s">
        <v>900</v>
      </c>
      <c r="D1699" s="217">
        <f>IF(A1699=B1671,"New Revenue Adjustments",IF(AND(C1699=D1671,A1699&lt;B1671),"Attrition Necessary",0))</f>
        <v>0</v>
      </c>
      <c r="E1699" s="522">
        <f t="shared" si="826"/>
        <v>2882220.8130185059</v>
      </c>
      <c r="F1699" s="522">
        <f t="shared" si="828"/>
        <v>2882220.8130185059</v>
      </c>
      <c r="G1699" s="522">
        <f t="shared" si="828"/>
        <v>2882220.8130185059</v>
      </c>
      <c r="H1699" s="522">
        <f t="shared" si="828"/>
        <v>2882220.8130185059</v>
      </c>
      <c r="I1699" s="522">
        <f t="shared" si="828"/>
        <v>2882220.8130185059</v>
      </c>
      <c r="J1699" s="522">
        <f t="shared" si="828"/>
        <v>2882220.8130185059</v>
      </c>
      <c r="K1699" s="522">
        <f t="shared" si="828"/>
        <v>2882220.8130185059</v>
      </c>
      <c r="L1699" s="522">
        <f t="shared" si="828"/>
        <v>2882220.8130185059</v>
      </c>
      <c r="M1699" s="522">
        <f t="shared" si="828"/>
        <v>2882220.8130185059</v>
      </c>
      <c r="N1699" s="522">
        <f t="shared" si="828"/>
        <v>2882220.8130185059</v>
      </c>
      <c r="O1699" s="410" t="s">
        <v>2920</v>
      </c>
    </row>
    <row r="1700" spans="1:15" s="217" customFormat="1">
      <c r="A1700" s="217">
        <v>15</v>
      </c>
      <c r="B1700" s="10" t="s">
        <v>1278</v>
      </c>
      <c r="C1700" s="11" t="s">
        <v>901</v>
      </c>
      <c r="D1700" s="217">
        <f>IF(A1700=B1671,"New Revenue Adjustments",IF(AND(C1700=D1671,A1700&lt;B1671),"Attrition Necessary",0))</f>
        <v>0</v>
      </c>
      <c r="E1700" s="522">
        <f t="shared" si="826"/>
        <v>4454341.256483146</v>
      </c>
      <c r="F1700" s="522">
        <f t="shared" si="828"/>
        <v>4454341.256483146</v>
      </c>
      <c r="G1700" s="522">
        <f t="shared" si="828"/>
        <v>4454341.256483146</v>
      </c>
      <c r="H1700" s="522">
        <f t="shared" si="828"/>
        <v>4454341.256483146</v>
      </c>
      <c r="I1700" s="522">
        <f t="shared" si="828"/>
        <v>4454341.256483146</v>
      </c>
      <c r="J1700" s="522">
        <f t="shared" si="828"/>
        <v>4454341.256483146</v>
      </c>
      <c r="K1700" s="522">
        <f t="shared" si="828"/>
        <v>4454341.256483146</v>
      </c>
      <c r="L1700" s="522">
        <f t="shared" si="828"/>
        <v>4454341.256483146</v>
      </c>
      <c r="M1700" s="522">
        <f t="shared" si="828"/>
        <v>4454341.256483146</v>
      </c>
      <c r="N1700" s="522">
        <f t="shared" si="828"/>
        <v>4454341.256483146</v>
      </c>
      <c r="O1700" s="410" t="s">
        <v>2921</v>
      </c>
    </row>
    <row r="1701" spans="1:15" s="217" customFormat="1">
      <c r="A1701" s="217">
        <v>16</v>
      </c>
      <c r="B1701" s="10" t="s">
        <v>1278</v>
      </c>
      <c r="C1701" s="11" t="s">
        <v>902</v>
      </c>
      <c r="D1701" s="217">
        <f>IF(A1701=B1671,"New Revenue Adjustments",IF(AND(C1701=D1671,A1701&lt;B1671),"Attrition Necessary",0))</f>
        <v>0</v>
      </c>
      <c r="E1701" s="522">
        <f t="shared" si="826"/>
        <v>6550501.8477693321</v>
      </c>
      <c r="F1701" s="522">
        <f t="shared" si="828"/>
        <v>6550501.8477693321</v>
      </c>
      <c r="G1701" s="522">
        <f t="shared" si="828"/>
        <v>6550501.8477693321</v>
      </c>
      <c r="H1701" s="522">
        <f t="shared" si="828"/>
        <v>6550501.8477693321</v>
      </c>
      <c r="I1701" s="522">
        <f t="shared" si="828"/>
        <v>6550501.8477693321</v>
      </c>
      <c r="J1701" s="522">
        <f t="shared" si="828"/>
        <v>6550501.8477693321</v>
      </c>
      <c r="K1701" s="522">
        <f t="shared" si="828"/>
        <v>6550501.8477693321</v>
      </c>
      <c r="L1701" s="522">
        <f t="shared" si="828"/>
        <v>6550501.8477693321</v>
      </c>
      <c r="M1701" s="522">
        <f t="shared" si="828"/>
        <v>6550501.8477693321</v>
      </c>
      <c r="N1701" s="522">
        <f t="shared" si="828"/>
        <v>6550501.8477693321</v>
      </c>
      <c r="O1701" s="410" t="s">
        <v>2922</v>
      </c>
    </row>
    <row r="1702" spans="1:15" s="217" customFormat="1">
      <c r="A1702" s="217">
        <v>17</v>
      </c>
      <c r="B1702" s="10" t="s">
        <v>1279</v>
      </c>
      <c r="C1702" s="11" t="s">
        <v>899</v>
      </c>
      <c r="D1702" s="217" t="str">
        <f>IF(A1702=B1671,"New Revenue Adjustments",IF(AND(C1702=D1671,A1702&lt;B1671),"Attrition Necessary",0))</f>
        <v>Attrition Necessary</v>
      </c>
      <c r="E1702" s="522">
        <f t="shared" si="826"/>
        <v>2947725.8314961996</v>
      </c>
      <c r="F1702" s="522">
        <f t="shared" si="828"/>
        <v>2947725.8314961996</v>
      </c>
      <c r="G1702" s="522">
        <f t="shared" si="828"/>
        <v>2947725.8314961996</v>
      </c>
      <c r="H1702" s="522">
        <f t="shared" si="828"/>
        <v>2947725.8314961996</v>
      </c>
      <c r="I1702" s="522">
        <f t="shared" si="828"/>
        <v>2947725.8314961996</v>
      </c>
      <c r="J1702" s="522">
        <f t="shared" si="828"/>
        <v>2947725.8314961996</v>
      </c>
      <c r="K1702" s="522">
        <f t="shared" si="828"/>
        <v>2947725.8314961996</v>
      </c>
      <c r="L1702" s="522">
        <f t="shared" si="828"/>
        <v>2947725.8314961996</v>
      </c>
      <c r="M1702" s="522">
        <f t="shared" si="828"/>
        <v>2947725.8314961996</v>
      </c>
      <c r="N1702" s="522">
        <f t="shared" si="828"/>
        <v>2947725.8314961996</v>
      </c>
      <c r="O1702" s="410" t="s">
        <v>2923</v>
      </c>
    </row>
    <row r="1703" spans="1:15" s="217" customFormat="1">
      <c r="A1703" s="217">
        <v>18</v>
      </c>
      <c r="B1703" s="10" t="s">
        <v>1279</v>
      </c>
      <c r="C1703" s="11" t="s">
        <v>900</v>
      </c>
      <c r="D1703" s="217">
        <f>IF(A1703=B1671,"New Revenue Adjustments",IF(AND(C1703=D1671,A1703&lt;B1671),"Attrition Necessary",0))</f>
        <v>0</v>
      </c>
      <c r="E1703" s="522">
        <f t="shared" si="826"/>
        <v>3595412.0248301052</v>
      </c>
      <c r="F1703" s="522">
        <f t="shared" si="828"/>
        <v>3595412.0248301052</v>
      </c>
      <c r="G1703" s="522">
        <f t="shared" si="828"/>
        <v>3595412.0248301052</v>
      </c>
      <c r="H1703" s="522">
        <f t="shared" si="828"/>
        <v>3595412.0248301052</v>
      </c>
      <c r="I1703" s="522">
        <f t="shared" si="828"/>
        <v>3595412.0248301052</v>
      </c>
      <c r="J1703" s="522">
        <f t="shared" si="828"/>
        <v>3595412.0248301052</v>
      </c>
      <c r="K1703" s="522">
        <f t="shared" si="828"/>
        <v>3595412.0248301052</v>
      </c>
      <c r="L1703" s="522">
        <f t="shared" si="828"/>
        <v>3595412.0248301052</v>
      </c>
      <c r="M1703" s="522">
        <f t="shared" si="828"/>
        <v>3595412.0248301052</v>
      </c>
      <c r="N1703" s="522">
        <f t="shared" si="828"/>
        <v>3595412.0248301052</v>
      </c>
      <c r="O1703" s="410" t="s">
        <v>2924</v>
      </c>
    </row>
    <row r="1704" spans="1:15" s="217" customFormat="1">
      <c r="A1704" s="217">
        <v>19</v>
      </c>
      <c r="B1704" s="10" t="s">
        <v>1279</v>
      </c>
      <c r="C1704" s="11" t="s">
        <v>901</v>
      </c>
      <c r="D1704" s="217">
        <f>IF(A1704=B1671,"New Revenue Adjustments",IF(AND(C1704=D1671,A1704&lt;B1671),"Attrition Necessary",0))</f>
        <v>0</v>
      </c>
      <c r="E1704" s="522">
        <f t="shared" si="826"/>
        <v>5556545.8565556193</v>
      </c>
      <c r="F1704" s="522">
        <f t="shared" si="828"/>
        <v>5556545.8565556193</v>
      </c>
      <c r="G1704" s="522">
        <f t="shared" si="828"/>
        <v>5556545.8565556193</v>
      </c>
      <c r="H1704" s="522">
        <f t="shared" si="828"/>
        <v>5556545.8565556193</v>
      </c>
      <c r="I1704" s="522">
        <f t="shared" si="828"/>
        <v>5556545.8565556193</v>
      </c>
      <c r="J1704" s="522">
        <f t="shared" si="828"/>
        <v>5556545.8565556193</v>
      </c>
      <c r="K1704" s="522">
        <f t="shared" si="828"/>
        <v>5556545.8565556193</v>
      </c>
      <c r="L1704" s="522">
        <f t="shared" si="828"/>
        <v>5556545.8565556193</v>
      </c>
      <c r="M1704" s="522">
        <f t="shared" si="828"/>
        <v>5556545.8565556193</v>
      </c>
      <c r="N1704" s="522">
        <f t="shared" si="828"/>
        <v>5556545.8565556193</v>
      </c>
      <c r="O1704" s="410" t="s">
        <v>2925</v>
      </c>
    </row>
    <row r="1705" spans="1:15" s="217" customFormat="1">
      <c r="A1705" s="217">
        <v>20</v>
      </c>
      <c r="B1705" s="10" t="s">
        <v>1279</v>
      </c>
      <c r="C1705" s="11" t="s">
        <v>902</v>
      </c>
      <c r="D1705" s="217">
        <f>IF(A1705=B1671,"New Revenue Adjustments",IF(AND(C1705=D1671,A1705&lt;B1671),"Attrition Necessary",0))</f>
        <v>0</v>
      </c>
      <c r="E1705" s="522">
        <f t="shared" si="826"/>
        <v>8171390.9655229663</v>
      </c>
      <c r="F1705" s="522">
        <f t="shared" si="828"/>
        <v>8171390.9655229663</v>
      </c>
      <c r="G1705" s="522">
        <f t="shared" si="828"/>
        <v>8171390.9655229663</v>
      </c>
      <c r="H1705" s="522">
        <f t="shared" si="828"/>
        <v>8171390.9655229663</v>
      </c>
      <c r="I1705" s="522">
        <f t="shared" si="828"/>
        <v>8171390.9655229663</v>
      </c>
      <c r="J1705" s="522">
        <f t="shared" si="828"/>
        <v>8171390.9655229663</v>
      </c>
      <c r="K1705" s="522">
        <f t="shared" si="828"/>
        <v>8171390.9655229663</v>
      </c>
      <c r="L1705" s="522">
        <f t="shared" si="828"/>
        <v>8171390.9655229663</v>
      </c>
      <c r="M1705" s="522">
        <f t="shared" si="828"/>
        <v>8171390.9655229663</v>
      </c>
      <c r="N1705" s="522">
        <f t="shared" si="828"/>
        <v>8171390.9655229663</v>
      </c>
      <c r="O1705" s="410" t="s">
        <v>2926</v>
      </c>
    </row>
    <row r="1706" spans="1:15" s="217" customFormat="1">
      <c r="A1706" s="217">
        <v>21</v>
      </c>
      <c r="B1706" s="10" t="s">
        <v>2052</v>
      </c>
      <c r="C1706" s="11" t="s">
        <v>899</v>
      </c>
      <c r="D1706" s="217" t="str">
        <f>IF(A1706=B1671,"New Revenue Adjustments",IF(AND(C1706=D1671,A1706&lt;B1671),"Attrition Necessary",0))</f>
        <v>Attrition Necessary</v>
      </c>
      <c r="E1706" s="522">
        <f t="shared" si="826"/>
        <v>3235870.8223470962</v>
      </c>
      <c r="F1706" s="522">
        <f t="shared" ref="F1706:N1717" si="829">IF($B$1671&gt;$A1706,INDEX(calcY4Q4RevFlow,$A1706,calcTeamNum)*(IF($D1706="Attrition Necessary",1-calcQ2AttritionDifference,1)*(IF($D1706="New Revenue Adjustments",1+calcY5Q1RevenueAdjustment,1))),INDEX(dataY5Q1Rev,$A1706,)*(IF($D1706="Attrition Necessary",1-calcQ2AttritionDifference,1))*(IF($D1706="New Revenue Adjustments",1+calcY5Q1RevenueAdjustment,1)))</f>
        <v>3235870.8223470962</v>
      </c>
      <c r="G1706" s="522">
        <f t="shared" si="829"/>
        <v>3235870.8223470962</v>
      </c>
      <c r="H1706" s="522">
        <f t="shared" si="829"/>
        <v>3235870.8223470962</v>
      </c>
      <c r="I1706" s="522">
        <f t="shared" si="829"/>
        <v>3235870.8223470962</v>
      </c>
      <c r="J1706" s="522">
        <f t="shared" si="829"/>
        <v>3235870.8223470962</v>
      </c>
      <c r="K1706" s="522">
        <f t="shared" si="829"/>
        <v>3235870.8223470962</v>
      </c>
      <c r="L1706" s="522">
        <f t="shared" si="829"/>
        <v>3235870.8223470962</v>
      </c>
      <c r="M1706" s="522">
        <f t="shared" si="829"/>
        <v>3235870.8223470962</v>
      </c>
      <c r="N1706" s="522">
        <f t="shared" si="829"/>
        <v>3235870.8223470962</v>
      </c>
      <c r="O1706" s="410" t="s">
        <v>2927</v>
      </c>
    </row>
    <row r="1707" spans="1:15" s="217" customFormat="1">
      <c r="A1707" s="217">
        <v>22</v>
      </c>
      <c r="B1707" s="10" t="s">
        <v>2052</v>
      </c>
      <c r="C1707" s="11" t="s">
        <v>900</v>
      </c>
      <c r="D1707" s="217">
        <f>IF(A1707=B1671,"New Revenue Adjustments",IF(AND(C1707=D1671,A1707&lt;B1671),"Attrition Necessary",0))</f>
        <v>0</v>
      </c>
      <c r="E1707" s="522">
        <f t="shared" si="826"/>
        <v>3946869.3937381296</v>
      </c>
      <c r="F1707" s="522">
        <f t="shared" si="829"/>
        <v>3946869.3937381296</v>
      </c>
      <c r="G1707" s="522">
        <f t="shared" si="829"/>
        <v>3946869.3937381296</v>
      </c>
      <c r="H1707" s="522">
        <f t="shared" si="829"/>
        <v>3946869.3937381296</v>
      </c>
      <c r="I1707" s="522">
        <f t="shared" si="829"/>
        <v>3946869.3937381296</v>
      </c>
      <c r="J1707" s="522">
        <f t="shared" si="829"/>
        <v>3946869.3937381296</v>
      </c>
      <c r="K1707" s="522">
        <f t="shared" si="829"/>
        <v>3946869.3937381296</v>
      </c>
      <c r="L1707" s="522">
        <f t="shared" si="829"/>
        <v>3946869.3937381296</v>
      </c>
      <c r="M1707" s="522">
        <f t="shared" si="829"/>
        <v>3946869.3937381296</v>
      </c>
      <c r="N1707" s="522">
        <f t="shared" si="829"/>
        <v>3946869.3937381296</v>
      </c>
      <c r="O1707" s="410" t="s">
        <v>2928</v>
      </c>
    </row>
    <row r="1708" spans="1:15" s="217" customFormat="1">
      <c r="A1708" s="217">
        <v>23</v>
      </c>
      <c r="B1708" s="10" t="s">
        <v>2052</v>
      </c>
      <c r="C1708" s="11" t="s">
        <v>901</v>
      </c>
      <c r="D1708" s="217">
        <f>IF(A1708=B1671,"New Revenue Adjustments",IF(AND(C1708=D1671,A1708&lt;B1671),"Attrition Necessary",0))</f>
        <v>0</v>
      </c>
      <c r="E1708" s="522">
        <f t="shared" si="826"/>
        <v>6099707.2448680205</v>
      </c>
      <c r="F1708" s="522">
        <f t="shared" si="829"/>
        <v>6099707.2448680205</v>
      </c>
      <c r="G1708" s="522">
        <f t="shared" si="829"/>
        <v>6099707.2448680205</v>
      </c>
      <c r="H1708" s="522">
        <f t="shared" si="829"/>
        <v>6099707.2448680205</v>
      </c>
      <c r="I1708" s="522">
        <f t="shared" si="829"/>
        <v>6099707.2448680205</v>
      </c>
      <c r="J1708" s="522">
        <f t="shared" si="829"/>
        <v>6099707.2448680205</v>
      </c>
      <c r="K1708" s="522">
        <f t="shared" si="829"/>
        <v>6099707.2448680205</v>
      </c>
      <c r="L1708" s="522">
        <f t="shared" si="829"/>
        <v>6099707.2448680205</v>
      </c>
      <c r="M1708" s="522">
        <f t="shared" si="829"/>
        <v>6099707.2448680205</v>
      </c>
      <c r="N1708" s="522">
        <f t="shared" si="829"/>
        <v>6099707.2448680205</v>
      </c>
      <c r="O1708" s="410" t="s">
        <v>2929</v>
      </c>
    </row>
    <row r="1709" spans="1:15" s="217" customFormat="1">
      <c r="A1709" s="217">
        <v>24</v>
      </c>
      <c r="B1709" s="10" t="s">
        <v>2052</v>
      </c>
      <c r="C1709" s="11" t="s">
        <v>902</v>
      </c>
      <c r="D1709" s="217">
        <f>IF(A1709=B1671,"New Revenue Adjustments",IF(AND(C1709=D1671,A1709&lt;B1671),"Attrition Necessary",0))</f>
        <v>0</v>
      </c>
      <c r="E1709" s="522">
        <f t="shared" si="826"/>
        <v>8970157.7130412031</v>
      </c>
      <c r="F1709" s="522">
        <f t="shared" si="829"/>
        <v>8970157.7130412031</v>
      </c>
      <c r="G1709" s="522">
        <f t="shared" si="829"/>
        <v>8970157.7130412031</v>
      </c>
      <c r="H1709" s="522">
        <f t="shared" si="829"/>
        <v>8970157.7130412031</v>
      </c>
      <c r="I1709" s="522">
        <f t="shared" si="829"/>
        <v>8970157.7130412031</v>
      </c>
      <c r="J1709" s="522">
        <f t="shared" si="829"/>
        <v>8970157.7130412031</v>
      </c>
      <c r="K1709" s="522">
        <f t="shared" si="829"/>
        <v>8970157.7130412031</v>
      </c>
      <c r="L1709" s="522">
        <f t="shared" si="829"/>
        <v>8970157.7130412031</v>
      </c>
      <c r="M1709" s="522">
        <f t="shared" si="829"/>
        <v>8970157.7130412031</v>
      </c>
      <c r="N1709" s="522">
        <f t="shared" si="829"/>
        <v>8970157.7130412031</v>
      </c>
      <c r="O1709" s="410" t="s">
        <v>2930</v>
      </c>
    </row>
    <row r="1710" spans="1:15" s="217" customFormat="1">
      <c r="A1710" s="217">
        <v>25</v>
      </c>
      <c r="B1710" s="10" t="s">
        <v>2408</v>
      </c>
      <c r="C1710" s="11" t="s">
        <v>899</v>
      </c>
      <c r="D1710" s="217" t="str">
        <f>IF(A1710=B1671,"New Revenue Adjustments",IF(AND(C1710=D1671,A1710&lt;B1671),"Attrition Necessary",0))</f>
        <v>Attrition Necessary</v>
      </c>
      <c r="E1710" s="522">
        <f t="shared" si="826"/>
        <v>3471451.0349469464</v>
      </c>
      <c r="F1710" s="522">
        <f t="shared" si="829"/>
        <v>3471451.0349469464</v>
      </c>
      <c r="G1710" s="522">
        <f t="shared" si="829"/>
        <v>3471451.0349469464</v>
      </c>
      <c r="H1710" s="522">
        <f t="shared" si="829"/>
        <v>3471451.0349469464</v>
      </c>
      <c r="I1710" s="522">
        <f t="shared" si="829"/>
        <v>3471451.0349469464</v>
      </c>
      <c r="J1710" s="522">
        <f t="shared" si="829"/>
        <v>3471451.0349469464</v>
      </c>
      <c r="K1710" s="522">
        <f t="shared" si="829"/>
        <v>3471451.0349469464</v>
      </c>
      <c r="L1710" s="522">
        <f t="shared" si="829"/>
        <v>3471451.0349469464</v>
      </c>
      <c r="M1710" s="522">
        <f t="shared" si="829"/>
        <v>3471451.0349469464</v>
      </c>
      <c r="N1710" s="522">
        <f t="shared" si="829"/>
        <v>3471451.0349469464</v>
      </c>
      <c r="O1710" s="410" t="s">
        <v>2931</v>
      </c>
    </row>
    <row r="1711" spans="1:15" s="217" customFormat="1">
      <c r="A1711" s="217">
        <v>26</v>
      </c>
      <c r="B1711" s="10" t="s">
        <v>2408</v>
      </c>
      <c r="C1711" s="11" t="s">
        <v>900</v>
      </c>
      <c r="D1711" s="217">
        <f>IF(A1711=B1671,"New Revenue Adjustments",IF(AND(C1711=D1671,A1711&lt;B1671),"Attrition Necessary",0))</f>
        <v>0</v>
      </c>
      <c r="E1711" s="522">
        <f t="shared" si="826"/>
        <v>4234212.239583333</v>
      </c>
      <c r="F1711" s="522">
        <f t="shared" si="829"/>
        <v>4234212.239583333</v>
      </c>
      <c r="G1711" s="522">
        <f t="shared" si="829"/>
        <v>4234212.239583333</v>
      </c>
      <c r="H1711" s="522">
        <f t="shared" si="829"/>
        <v>4234212.239583333</v>
      </c>
      <c r="I1711" s="522">
        <f t="shared" si="829"/>
        <v>4234212.239583333</v>
      </c>
      <c r="J1711" s="522">
        <f t="shared" si="829"/>
        <v>4234212.239583333</v>
      </c>
      <c r="K1711" s="522">
        <f t="shared" si="829"/>
        <v>4234212.239583333</v>
      </c>
      <c r="L1711" s="522">
        <f t="shared" si="829"/>
        <v>4234212.239583333</v>
      </c>
      <c r="M1711" s="522">
        <f t="shared" si="829"/>
        <v>4234212.239583333</v>
      </c>
      <c r="N1711" s="522">
        <f t="shared" si="829"/>
        <v>4234212.239583333</v>
      </c>
      <c r="O1711" s="410" t="s">
        <v>2932</v>
      </c>
    </row>
    <row r="1712" spans="1:15" s="217" customFormat="1">
      <c r="A1712" s="217">
        <v>27</v>
      </c>
      <c r="B1712" s="10" t="s">
        <v>2408</v>
      </c>
      <c r="C1712" s="11" t="s">
        <v>901</v>
      </c>
      <c r="D1712" s="217">
        <f>IF(A1712=B1671,"New Revenue Adjustments",IF(AND(C1712=D1671,A1712&lt;B1671),"Attrition Necessary",0))</f>
        <v>0</v>
      </c>
      <c r="E1712" s="522">
        <f t="shared" si="826"/>
        <v>6543782.5520833349</v>
      </c>
      <c r="F1712" s="522">
        <f t="shared" si="829"/>
        <v>6543782.5520833349</v>
      </c>
      <c r="G1712" s="522">
        <f t="shared" si="829"/>
        <v>6543782.5520833349</v>
      </c>
      <c r="H1712" s="522">
        <f t="shared" si="829"/>
        <v>6543782.5520833349</v>
      </c>
      <c r="I1712" s="522">
        <f t="shared" si="829"/>
        <v>6543782.5520833349</v>
      </c>
      <c r="J1712" s="522">
        <f t="shared" si="829"/>
        <v>6543782.5520833349</v>
      </c>
      <c r="K1712" s="522">
        <f t="shared" si="829"/>
        <v>6543782.5520833349</v>
      </c>
      <c r="L1712" s="522">
        <f t="shared" si="829"/>
        <v>6543782.5520833349</v>
      </c>
      <c r="M1712" s="522">
        <f t="shared" si="829"/>
        <v>6543782.5520833349</v>
      </c>
      <c r="N1712" s="522">
        <f t="shared" si="829"/>
        <v>6543782.5520833349</v>
      </c>
      <c r="O1712" s="410" t="s">
        <v>2933</v>
      </c>
    </row>
    <row r="1713" spans="1:17" s="217" customFormat="1">
      <c r="A1713" s="217">
        <v>28</v>
      </c>
      <c r="B1713" s="10" t="s">
        <v>2408</v>
      </c>
      <c r="C1713" s="11" t="s">
        <v>902</v>
      </c>
      <c r="D1713" s="217">
        <f>IF(A1713=B1671,"New Revenue Adjustments",IF(AND(C1713=D1671,A1713&lt;B1671),"Attrition Necessary",0))</f>
        <v>0</v>
      </c>
      <c r="E1713" s="522">
        <f t="shared" si="826"/>
        <v>9623209.635416666</v>
      </c>
      <c r="F1713" s="522">
        <f t="shared" si="829"/>
        <v>9623209.635416666</v>
      </c>
      <c r="G1713" s="522">
        <f t="shared" si="829"/>
        <v>9623209.635416666</v>
      </c>
      <c r="H1713" s="522">
        <f t="shared" si="829"/>
        <v>9623209.635416666</v>
      </c>
      <c r="I1713" s="522">
        <f t="shared" si="829"/>
        <v>9623209.635416666</v>
      </c>
      <c r="J1713" s="522">
        <f t="shared" si="829"/>
        <v>9623209.635416666</v>
      </c>
      <c r="K1713" s="522">
        <f t="shared" si="829"/>
        <v>9623209.635416666</v>
      </c>
      <c r="L1713" s="522">
        <f t="shared" si="829"/>
        <v>9623209.635416666</v>
      </c>
      <c r="M1713" s="522">
        <f t="shared" si="829"/>
        <v>9623209.635416666</v>
      </c>
      <c r="N1713" s="522">
        <f t="shared" si="829"/>
        <v>9623209.635416666</v>
      </c>
      <c r="O1713" s="410" t="s">
        <v>2934</v>
      </c>
    </row>
    <row r="1714" spans="1:17" s="217" customFormat="1">
      <c r="A1714" s="217">
        <v>29</v>
      </c>
      <c r="B1714" s="10" t="s">
        <v>2413</v>
      </c>
      <c r="C1714" s="11" t="s">
        <v>899</v>
      </c>
      <c r="D1714" s="217" t="str">
        <f>IF(A1714=B1671,"New Revenue Adjustments",IF(AND(C1714=D1671,A1714&lt;B1671),"Attrition Necessary",0))</f>
        <v>New Revenue Adjustments</v>
      </c>
      <c r="E1714" s="522">
        <f t="shared" si="826"/>
        <v>3637573.2421875005</v>
      </c>
      <c r="F1714" s="522">
        <f t="shared" si="829"/>
        <v>3637573.2421875005</v>
      </c>
      <c r="G1714" s="522">
        <f t="shared" si="829"/>
        <v>3637573.2421875005</v>
      </c>
      <c r="H1714" s="522">
        <f t="shared" si="829"/>
        <v>3637573.2421875005</v>
      </c>
      <c r="I1714" s="522">
        <f t="shared" si="829"/>
        <v>3637573.2421875005</v>
      </c>
      <c r="J1714" s="522">
        <f t="shared" si="829"/>
        <v>3637573.2421875005</v>
      </c>
      <c r="K1714" s="522">
        <f t="shared" si="829"/>
        <v>3637573.2421875005</v>
      </c>
      <c r="L1714" s="522">
        <f t="shared" si="829"/>
        <v>3637573.2421875005</v>
      </c>
      <c r="M1714" s="522">
        <f t="shared" si="829"/>
        <v>3637573.2421875005</v>
      </c>
      <c r="N1714" s="522">
        <f t="shared" si="829"/>
        <v>3637573.2421875005</v>
      </c>
      <c r="O1714" s="410" t="s">
        <v>2935</v>
      </c>
    </row>
    <row r="1715" spans="1:17" s="217" customFormat="1">
      <c r="A1715" s="217">
        <v>30</v>
      </c>
      <c r="B1715" s="10" t="s">
        <v>2413</v>
      </c>
      <c r="C1715" s="11" t="s">
        <v>900</v>
      </c>
      <c r="D1715" s="217">
        <f>IF(A1715=B1671,"New Revenue Adjustments",IF(AND(C1715=D1671,A1715&lt;B1671),"Attrition Necessary",0))</f>
        <v>0</v>
      </c>
      <c r="E1715" s="522">
        <f t="shared" si="826"/>
        <v>0</v>
      </c>
      <c r="F1715" s="522">
        <f t="shared" si="829"/>
        <v>0</v>
      </c>
      <c r="G1715" s="522">
        <f t="shared" si="829"/>
        <v>0</v>
      </c>
      <c r="H1715" s="522">
        <f t="shared" si="829"/>
        <v>0</v>
      </c>
      <c r="I1715" s="522">
        <f t="shared" si="829"/>
        <v>0</v>
      </c>
      <c r="J1715" s="522">
        <f t="shared" si="829"/>
        <v>0</v>
      </c>
      <c r="K1715" s="522">
        <f t="shared" si="829"/>
        <v>0</v>
      </c>
      <c r="L1715" s="522">
        <f t="shared" si="829"/>
        <v>0</v>
      </c>
      <c r="M1715" s="522">
        <f t="shared" si="829"/>
        <v>0</v>
      </c>
      <c r="N1715" s="522">
        <f t="shared" si="829"/>
        <v>0</v>
      </c>
      <c r="O1715" s="410" t="s">
        <v>2936</v>
      </c>
    </row>
    <row r="1716" spans="1:17" s="217" customFormat="1">
      <c r="A1716" s="217">
        <v>31</v>
      </c>
      <c r="B1716" s="10" t="s">
        <v>2413</v>
      </c>
      <c r="C1716" s="11" t="s">
        <v>901</v>
      </c>
      <c r="D1716" s="217">
        <f>IF(A1716=B1671,"New Revenue Adjustments",IF(AND(C1716=D1671,A1716&lt;B1671),"Attrition Necessary",0))</f>
        <v>0</v>
      </c>
      <c r="E1716" s="522">
        <f t="shared" si="826"/>
        <v>0</v>
      </c>
      <c r="F1716" s="522">
        <f t="shared" si="829"/>
        <v>0</v>
      </c>
      <c r="G1716" s="522">
        <f t="shared" si="829"/>
        <v>0</v>
      </c>
      <c r="H1716" s="522">
        <f t="shared" si="829"/>
        <v>0</v>
      </c>
      <c r="I1716" s="522">
        <f t="shared" si="829"/>
        <v>0</v>
      </c>
      <c r="J1716" s="522">
        <f t="shared" si="829"/>
        <v>0</v>
      </c>
      <c r="K1716" s="522">
        <f t="shared" si="829"/>
        <v>0</v>
      </c>
      <c r="L1716" s="522">
        <f t="shared" si="829"/>
        <v>0</v>
      </c>
      <c r="M1716" s="522">
        <f t="shared" si="829"/>
        <v>0</v>
      </c>
      <c r="N1716" s="522">
        <f t="shared" si="829"/>
        <v>0</v>
      </c>
      <c r="O1716" s="410" t="s">
        <v>2937</v>
      </c>
    </row>
    <row r="1717" spans="1:17" s="217" customFormat="1">
      <c r="A1717" s="217">
        <v>32</v>
      </c>
      <c r="B1717" s="10" t="s">
        <v>2413</v>
      </c>
      <c r="C1717" s="11" t="s">
        <v>902</v>
      </c>
      <c r="D1717" s="217">
        <f>IF(A1717=B1671,"New Revenue Adjustments",IF(AND(C1717=D1671,A1717&lt;B1671),"Attrition Necessary",0))</f>
        <v>0</v>
      </c>
      <c r="E1717" s="522">
        <f t="shared" si="826"/>
        <v>0</v>
      </c>
      <c r="F1717" s="522">
        <f t="shared" si="829"/>
        <v>0</v>
      </c>
      <c r="G1717" s="522">
        <f t="shared" si="829"/>
        <v>0</v>
      </c>
      <c r="H1717" s="522">
        <f t="shared" si="829"/>
        <v>0</v>
      </c>
      <c r="I1717" s="522">
        <f t="shared" si="829"/>
        <v>0</v>
      </c>
      <c r="J1717" s="522">
        <f t="shared" si="829"/>
        <v>0</v>
      </c>
      <c r="K1717" s="522">
        <f t="shared" si="829"/>
        <v>0</v>
      </c>
      <c r="L1717" s="522">
        <f t="shared" si="829"/>
        <v>0</v>
      </c>
      <c r="M1717" s="522">
        <f t="shared" si="829"/>
        <v>0</v>
      </c>
      <c r="N1717" s="522">
        <f t="shared" si="829"/>
        <v>0</v>
      </c>
      <c r="O1717" s="410" t="s">
        <v>2938</v>
      </c>
    </row>
    <row r="1718" spans="1:17" s="217" customFormat="1">
      <c r="D1718" s="217" t="s">
        <v>905</v>
      </c>
      <c r="E1718" s="427">
        <f>SUM(E1686:E1717)</f>
        <v>115131206.66485702</v>
      </c>
      <c r="F1718" s="427">
        <f t="shared" ref="F1718:I1718" si="830">SUM(F1686:F1717)</f>
        <v>115131206.66485702</v>
      </c>
      <c r="G1718" s="427">
        <f t="shared" si="830"/>
        <v>115131206.66485702</v>
      </c>
      <c r="H1718" s="427">
        <f t="shared" si="830"/>
        <v>115131206.66485702</v>
      </c>
      <c r="I1718" s="427">
        <f t="shared" si="830"/>
        <v>115131206.66485702</v>
      </c>
      <c r="J1718" s="427">
        <f t="shared" ref="J1718:N1718" si="831">SUM(J1686:J1717)</f>
        <v>115131206.66485702</v>
      </c>
      <c r="K1718" s="427">
        <f t="shared" si="831"/>
        <v>115131206.66485702</v>
      </c>
      <c r="L1718" s="427">
        <f t="shared" si="831"/>
        <v>115131206.66485702</v>
      </c>
      <c r="M1718" s="427">
        <f t="shared" si="831"/>
        <v>115131206.66485702</v>
      </c>
      <c r="N1718" s="427">
        <f t="shared" si="831"/>
        <v>115131206.66485702</v>
      </c>
      <c r="O1718" s="217" t="s">
        <v>2939</v>
      </c>
    </row>
    <row r="1719" spans="1:17" s="217" customFormat="1">
      <c r="E1719" s="409"/>
      <c r="F1719" s="409"/>
      <c r="G1719" s="409"/>
      <c r="H1719" s="409"/>
      <c r="I1719" s="409"/>
      <c r="J1719" s="409"/>
      <c r="K1719" s="409"/>
      <c r="L1719" s="409"/>
      <c r="M1719" s="409"/>
      <c r="N1719" s="409"/>
    </row>
    <row r="1720" spans="1:17">
      <c r="A1720" s="217"/>
      <c r="B1720" s="69">
        <v>30</v>
      </c>
      <c r="C1720" s="217" t="s">
        <v>2413</v>
      </c>
      <c r="D1720" s="217" t="s">
        <v>900</v>
      </c>
    </row>
    <row r="1721" spans="1:17" s="217" customFormat="1">
      <c r="C1721" s="217" t="s">
        <v>1736</v>
      </c>
      <c r="E1721" s="409"/>
      <c r="F1721" s="409"/>
      <c r="G1721" s="409"/>
      <c r="H1721" s="409"/>
      <c r="I1721" s="409"/>
      <c r="J1721" s="409"/>
      <c r="K1721" s="409"/>
      <c r="L1721" s="409"/>
      <c r="M1721" s="409"/>
      <c r="N1721" s="409"/>
    </row>
    <row r="1722" spans="1:17" s="410" customFormat="1">
      <c r="D1722" s="410" t="s">
        <v>1754</v>
      </c>
      <c r="E1722" s="547">
        <f t="shared" ref="E1722:N1722" si="832">FORECAST(calcNPS,datatblNPSAttrition,datatblNPSScore)</f>
        <v>0.14946428571428572</v>
      </c>
      <c r="F1722" s="547">
        <f t="shared" si="832"/>
        <v>0.14946428571428572</v>
      </c>
      <c r="G1722" s="547">
        <f t="shared" si="832"/>
        <v>0.14946428571428572</v>
      </c>
      <c r="H1722" s="547">
        <f t="shared" si="832"/>
        <v>0.14946428571428572</v>
      </c>
      <c r="I1722" s="547">
        <f t="shared" si="832"/>
        <v>0.14946428571428572</v>
      </c>
      <c r="J1722" s="547">
        <f t="shared" si="832"/>
        <v>0.14946428571428572</v>
      </c>
      <c r="K1722" s="547">
        <f t="shared" si="832"/>
        <v>0.14946428571428572</v>
      </c>
      <c r="L1722" s="547">
        <f t="shared" si="832"/>
        <v>0.14946428571428572</v>
      </c>
      <c r="M1722" s="547">
        <f t="shared" si="832"/>
        <v>0.14946428571428572</v>
      </c>
      <c r="N1722" s="547">
        <f t="shared" si="832"/>
        <v>0.14946428571428572</v>
      </c>
    </row>
    <row r="1723" spans="1:17" s="410" customFormat="1">
      <c r="D1723" s="410" t="s">
        <v>1753</v>
      </c>
      <c r="E1723" s="547">
        <f>Data!$D$277</f>
        <v>0.1515124491492886</v>
      </c>
      <c r="F1723" s="547">
        <f>Data!$D$277</f>
        <v>0.1515124491492886</v>
      </c>
      <c r="G1723" s="547">
        <f>Data!$D$277</f>
        <v>0.1515124491492886</v>
      </c>
      <c r="H1723" s="547">
        <f>Data!$D$277</f>
        <v>0.1515124491492886</v>
      </c>
      <c r="I1723" s="547">
        <f>Data!$D$277</f>
        <v>0.1515124491492886</v>
      </c>
      <c r="J1723" s="547">
        <f>Data!$D$277</f>
        <v>0.1515124491492886</v>
      </c>
      <c r="K1723" s="547">
        <f>Data!$D$277</f>
        <v>0.1515124491492886</v>
      </c>
      <c r="L1723" s="547">
        <f>Data!$D$277</f>
        <v>0.1515124491492886</v>
      </c>
      <c r="M1723" s="547">
        <f>Data!$D$277</f>
        <v>0.1515124491492886</v>
      </c>
      <c r="N1723" s="547">
        <f>Data!$D$277</f>
        <v>0.1515124491492886</v>
      </c>
    </row>
    <row r="1724" spans="1:17" s="217" customFormat="1">
      <c r="D1724" s="217" t="s">
        <v>1755</v>
      </c>
      <c r="E1724" s="411">
        <f>E1722/E1723-1</f>
        <v>-1.351811977499473E-2</v>
      </c>
      <c r="F1724" s="411">
        <f t="shared" ref="F1724:I1724" si="833">F1722/F1723-1</f>
        <v>-1.351811977499473E-2</v>
      </c>
      <c r="G1724" s="411">
        <f t="shared" si="833"/>
        <v>-1.351811977499473E-2</v>
      </c>
      <c r="H1724" s="411">
        <f t="shared" si="833"/>
        <v>-1.351811977499473E-2</v>
      </c>
      <c r="I1724" s="411">
        <f t="shared" si="833"/>
        <v>-1.351811977499473E-2</v>
      </c>
      <c r="J1724" s="411">
        <f t="shared" ref="J1724:N1724" si="834">J1722/J1723-1</f>
        <v>-1.351811977499473E-2</v>
      </c>
      <c r="K1724" s="411">
        <f t="shared" si="834"/>
        <v>-1.351811977499473E-2</v>
      </c>
      <c r="L1724" s="411">
        <f t="shared" si="834"/>
        <v>-1.351811977499473E-2</v>
      </c>
      <c r="M1724" s="411">
        <f t="shared" si="834"/>
        <v>-1.351811977499473E-2</v>
      </c>
      <c r="N1724" s="411">
        <f t="shared" si="834"/>
        <v>-1.351811977499473E-2</v>
      </c>
      <c r="O1724" s="217" t="s">
        <v>2870</v>
      </c>
    </row>
    <row r="1725" spans="1:17" s="217" customFormat="1">
      <c r="C1725" s="217" t="s">
        <v>1757</v>
      </c>
      <c r="E1725" s="411"/>
      <c r="F1725" s="411"/>
      <c r="G1725" s="411"/>
      <c r="H1725" s="411"/>
      <c r="I1725" s="411"/>
      <c r="J1725" s="411"/>
      <c r="K1725" s="411"/>
      <c r="L1725" s="411"/>
      <c r="M1725" s="411"/>
      <c r="N1725" s="411"/>
    </row>
    <row r="1726" spans="1:17">
      <c r="D1726" s="69" t="s">
        <v>1151</v>
      </c>
      <c r="E1726" s="425">
        <f>IF(calcOrg62Timeline&lt;=$Q1726,INDEX(datatblOrg62Timeline,MATCH(decGTMOrg62Timeline,Data!$C$106:$C$111,0),2),0)*paramOrg62Impacts</f>
        <v>0</v>
      </c>
      <c r="F1726" s="425">
        <f>IF(calcOrg62Timeline&lt;=$Q1726,INDEX(datatblOrg62Timeline,MATCH(decGTMOrg62Timeline,Data!$C$106:$C$111,0),2),0)*paramOrg62Impacts</f>
        <v>0</v>
      </c>
      <c r="G1726" s="425">
        <f>IF(calcOrg62Timeline&lt;=$Q1726,INDEX(datatblOrg62Timeline,MATCH(decGTMOrg62Timeline,Data!$C$106:$C$111,0),2),0)*paramOrg62Impacts</f>
        <v>0</v>
      </c>
      <c r="H1726" s="425">
        <f>IF(calcOrg62Timeline&lt;=$Q1726,INDEX(datatblOrg62Timeline,MATCH(decGTMOrg62Timeline,Data!$C$106:$C$111,0),2),0)*paramOrg62Impacts</f>
        <v>0</v>
      </c>
      <c r="I1726" s="425">
        <f>IF(calcOrg62Timeline&lt;=$Q1726,INDEX(datatblOrg62Timeline,MATCH(decGTMOrg62Timeline,Data!$C$106:$C$111,0),2),0)*paramOrg62Impacts</f>
        <v>0</v>
      </c>
      <c r="J1726" s="425">
        <f>IF(calcOrg62Timeline&lt;=$Q1726,INDEX(datatblOrg62Timeline,MATCH(decGTMOrg62Timeline,Data!$C$106:$C$111,0),2),0)*paramOrg62Impacts</f>
        <v>0</v>
      </c>
      <c r="K1726" s="425">
        <f>IF(calcOrg62Timeline&lt;=$Q1726,INDEX(datatblOrg62Timeline,MATCH(decGTMOrg62Timeline,Data!$C$106:$C$111,0),2),0)*paramOrg62Impacts</f>
        <v>0</v>
      </c>
      <c r="L1726" s="425">
        <f>IF(calcOrg62Timeline&lt;=$Q1726,INDEX(datatblOrg62Timeline,MATCH(decGTMOrg62Timeline,Data!$C$106:$C$111,0),2),0)*paramOrg62Impacts</f>
        <v>0</v>
      </c>
      <c r="M1726" s="425">
        <f>IF(calcOrg62Timeline&lt;=$Q1726,INDEX(datatblOrg62Timeline,MATCH(decGTMOrg62Timeline,Data!$C$106:$C$111,0),2),0)*paramOrg62Impacts</f>
        <v>0</v>
      </c>
      <c r="N1726" s="425">
        <f>IF(calcOrg62Timeline&lt;=$Q1726,INDEX(datatblOrg62Timeline,MATCH(decGTMOrg62Timeline,Data!$C$106:$C$111,0),2),0)*paramOrg62Impacts</f>
        <v>0</v>
      </c>
      <c r="Q1726" s="69">
        <v>24</v>
      </c>
    </row>
    <row r="1727" spans="1:17">
      <c r="D1727" s="69" t="s">
        <v>507</v>
      </c>
      <c r="E1727" s="425">
        <f>IF(calcProductTimeline&lt;=$Q1727,INDEX(datatblStackFocusImpact,MATCH(decProductStackFocus,Data!$C$96:$C$101,0),2),0)+paramACVGrowthStack</f>
        <v>0</v>
      </c>
      <c r="F1727" s="425">
        <f>IF(calcProductTimeline&lt;=$Q1727,INDEX(datatblStackFocusImpact,MATCH(decProductStackFocus,Data!$C$96:$C$101,0),2),0)+paramACVGrowthStack</f>
        <v>0</v>
      </c>
      <c r="G1727" s="425">
        <f>IF(calcProductTimeline&lt;=$Q1727,INDEX(datatblStackFocusImpact,MATCH(decProductStackFocus,Data!$C$96:$C$101,0),2),0)+paramACVGrowthStack</f>
        <v>0</v>
      </c>
      <c r="H1727" s="425">
        <f>IF(calcProductTimeline&lt;=$Q1727,INDEX(datatblStackFocusImpact,MATCH(decProductStackFocus,Data!$C$96:$C$101,0),2),0)+paramACVGrowthStack</f>
        <v>0</v>
      </c>
      <c r="I1727" s="425">
        <f>IF(calcProductTimeline&lt;=$Q1727,INDEX(datatblStackFocusImpact,MATCH(decProductStackFocus,Data!$C$96:$C$101,0),2),0)+paramACVGrowthStack</f>
        <v>0</v>
      </c>
      <c r="J1727" s="425">
        <f>IF(calcProductTimeline&lt;=$Q1727,INDEX(datatblStackFocusImpact,MATCH(decProductStackFocus,Data!$C$96:$C$101,0),2),0)+paramACVGrowthStack</f>
        <v>0</v>
      </c>
      <c r="K1727" s="425">
        <f>IF(calcProductTimeline&lt;=$Q1727,INDEX(datatblStackFocusImpact,MATCH(decProductStackFocus,Data!$C$96:$C$101,0),2),0)+paramACVGrowthStack</f>
        <v>0</v>
      </c>
      <c r="L1727" s="425">
        <f>IF(calcProductTimeline&lt;=$Q1727,INDEX(datatblStackFocusImpact,MATCH(decProductStackFocus,Data!$C$96:$C$101,0),2),0)+paramACVGrowthStack</f>
        <v>0</v>
      </c>
      <c r="M1727" s="425">
        <f>IF(calcProductTimeline&lt;=$Q1727,INDEX(datatblStackFocusImpact,MATCH(decProductStackFocus,Data!$C$96:$C$101,0),2),0)+paramACVGrowthStack</f>
        <v>0</v>
      </c>
      <c r="N1727" s="425">
        <f>IF(calcProductTimeline&lt;=$Q1727,INDEX(datatblStackFocusImpact,MATCH(decProductStackFocus,Data!$C$96:$C$101,0),2),0)+paramACVGrowthStack</f>
        <v>0</v>
      </c>
      <c r="Q1727" s="69">
        <f>Q1726</f>
        <v>24</v>
      </c>
    </row>
    <row r="1728" spans="1:17">
      <c r="D1728" s="69" t="s">
        <v>2237</v>
      </c>
      <c r="E1728" s="425">
        <f>IF(calcExternalSalesTimeline&lt;=$Q1728,INDEX(datatblExternalSalesImpact,MATCH(decGTMExternalSales,Data!$C$85:$C$90,0),2),0)</f>
        <v>0</v>
      </c>
      <c r="F1728" s="425">
        <f>IF(calcExternalSalesTimeline&lt;=$Q1728,INDEX(datatblExternalSalesImpact,MATCH(decGTMExternalSales,Data!$C$85:$C$90,0),2),0)</f>
        <v>0</v>
      </c>
      <c r="G1728" s="425">
        <f>IF(calcExternalSalesTimeline&lt;=$Q1728,INDEX(datatblExternalSalesImpact,MATCH(decGTMExternalSales,Data!$C$85:$C$90,0),2),0)</f>
        <v>0</v>
      </c>
      <c r="H1728" s="425">
        <f>IF(calcExternalSalesTimeline&lt;=$Q1728,INDEX(datatblExternalSalesImpact,MATCH(decGTMExternalSales,Data!$C$85:$C$90,0),2),0)</f>
        <v>0</v>
      </c>
      <c r="I1728" s="425">
        <f>IF(calcExternalSalesTimeline&lt;=$Q1728,INDEX(datatblExternalSalesImpact,MATCH(decGTMExternalSales,Data!$C$85:$C$90,0),2),0)</f>
        <v>0</v>
      </c>
      <c r="J1728" s="425">
        <f>IF(calcExternalSalesTimeline&lt;=$Q1728,INDEX(datatblExternalSalesImpact,MATCH(decGTMExternalSales,Data!$C$85:$C$90,0),2),0)</f>
        <v>0</v>
      </c>
      <c r="K1728" s="425">
        <f>IF(calcExternalSalesTimeline&lt;=$Q1728,INDEX(datatblExternalSalesImpact,MATCH(decGTMExternalSales,Data!$C$85:$C$90,0),2),0)</f>
        <v>0</v>
      </c>
      <c r="L1728" s="425">
        <f>IF(calcExternalSalesTimeline&lt;=$Q1728,INDEX(datatblExternalSalesImpact,MATCH(decGTMExternalSales,Data!$C$85:$C$90,0),2),0)</f>
        <v>0</v>
      </c>
      <c r="M1728" s="425">
        <f>IF(calcExternalSalesTimeline&lt;=$Q1728,INDEX(datatblExternalSalesImpact,MATCH(decGTMExternalSales,Data!$C$85:$C$90,0),2),0)</f>
        <v>0</v>
      </c>
      <c r="N1728" s="425">
        <f>IF(calcExternalSalesTimeline&lt;=$Q1728,INDEX(datatblExternalSalesImpact,MATCH(decGTMExternalSales,Data!$C$85:$C$90,0),2),0)</f>
        <v>0</v>
      </c>
      <c r="O1728" s="482">
        <v>0.05</v>
      </c>
      <c r="P1728" s="482">
        <v>-0.05</v>
      </c>
      <c r="Q1728" s="69">
        <f>Q1727</f>
        <v>24</v>
      </c>
    </row>
    <row r="1729" spans="1:18">
      <c r="D1729" s="69" t="s">
        <v>2284</v>
      </c>
      <c r="E1729" s="425">
        <f>IF(calcCSGTimeline&lt;=$Q1729,INDEX(datatblCSGPostSales,MATCH(decGTMCSGPostSales,Data!$C$204:$C$209,0),3),0)</f>
        <v>0</v>
      </c>
      <c r="F1729" s="425">
        <f>IF(calcCSGTimeline&lt;=$Q1729,INDEX(datatblCSGPostSales,MATCH(decGTMCSGPostSales,Data!$C$204:$C$209,0),3),0)</f>
        <v>0</v>
      </c>
      <c r="G1729" s="425">
        <f>IF(calcCSGTimeline&lt;=$Q1729,INDEX(datatblCSGPostSales,MATCH(decGTMCSGPostSales,Data!$C$204:$C$209,0),3),0)</f>
        <v>0</v>
      </c>
      <c r="H1729" s="425">
        <f>IF(calcCSGTimeline&lt;=$Q1729,INDEX(datatblCSGPostSales,MATCH(decGTMCSGPostSales,Data!$C$204:$C$209,0),3),0)</f>
        <v>0</v>
      </c>
      <c r="I1729" s="425">
        <f>IF(calcCSGTimeline&lt;=$Q1729,INDEX(datatblCSGPostSales,MATCH(decGTMCSGPostSales,Data!$C$204:$C$209,0),3),0)</f>
        <v>0</v>
      </c>
      <c r="J1729" s="425">
        <f>IF(calcCSGTimeline&lt;=$Q1729,INDEX(datatblCSGPostSales,MATCH(decGTMCSGPostSales,Data!$C$204:$C$209,0),3),0)</f>
        <v>0</v>
      </c>
      <c r="K1729" s="425">
        <f>IF(calcCSGTimeline&lt;=$Q1729,INDEX(datatblCSGPostSales,MATCH(decGTMCSGPostSales,Data!$C$204:$C$209,0),3),0)</f>
        <v>0</v>
      </c>
      <c r="L1729" s="425">
        <f>IF(calcCSGTimeline&lt;=$Q1729,INDEX(datatblCSGPostSales,MATCH(decGTMCSGPostSales,Data!$C$204:$C$209,0),3),0)</f>
        <v>0</v>
      </c>
      <c r="M1729" s="425">
        <f>IF(calcCSGTimeline&lt;=$Q1729,INDEX(datatblCSGPostSales,MATCH(decGTMCSGPostSales,Data!$C$204:$C$209,0),3),0)</f>
        <v>0</v>
      </c>
      <c r="N1729" s="425">
        <f>IF(calcCSGTimeline&lt;=$Q1729,INDEX(datatblCSGPostSales,MATCH(decGTMCSGPostSales,Data!$C$204:$C$209,0),3),0)</f>
        <v>0</v>
      </c>
      <c r="O1729" s="482"/>
      <c r="P1729" s="482"/>
      <c r="Q1729" s="69">
        <f>Q1728</f>
        <v>24</v>
      </c>
    </row>
    <row r="1730" spans="1:18">
      <c r="D1730" s="69" t="s">
        <v>3079</v>
      </c>
      <c r="E1730" s="425">
        <f>IF(calcBrandIntegrationTimeline&lt;=$Q1730,INDEX(datatblBrandIntegration,MATCH(decGTMBrandIntegration,Data!$C$220:$C$226,0),3),0)</f>
        <v>0</v>
      </c>
      <c r="F1730" s="425">
        <f>IF(calcBrandIntegrationTimeline&lt;=$Q1730,INDEX(datatblBrandIntegration,MATCH(decGTMBrandIntegration,Data!$C$220:$C$226,0),3),0)</f>
        <v>0</v>
      </c>
      <c r="G1730" s="425">
        <f>IF(calcBrandIntegrationTimeline&lt;=$Q1730,INDEX(datatblBrandIntegration,MATCH(decGTMBrandIntegration,Data!$C$220:$C$226,0),3),0)</f>
        <v>0</v>
      </c>
      <c r="H1730" s="425">
        <f>IF(calcBrandIntegrationTimeline&lt;=$Q1730,INDEX(datatblBrandIntegration,MATCH(decGTMBrandIntegration,Data!$C$220:$C$226,0),3),0)</f>
        <v>0</v>
      </c>
      <c r="I1730" s="425">
        <f>IF(calcBrandIntegrationTimeline&lt;=$Q1730,INDEX(datatblBrandIntegration,MATCH(decGTMBrandIntegration,Data!$C$220:$C$226,0),3),0)</f>
        <v>0</v>
      </c>
      <c r="J1730" s="425">
        <f>IF(calcBrandIntegrationTimeline&lt;=$Q1730,INDEX(datatblBrandIntegration,MATCH(decGTMBrandIntegration,Data!$C$220:$C$226,0),3),0)</f>
        <v>0</v>
      </c>
      <c r="K1730" s="425">
        <f>IF(calcBrandIntegrationTimeline&lt;=$Q1730,INDEX(datatblBrandIntegration,MATCH(decGTMBrandIntegration,Data!$C$220:$C$226,0),3),0)</f>
        <v>0</v>
      </c>
      <c r="L1730" s="425">
        <f>IF(calcBrandIntegrationTimeline&lt;=$Q1730,INDEX(datatblBrandIntegration,MATCH(decGTMBrandIntegration,Data!$C$220:$C$226,0),3),0)</f>
        <v>0</v>
      </c>
      <c r="M1730" s="425">
        <f>IF(calcBrandIntegrationTimeline&lt;=$Q1730,INDEX(datatblBrandIntegration,MATCH(decGTMBrandIntegration,Data!$C$220:$C$226,0),3),0)</f>
        <v>0</v>
      </c>
      <c r="N1730" s="425">
        <f>IF(calcBrandIntegrationTimeline&lt;=$Q1730,INDEX(datatblBrandIntegration,MATCH(decGTMBrandIntegration,Data!$C$220:$C$226,0),3),0)</f>
        <v>0</v>
      </c>
      <c r="O1730" s="482"/>
      <c r="P1730" s="482"/>
      <c r="Q1730" s="69">
        <f>Q1729</f>
        <v>24</v>
      </c>
    </row>
    <row r="1731" spans="1:18">
      <c r="D1731" s="69" t="s">
        <v>2277</v>
      </c>
      <c r="E1731" s="425">
        <f>IF(decGTMOrg62Timeline="choose",0,IF(E1726=0,INDEX(datatblLeadPass,MATCH(decGTMLeadPass,Data!$C$212:$C$217,0),3),0))</f>
        <v>0</v>
      </c>
      <c r="F1731" s="425">
        <f>IF(decGTMOrg62Timeline="choose",0,IF(F1726=0,INDEX(datatblLeadPass,MATCH(decGTMLeadPass,Data!$C$212:$C$217,0),3),0))</f>
        <v>0</v>
      </c>
      <c r="G1731" s="425">
        <f>IF(decGTMOrg62Timeline="choose",0,IF(G1726=0,INDEX(datatblLeadPass,MATCH(decGTMLeadPass,Data!$C$212:$C$217,0),3),0))</f>
        <v>0</v>
      </c>
      <c r="H1731" s="425">
        <f>IF(decGTMOrg62Timeline="choose",0,IF(H1726=0,INDEX(datatblLeadPass,MATCH(decGTMLeadPass,Data!$C$212:$C$217,0),3),0))</f>
        <v>0</v>
      </c>
      <c r="I1731" s="425">
        <f>IF(decGTMOrg62Timeline="choose",0,IF(I1726=0,INDEX(datatblLeadPass,MATCH(decGTMLeadPass,Data!$C$212:$C$217,0),3),0))</f>
        <v>0</v>
      </c>
      <c r="J1731" s="425">
        <f>IF(decGTMOrg62Timeline="choose",0,IF(J1726=0,INDEX(datatblLeadPass,MATCH(decGTMLeadPass,Data!$C$212:$C$217,0),3),0))</f>
        <v>0</v>
      </c>
      <c r="K1731" s="425">
        <f>IF(decGTMOrg62Timeline="choose",0,IF(K1726=0,INDEX(datatblLeadPass,MATCH(decGTMLeadPass,Data!$C$212:$C$217,0),3),0))</f>
        <v>0</v>
      </c>
      <c r="L1731" s="425">
        <f>IF(decGTMOrg62Timeline="choose",0,IF(L1726=0,INDEX(datatblLeadPass,MATCH(decGTMLeadPass,Data!$C$212:$C$217,0),3),0))</f>
        <v>0</v>
      </c>
      <c r="M1731" s="425">
        <f>IF(decGTMOrg62Timeline="choose",0,IF(M1726=0,INDEX(datatblLeadPass,MATCH(decGTMLeadPass,Data!$C$212:$C$217,0),3),0))</f>
        <v>0</v>
      </c>
      <c r="N1731" s="425">
        <f>IF(decGTMOrg62Timeline="choose",0,IF(N1726=0,INDEX(datatblLeadPass,MATCH(decGTMLeadPass,Data!$C$212:$C$217,0),3),0))</f>
        <v>0</v>
      </c>
      <c r="O1731" s="482"/>
      <c r="P1731" s="482"/>
    </row>
    <row r="1732" spans="1:18">
      <c r="D1732" s="69" t="s">
        <v>1032</v>
      </c>
      <c r="E1732" s="425">
        <f>IF(decSecurityProductRestrictions="Yes",$Q1732,IF(decSecurityProductRestrictions="No",$R1732,$S1732))</f>
        <v>0</v>
      </c>
      <c r="F1732" s="425">
        <f t="shared" ref="F1732:N1732" si="835">IF(decSecurityProductRestrictions="Yes",$Q1732,IF(decSecurityProductRestrictions="No",$R1732,$S1732))</f>
        <v>0</v>
      </c>
      <c r="G1732" s="425">
        <f t="shared" si="835"/>
        <v>0</v>
      </c>
      <c r="H1732" s="425">
        <f t="shared" si="835"/>
        <v>0</v>
      </c>
      <c r="I1732" s="425">
        <f t="shared" si="835"/>
        <v>0</v>
      </c>
      <c r="J1732" s="425">
        <f t="shared" si="835"/>
        <v>0</v>
      </c>
      <c r="K1732" s="425">
        <f t="shared" si="835"/>
        <v>0</v>
      </c>
      <c r="L1732" s="425">
        <f t="shared" si="835"/>
        <v>0</v>
      </c>
      <c r="M1732" s="425">
        <f t="shared" si="835"/>
        <v>0</v>
      </c>
      <c r="N1732" s="425">
        <f t="shared" si="835"/>
        <v>0</v>
      </c>
      <c r="Q1732" s="482">
        <f>xxProductRestrictionACVHit</f>
        <v>-0.02</v>
      </c>
      <c r="R1732" s="482">
        <f>xxProductRestrictionACVIncrease</f>
        <v>0.02</v>
      </c>
    </row>
    <row r="1733" spans="1:18" s="217" customFormat="1">
      <c r="D1733" s="217" t="s">
        <v>1758</v>
      </c>
      <c r="E1733" s="411">
        <f t="shared" ref="E1733:N1733" si="836">SUM(E1726:E1732)+paramACVGrowthBaseline</f>
        <v>0</v>
      </c>
      <c r="F1733" s="411">
        <f t="shared" si="836"/>
        <v>0</v>
      </c>
      <c r="G1733" s="411">
        <f t="shared" si="836"/>
        <v>0</v>
      </c>
      <c r="H1733" s="411">
        <f t="shared" si="836"/>
        <v>0</v>
      </c>
      <c r="I1733" s="411">
        <f t="shared" si="836"/>
        <v>0</v>
      </c>
      <c r="J1733" s="411">
        <f t="shared" si="836"/>
        <v>0</v>
      </c>
      <c r="K1733" s="411">
        <f t="shared" si="836"/>
        <v>0</v>
      </c>
      <c r="L1733" s="411">
        <f t="shared" si="836"/>
        <v>0</v>
      </c>
      <c r="M1733" s="411">
        <f t="shared" si="836"/>
        <v>0</v>
      </c>
      <c r="N1733" s="411">
        <f t="shared" si="836"/>
        <v>0</v>
      </c>
      <c r="O1733" s="217" t="s">
        <v>2871</v>
      </c>
    </row>
    <row r="1734" spans="1:18" s="217" customFormat="1">
      <c r="E1734" s="411"/>
      <c r="F1734" s="411"/>
      <c r="G1734" s="411"/>
      <c r="H1734" s="411"/>
      <c r="I1734" s="411"/>
      <c r="J1734" s="411"/>
      <c r="K1734" s="411"/>
      <c r="L1734" s="411"/>
      <c r="M1734" s="411"/>
      <c r="N1734" s="411"/>
    </row>
    <row r="1735" spans="1:18" s="217" customFormat="1">
      <c r="A1735" s="217">
        <v>1</v>
      </c>
      <c r="B1735" s="10" t="s">
        <v>1735</v>
      </c>
      <c r="C1735" s="11" t="s">
        <v>899</v>
      </c>
      <c r="D1735" s="217">
        <f>IF(A1735=B1720,"New Revenue Adjustments",IF(AND(C1735=D1720,A1735&lt;B1720),"Attrition Necessary",0))</f>
        <v>0</v>
      </c>
      <c r="E1735" s="522">
        <f t="shared" ref="E1735:N1744" si="837">IF($B$1720&gt;$A1735,INDEX(calcY5Q1RevFlow,$A1735,calcTeamNum)*(IF($D1735="Attrition Necessary",1-calcQ2AttritionDifference,1)*(IF($D1735="New Revenue Adjustments",1+calcY5Q2RevenueAdjustment,1))),INDEX(dataY5Q2Rev,$A1735,)*(IF($D1735="Attrition Necessary",1-calcQ2AttritionDifference,1))*(IF($D1735="New Revenue Adjustments",1+calcY5Q2RevenueAdjustment,1)))</f>
        <v>927350.93900385476</v>
      </c>
      <c r="F1735" s="522">
        <f t="shared" si="837"/>
        <v>927350.93900385476</v>
      </c>
      <c r="G1735" s="522">
        <f t="shared" si="837"/>
        <v>927350.93900385476</v>
      </c>
      <c r="H1735" s="522">
        <f t="shared" si="837"/>
        <v>927350.93900385476</v>
      </c>
      <c r="I1735" s="522">
        <f t="shared" si="837"/>
        <v>927350.93900385476</v>
      </c>
      <c r="J1735" s="522">
        <f t="shared" si="837"/>
        <v>927350.93900385476</v>
      </c>
      <c r="K1735" s="522">
        <f t="shared" si="837"/>
        <v>927350.93900385476</v>
      </c>
      <c r="L1735" s="522">
        <f t="shared" si="837"/>
        <v>927350.93900385476</v>
      </c>
      <c r="M1735" s="522">
        <f t="shared" si="837"/>
        <v>927350.93900385476</v>
      </c>
      <c r="N1735" s="522">
        <f t="shared" si="837"/>
        <v>927350.93900385476</v>
      </c>
      <c r="O1735" s="410" t="s">
        <v>2872</v>
      </c>
    </row>
    <row r="1736" spans="1:18" s="217" customFormat="1">
      <c r="A1736" s="217">
        <v>2</v>
      </c>
      <c r="B1736" s="10" t="s">
        <v>1735</v>
      </c>
      <c r="C1736" s="11" t="s">
        <v>900</v>
      </c>
      <c r="D1736" s="217" t="str">
        <f>IF(A1736=B1720,"New Revenue Adjustments",IF(AND(C1736=D1720,A1736&lt;B1720),"Attrition Necessary",0))</f>
        <v>Attrition Necessary</v>
      </c>
      <c r="E1736" s="522">
        <f t="shared" si="837"/>
        <v>1636501.6570656262</v>
      </c>
      <c r="F1736" s="522">
        <f t="shared" si="837"/>
        <v>1636501.6570656262</v>
      </c>
      <c r="G1736" s="522">
        <f t="shared" si="837"/>
        <v>1636501.6570656262</v>
      </c>
      <c r="H1736" s="522">
        <f t="shared" si="837"/>
        <v>1636501.6570656262</v>
      </c>
      <c r="I1736" s="522">
        <f t="shared" si="837"/>
        <v>1636501.6570656262</v>
      </c>
      <c r="J1736" s="522">
        <f t="shared" si="837"/>
        <v>1636501.6570656262</v>
      </c>
      <c r="K1736" s="522">
        <f t="shared" si="837"/>
        <v>1636501.6570656262</v>
      </c>
      <c r="L1736" s="522">
        <f t="shared" si="837"/>
        <v>1636501.6570656262</v>
      </c>
      <c r="M1736" s="522">
        <f t="shared" si="837"/>
        <v>1636501.6570656262</v>
      </c>
      <c r="N1736" s="522">
        <f t="shared" si="837"/>
        <v>1636501.6570656262</v>
      </c>
      <c r="O1736" s="410" t="s">
        <v>2873</v>
      </c>
    </row>
    <row r="1737" spans="1:18" s="217" customFormat="1">
      <c r="A1737" s="217">
        <v>3</v>
      </c>
      <c r="B1737" s="10" t="s">
        <v>1735</v>
      </c>
      <c r="C1737" s="11" t="s">
        <v>901</v>
      </c>
      <c r="D1737" s="217">
        <f>IF(A1737=B1720,"New Revenue Adjustments",IF(AND(C1737=D1720,A1737&lt;B1720),"Attrition Necessary",0))</f>
        <v>0</v>
      </c>
      <c r="E1737" s="522">
        <f t="shared" si="837"/>
        <v>2177542.2470123302</v>
      </c>
      <c r="F1737" s="522">
        <f t="shared" si="837"/>
        <v>2177542.2470123302</v>
      </c>
      <c r="G1737" s="522">
        <f t="shared" si="837"/>
        <v>2177542.2470123302</v>
      </c>
      <c r="H1737" s="522">
        <f t="shared" si="837"/>
        <v>2177542.2470123302</v>
      </c>
      <c r="I1737" s="522">
        <f t="shared" si="837"/>
        <v>2177542.2470123302</v>
      </c>
      <c r="J1737" s="522">
        <f t="shared" si="837"/>
        <v>2177542.2470123302</v>
      </c>
      <c r="K1737" s="522">
        <f t="shared" si="837"/>
        <v>2177542.2470123302</v>
      </c>
      <c r="L1737" s="522">
        <f t="shared" si="837"/>
        <v>2177542.2470123302</v>
      </c>
      <c r="M1737" s="522">
        <f t="shared" si="837"/>
        <v>2177542.2470123302</v>
      </c>
      <c r="N1737" s="522">
        <f t="shared" si="837"/>
        <v>2177542.2470123302</v>
      </c>
      <c r="O1737" s="410" t="s">
        <v>2874</v>
      </c>
    </row>
    <row r="1738" spans="1:18" s="217" customFormat="1">
      <c r="A1738" s="217">
        <v>4</v>
      </c>
      <c r="B1738" s="10" t="s">
        <v>1735</v>
      </c>
      <c r="C1738" s="11" t="s">
        <v>902</v>
      </c>
      <c r="D1738" s="217">
        <f>IF(A1738=B1720,"New Revenue Adjustments",IF(AND(C1738=D1720,A1738&lt;B1720),"Attrition Necessary",0))</f>
        <v>0</v>
      </c>
      <c r="E1738" s="522">
        <f t="shared" si="837"/>
        <v>2721927.8087654128</v>
      </c>
      <c r="F1738" s="522">
        <f t="shared" si="837"/>
        <v>2721927.8087654128</v>
      </c>
      <c r="G1738" s="522">
        <f t="shared" si="837"/>
        <v>2721927.8087654128</v>
      </c>
      <c r="H1738" s="522">
        <f t="shared" si="837"/>
        <v>2721927.8087654128</v>
      </c>
      <c r="I1738" s="522">
        <f t="shared" si="837"/>
        <v>2721927.8087654128</v>
      </c>
      <c r="J1738" s="522">
        <f t="shared" si="837"/>
        <v>2721927.8087654128</v>
      </c>
      <c r="K1738" s="522">
        <f t="shared" si="837"/>
        <v>2721927.8087654128</v>
      </c>
      <c r="L1738" s="522">
        <f t="shared" si="837"/>
        <v>2721927.8087654128</v>
      </c>
      <c r="M1738" s="522">
        <f t="shared" si="837"/>
        <v>2721927.8087654128</v>
      </c>
      <c r="N1738" s="522">
        <f t="shared" si="837"/>
        <v>2721927.8087654128</v>
      </c>
      <c r="O1738" s="410" t="s">
        <v>2875</v>
      </c>
    </row>
    <row r="1739" spans="1:18" s="217" customFormat="1">
      <c r="A1739" s="217">
        <v>5</v>
      </c>
      <c r="B1739" s="10" t="s">
        <v>1729</v>
      </c>
      <c r="C1739" s="11" t="s">
        <v>899</v>
      </c>
      <c r="D1739" s="217">
        <f>IF(A1739=B1720,"New Revenue Adjustments",IF(AND(C1739=D1720,A1739&lt;B1720),"Attrition Necessary",0))</f>
        <v>0</v>
      </c>
      <c r="E1739" s="522">
        <f t="shared" si="837"/>
        <v>1091001.1047104176</v>
      </c>
      <c r="F1739" s="522">
        <f t="shared" si="837"/>
        <v>1091001.1047104176</v>
      </c>
      <c r="G1739" s="522">
        <f t="shared" si="837"/>
        <v>1091001.1047104176</v>
      </c>
      <c r="H1739" s="522">
        <f t="shared" si="837"/>
        <v>1091001.1047104176</v>
      </c>
      <c r="I1739" s="522">
        <f t="shared" si="837"/>
        <v>1091001.1047104176</v>
      </c>
      <c r="J1739" s="522">
        <f t="shared" si="837"/>
        <v>1091001.1047104176</v>
      </c>
      <c r="K1739" s="522">
        <f t="shared" si="837"/>
        <v>1091001.1047104176</v>
      </c>
      <c r="L1739" s="522">
        <f t="shared" si="837"/>
        <v>1091001.1047104176</v>
      </c>
      <c r="M1739" s="522">
        <f t="shared" si="837"/>
        <v>1091001.1047104176</v>
      </c>
      <c r="N1739" s="522">
        <f t="shared" si="837"/>
        <v>1091001.1047104176</v>
      </c>
      <c r="O1739" s="410" t="s">
        <v>2876</v>
      </c>
    </row>
    <row r="1740" spans="1:18" s="217" customFormat="1">
      <c r="A1740" s="217">
        <v>6</v>
      </c>
      <c r="B1740" s="10" t="s">
        <v>1729</v>
      </c>
      <c r="C1740" s="11" t="s">
        <v>900</v>
      </c>
      <c r="D1740" s="217" t="str">
        <f>IF(A1740=B1720,"New Revenue Adjustments",IF(AND(C1740=D1720,A1740&lt;B1720),"Attrition Necessary",0))</f>
        <v>Attrition Necessary</v>
      </c>
      <c r="E1740" s="522">
        <f t="shared" si="837"/>
        <v>1571556.1098204977</v>
      </c>
      <c r="F1740" s="522">
        <f t="shared" si="837"/>
        <v>1571556.1098204977</v>
      </c>
      <c r="G1740" s="522">
        <f t="shared" si="837"/>
        <v>1571556.1098204977</v>
      </c>
      <c r="H1740" s="522">
        <f t="shared" si="837"/>
        <v>1571556.1098204977</v>
      </c>
      <c r="I1740" s="522">
        <f t="shared" si="837"/>
        <v>1571556.1098204977</v>
      </c>
      <c r="J1740" s="522">
        <f t="shared" si="837"/>
        <v>1571556.1098204977</v>
      </c>
      <c r="K1740" s="522">
        <f t="shared" si="837"/>
        <v>1571556.1098204977</v>
      </c>
      <c r="L1740" s="522">
        <f t="shared" si="837"/>
        <v>1571556.1098204977</v>
      </c>
      <c r="M1740" s="522">
        <f t="shared" si="837"/>
        <v>1571556.1098204977</v>
      </c>
      <c r="N1740" s="522">
        <f t="shared" si="837"/>
        <v>1571556.1098204977</v>
      </c>
      <c r="O1740" s="410" t="s">
        <v>2877</v>
      </c>
    </row>
    <row r="1741" spans="1:18" s="217" customFormat="1">
      <c r="A1741" s="217">
        <v>7</v>
      </c>
      <c r="B1741" s="10" t="s">
        <v>1729</v>
      </c>
      <c r="C1741" s="11" t="s">
        <v>901</v>
      </c>
      <c r="D1741" s="217">
        <f>IF(A1741=B1720,"New Revenue Adjustments",IF(AND(C1741=D1720,A1741&lt;B1720),"Attrition Necessary",0))</f>
        <v>0</v>
      </c>
      <c r="E1741" s="522">
        <f t="shared" si="837"/>
        <v>2423804.1862510652</v>
      </c>
      <c r="F1741" s="522">
        <f t="shared" si="837"/>
        <v>2423804.1862510652</v>
      </c>
      <c r="G1741" s="522">
        <f t="shared" si="837"/>
        <v>2423804.1862510652</v>
      </c>
      <c r="H1741" s="522">
        <f t="shared" si="837"/>
        <v>2423804.1862510652</v>
      </c>
      <c r="I1741" s="522">
        <f t="shared" si="837"/>
        <v>2423804.1862510652</v>
      </c>
      <c r="J1741" s="522">
        <f t="shared" si="837"/>
        <v>2423804.1862510652</v>
      </c>
      <c r="K1741" s="522">
        <f t="shared" si="837"/>
        <v>2423804.1862510652</v>
      </c>
      <c r="L1741" s="522">
        <f t="shared" si="837"/>
        <v>2423804.1862510652</v>
      </c>
      <c r="M1741" s="522">
        <f t="shared" si="837"/>
        <v>2423804.1862510652</v>
      </c>
      <c r="N1741" s="522">
        <f t="shared" si="837"/>
        <v>2423804.1862510652</v>
      </c>
      <c r="O1741" s="410" t="s">
        <v>2878</v>
      </c>
    </row>
    <row r="1742" spans="1:18" s="217" customFormat="1">
      <c r="A1742" s="217">
        <v>8</v>
      </c>
      <c r="B1742" s="10" t="s">
        <v>1729</v>
      </c>
      <c r="C1742" s="11" t="s">
        <v>902</v>
      </c>
      <c r="D1742" s="217">
        <f>IF(A1742=B1720,"New Revenue Adjustments",IF(AND(C1742=D1720,A1742&lt;B1720),"Attrition Necessary",0))</f>
        <v>0</v>
      </c>
      <c r="E1742" s="522">
        <f t="shared" si="837"/>
        <v>3564417.920957448</v>
      </c>
      <c r="F1742" s="522">
        <f t="shared" si="837"/>
        <v>3564417.920957448</v>
      </c>
      <c r="G1742" s="522">
        <f t="shared" si="837"/>
        <v>3564417.920957448</v>
      </c>
      <c r="H1742" s="522">
        <f t="shared" si="837"/>
        <v>3564417.920957448</v>
      </c>
      <c r="I1742" s="522">
        <f t="shared" si="837"/>
        <v>3564417.920957448</v>
      </c>
      <c r="J1742" s="522">
        <f t="shared" si="837"/>
        <v>3564417.920957448</v>
      </c>
      <c r="K1742" s="522">
        <f t="shared" si="837"/>
        <v>3564417.920957448</v>
      </c>
      <c r="L1742" s="522">
        <f t="shared" si="837"/>
        <v>3564417.920957448</v>
      </c>
      <c r="M1742" s="522">
        <f t="shared" si="837"/>
        <v>3564417.920957448</v>
      </c>
      <c r="N1742" s="522">
        <f t="shared" si="837"/>
        <v>3564417.920957448</v>
      </c>
      <c r="O1742" s="410" t="s">
        <v>2879</v>
      </c>
    </row>
    <row r="1743" spans="1:18" s="217" customFormat="1">
      <c r="A1743" s="217">
        <v>9</v>
      </c>
      <c r="B1743" s="10" t="s">
        <v>405</v>
      </c>
      <c r="C1743" s="11" t="s">
        <v>899</v>
      </c>
      <c r="D1743" s="217">
        <f>IF(A1743=B1720,"New Revenue Adjustments",IF(AND(C1743=D1720,A1743&lt;B1720),"Attrition Necessary",0))</f>
        <v>0</v>
      </c>
      <c r="E1743" s="522">
        <f t="shared" si="837"/>
        <v>1607273.2941346001</v>
      </c>
      <c r="F1743" s="522">
        <f t="shared" si="837"/>
        <v>1607273.2941346001</v>
      </c>
      <c r="G1743" s="522">
        <f t="shared" si="837"/>
        <v>1607273.2941346001</v>
      </c>
      <c r="H1743" s="522">
        <f t="shared" si="837"/>
        <v>1607273.2941346001</v>
      </c>
      <c r="I1743" s="522">
        <f t="shared" si="837"/>
        <v>1607273.2941346001</v>
      </c>
      <c r="J1743" s="522">
        <f t="shared" si="837"/>
        <v>1607273.2941346001</v>
      </c>
      <c r="K1743" s="522">
        <f t="shared" si="837"/>
        <v>1607273.2941346001</v>
      </c>
      <c r="L1743" s="522">
        <f t="shared" si="837"/>
        <v>1607273.2941346001</v>
      </c>
      <c r="M1743" s="522">
        <f t="shared" si="837"/>
        <v>1607273.2941346001</v>
      </c>
      <c r="N1743" s="522">
        <f t="shared" si="837"/>
        <v>1607273.2941346001</v>
      </c>
      <c r="O1743" s="410" t="s">
        <v>2880</v>
      </c>
    </row>
    <row r="1744" spans="1:18" s="217" customFormat="1">
      <c r="A1744" s="217">
        <v>10</v>
      </c>
      <c r="B1744" s="10" t="s">
        <v>405</v>
      </c>
      <c r="C1744" s="11" t="s">
        <v>900</v>
      </c>
      <c r="D1744" s="217" t="str">
        <f>IF(A1744=B1720,"New Revenue Adjustments",IF(AND(C1744=D1720,A1744&lt;B1720),"Attrition Necessary",0))</f>
        <v>Attrition Necessary</v>
      </c>
      <c r="E1744" s="522">
        <f t="shared" si="837"/>
        <v>2315231.5379359759</v>
      </c>
      <c r="F1744" s="522">
        <f t="shared" si="837"/>
        <v>2315231.5379359759</v>
      </c>
      <c r="G1744" s="522">
        <f t="shared" si="837"/>
        <v>2315231.5379359759</v>
      </c>
      <c r="H1744" s="522">
        <f t="shared" si="837"/>
        <v>2315231.5379359759</v>
      </c>
      <c r="I1744" s="522">
        <f t="shared" si="837"/>
        <v>2315231.5379359759</v>
      </c>
      <c r="J1744" s="522">
        <f t="shared" si="837"/>
        <v>2315231.5379359759</v>
      </c>
      <c r="K1744" s="522">
        <f t="shared" si="837"/>
        <v>2315231.5379359759</v>
      </c>
      <c r="L1744" s="522">
        <f t="shared" si="837"/>
        <v>2315231.5379359759</v>
      </c>
      <c r="M1744" s="522">
        <f t="shared" si="837"/>
        <v>2315231.5379359759</v>
      </c>
      <c r="N1744" s="522">
        <f t="shared" si="837"/>
        <v>2315231.5379359759</v>
      </c>
      <c r="O1744" s="410" t="s">
        <v>2881</v>
      </c>
    </row>
    <row r="1745" spans="1:15" s="217" customFormat="1">
      <c r="A1745" s="217">
        <v>11</v>
      </c>
      <c r="B1745" s="10" t="s">
        <v>405</v>
      </c>
      <c r="C1745" s="11" t="s">
        <v>901</v>
      </c>
      <c r="D1745" s="217">
        <f>IF(A1745=B1720,"New Revenue Adjustments",IF(AND(C1745=D1720,A1745&lt;B1720),"Attrition Necessary",0))</f>
        <v>0</v>
      </c>
      <c r="E1745" s="522">
        <f t="shared" ref="E1745:N1754" si="838">IF($B$1720&gt;$A1745,INDEX(calcY5Q1RevFlow,$A1745,calcTeamNum)*(IF($D1745="Attrition Necessary",1-calcQ2AttritionDifference,1)*(IF($D1745="New Revenue Adjustments",1+calcY5Q2RevenueAdjustment,1))),INDEX(dataY5Q2Rev,$A1745,)*(IF($D1745="Attrition Necessary",1-calcQ2AttritionDifference,1))*(IF($D1745="New Revenue Adjustments",1+calcY5Q2RevenueAdjustment,1)))</f>
        <v>3570771.5802973602</v>
      </c>
      <c r="F1745" s="522">
        <f t="shared" si="838"/>
        <v>3570771.5802973602</v>
      </c>
      <c r="G1745" s="522">
        <f t="shared" si="838"/>
        <v>3570771.5802973602</v>
      </c>
      <c r="H1745" s="522">
        <f t="shared" si="838"/>
        <v>3570771.5802973602</v>
      </c>
      <c r="I1745" s="522">
        <f t="shared" si="838"/>
        <v>3570771.5802973602</v>
      </c>
      <c r="J1745" s="522">
        <f t="shared" si="838"/>
        <v>3570771.5802973602</v>
      </c>
      <c r="K1745" s="522">
        <f t="shared" si="838"/>
        <v>3570771.5802973602</v>
      </c>
      <c r="L1745" s="522">
        <f t="shared" si="838"/>
        <v>3570771.5802973602</v>
      </c>
      <c r="M1745" s="522">
        <f t="shared" si="838"/>
        <v>3570771.5802973602</v>
      </c>
      <c r="N1745" s="522">
        <f t="shared" si="838"/>
        <v>3570771.5802973602</v>
      </c>
      <c r="O1745" s="410" t="s">
        <v>2882</v>
      </c>
    </row>
    <row r="1746" spans="1:15" s="217" customFormat="1">
      <c r="A1746" s="217">
        <v>12</v>
      </c>
      <c r="B1746" s="10" t="s">
        <v>405</v>
      </c>
      <c r="C1746" s="11" t="s">
        <v>902</v>
      </c>
      <c r="D1746" s="217">
        <f>IF(A1746=B1720,"New Revenue Adjustments",IF(AND(C1746=D1720,A1746&lt;B1720),"Attrition Necessary",0))</f>
        <v>0</v>
      </c>
      <c r="E1746" s="522">
        <f t="shared" si="838"/>
        <v>5251134.6769078821</v>
      </c>
      <c r="F1746" s="522">
        <f t="shared" si="838"/>
        <v>5251134.6769078821</v>
      </c>
      <c r="G1746" s="522">
        <f t="shared" si="838"/>
        <v>5251134.6769078821</v>
      </c>
      <c r="H1746" s="522">
        <f t="shared" si="838"/>
        <v>5251134.6769078821</v>
      </c>
      <c r="I1746" s="522">
        <f t="shared" si="838"/>
        <v>5251134.6769078821</v>
      </c>
      <c r="J1746" s="522">
        <f t="shared" si="838"/>
        <v>5251134.6769078821</v>
      </c>
      <c r="K1746" s="522">
        <f t="shared" si="838"/>
        <v>5251134.6769078821</v>
      </c>
      <c r="L1746" s="522">
        <f t="shared" si="838"/>
        <v>5251134.6769078821</v>
      </c>
      <c r="M1746" s="522">
        <f t="shared" si="838"/>
        <v>5251134.6769078821</v>
      </c>
      <c r="N1746" s="522">
        <f t="shared" si="838"/>
        <v>5251134.6769078821</v>
      </c>
      <c r="O1746" s="410" t="s">
        <v>2883</v>
      </c>
    </row>
    <row r="1747" spans="1:15" s="217" customFormat="1">
      <c r="A1747" s="217">
        <v>13</v>
      </c>
      <c r="B1747" s="10" t="s">
        <v>1278</v>
      </c>
      <c r="C1747" s="11" t="s">
        <v>899</v>
      </c>
      <c r="D1747" s="217">
        <f>IF(A1747=B1720,"New Revenue Adjustments",IF(AND(C1747=D1720,A1747&lt;B1720),"Attrition Necessary",0))</f>
        <v>0</v>
      </c>
      <c r="E1747" s="522">
        <f t="shared" si="838"/>
        <v>2363010.6046085469</v>
      </c>
      <c r="F1747" s="522">
        <f t="shared" si="838"/>
        <v>2363010.6046085469</v>
      </c>
      <c r="G1747" s="522">
        <f t="shared" si="838"/>
        <v>2363010.6046085469</v>
      </c>
      <c r="H1747" s="522">
        <f t="shared" si="838"/>
        <v>2363010.6046085469</v>
      </c>
      <c r="I1747" s="522">
        <f t="shared" si="838"/>
        <v>2363010.6046085469</v>
      </c>
      <c r="J1747" s="522">
        <f t="shared" si="838"/>
        <v>2363010.6046085469</v>
      </c>
      <c r="K1747" s="522">
        <f t="shared" si="838"/>
        <v>2363010.6046085469</v>
      </c>
      <c r="L1747" s="522">
        <f t="shared" si="838"/>
        <v>2363010.6046085469</v>
      </c>
      <c r="M1747" s="522">
        <f t="shared" si="838"/>
        <v>2363010.6046085469</v>
      </c>
      <c r="N1747" s="522">
        <f t="shared" si="838"/>
        <v>2363010.6046085469</v>
      </c>
      <c r="O1747" s="410" t="s">
        <v>2884</v>
      </c>
    </row>
    <row r="1748" spans="1:15" s="217" customFormat="1">
      <c r="A1748" s="217">
        <v>14</v>
      </c>
      <c r="B1748" s="10" t="s">
        <v>1278</v>
      </c>
      <c r="C1748" s="11" t="s">
        <v>900</v>
      </c>
      <c r="D1748" s="217" t="str">
        <f>IF(A1748=B1720,"New Revenue Adjustments",IF(AND(C1748=D1720,A1748&lt;B1720),"Attrition Necessary",0))</f>
        <v>Attrition Necessary</v>
      </c>
      <c r="E1748" s="522">
        <f t="shared" si="838"/>
        <v>2888124.0722993347</v>
      </c>
      <c r="F1748" s="522">
        <f t="shared" si="838"/>
        <v>2888124.0722993347</v>
      </c>
      <c r="G1748" s="522">
        <f t="shared" si="838"/>
        <v>2888124.0722993347</v>
      </c>
      <c r="H1748" s="522">
        <f t="shared" si="838"/>
        <v>2888124.0722993347</v>
      </c>
      <c r="I1748" s="522">
        <f t="shared" si="838"/>
        <v>2888124.0722993347</v>
      </c>
      <c r="J1748" s="522">
        <f t="shared" si="838"/>
        <v>2888124.0722993347</v>
      </c>
      <c r="K1748" s="522">
        <f t="shared" si="838"/>
        <v>2888124.0722993347</v>
      </c>
      <c r="L1748" s="522">
        <f t="shared" si="838"/>
        <v>2888124.0722993347</v>
      </c>
      <c r="M1748" s="522">
        <f t="shared" si="838"/>
        <v>2888124.0722993347</v>
      </c>
      <c r="N1748" s="522">
        <f t="shared" si="838"/>
        <v>2888124.0722993347</v>
      </c>
      <c r="O1748" s="410" t="s">
        <v>2885</v>
      </c>
    </row>
    <row r="1749" spans="1:15" s="217" customFormat="1">
      <c r="A1749" s="217">
        <v>15</v>
      </c>
      <c r="B1749" s="10" t="s">
        <v>1278</v>
      </c>
      <c r="C1749" s="11" t="s">
        <v>901</v>
      </c>
      <c r="D1749" s="217">
        <f>IF(A1749=B1720,"New Revenue Adjustments",IF(AND(C1749=D1720,A1749&lt;B1720),"Attrition Necessary",0))</f>
        <v>0</v>
      </c>
      <c r="E1749" s="522">
        <f t="shared" si="838"/>
        <v>4454341.256483146</v>
      </c>
      <c r="F1749" s="522">
        <f t="shared" si="838"/>
        <v>4454341.256483146</v>
      </c>
      <c r="G1749" s="522">
        <f t="shared" si="838"/>
        <v>4454341.256483146</v>
      </c>
      <c r="H1749" s="522">
        <f t="shared" si="838"/>
        <v>4454341.256483146</v>
      </c>
      <c r="I1749" s="522">
        <f t="shared" si="838"/>
        <v>4454341.256483146</v>
      </c>
      <c r="J1749" s="522">
        <f t="shared" si="838"/>
        <v>4454341.256483146</v>
      </c>
      <c r="K1749" s="522">
        <f t="shared" si="838"/>
        <v>4454341.256483146</v>
      </c>
      <c r="L1749" s="522">
        <f t="shared" si="838"/>
        <v>4454341.256483146</v>
      </c>
      <c r="M1749" s="522">
        <f t="shared" si="838"/>
        <v>4454341.256483146</v>
      </c>
      <c r="N1749" s="522">
        <f t="shared" si="838"/>
        <v>4454341.256483146</v>
      </c>
      <c r="O1749" s="410" t="s">
        <v>2886</v>
      </c>
    </row>
    <row r="1750" spans="1:15" s="217" customFormat="1">
      <c r="A1750" s="217">
        <v>16</v>
      </c>
      <c r="B1750" s="10" t="s">
        <v>1278</v>
      </c>
      <c r="C1750" s="11" t="s">
        <v>902</v>
      </c>
      <c r="D1750" s="217">
        <f>IF(A1750=B1720,"New Revenue Adjustments",IF(AND(C1750=D1720,A1750&lt;B1720),"Attrition Necessary",0))</f>
        <v>0</v>
      </c>
      <c r="E1750" s="522">
        <f t="shared" si="838"/>
        <v>6550501.8477693321</v>
      </c>
      <c r="F1750" s="522">
        <f t="shared" si="838"/>
        <v>6550501.8477693321</v>
      </c>
      <c r="G1750" s="522">
        <f t="shared" si="838"/>
        <v>6550501.8477693321</v>
      </c>
      <c r="H1750" s="522">
        <f t="shared" si="838"/>
        <v>6550501.8477693321</v>
      </c>
      <c r="I1750" s="522">
        <f t="shared" si="838"/>
        <v>6550501.8477693321</v>
      </c>
      <c r="J1750" s="522">
        <f t="shared" si="838"/>
        <v>6550501.8477693321</v>
      </c>
      <c r="K1750" s="522">
        <f t="shared" si="838"/>
        <v>6550501.8477693321</v>
      </c>
      <c r="L1750" s="522">
        <f t="shared" si="838"/>
        <v>6550501.8477693321</v>
      </c>
      <c r="M1750" s="522">
        <f t="shared" si="838"/>
        <v>6550501.8477693321</v>
      </c>
      <c r="N1750" s="522">
        <f t="shared" si="838"/>
        <v>6550501.8477693321</v>
      </c>
      <c r="O1750" s="410" t="s">
        <v>2887</v>
      </c>
    </row>
    <row r="1751" spans="1:15" s="217" customFormat="1">
      <c r="A1751" s="217">
        <v>17</v>
      </c>
      <c r="B1751" s="10" t="s">
        <v>1279</v>
      </c>
      <c r="C1751" s="11" t="s">
        <v>899</v>
      </c>
      <c r="D1751" s="217">
        <f>IF(A1751=B1720,"New Revenue Adjustments",IF(AND(C1751=D1720,A1751&lt;B1720),"Attrition Necessary",0))</f>
        <v>0</v>
      </c>
      <c r="E1751" s="522">
        <f t="shared" si="838"/>
        <v>2947725.8314961996</v>
      </c>
      <c r="F1751" s="522">
        <f t="shared" si="838"/>
        <v>2947725.8314961996</v>
      </c>
      <c r="G1751" s="522">
        <f t="shared" si="838"/>
        <v>2947725.8314961996</v>
      </c>
      <c r="H1751" s="522">
        <f t="shared" si="838"/>
        <v>2947725.8314961996</v>
      </c>
      <c r="I1751" s="522">
        <f t="shared" si="838"/>
        <v>2947725.8314961996</v>
      </c>
      <c r="J1751" s="522">
        <f t="shared" si="838"/>
        <v>2947725.8314961996</v>
      </c>
      <c r="K1751" s="522">
        <f t="shared" si="838"/>
        <v>2947725.8314961996</v>
      </c>
      <c r="L1751" s="522">
        <f t="shared" si="838"/>
        <v>2947725.8314961996</v>
      </c>
      <c r="M1751" s="522">
        <f t="shared" si="838"/>
        <v>2947725.8314961996</v>
      </c>
      <c r="N1751" s="522">
        <f t="shared" si="838"/>
        <v>2947725.8314961996</v>
      </c>
      <c r="O1751" s="410" t="s">
        <v>2888</v>
      </c>
    </row>
    <row r="1752" spans="1:15" s="217" customFormat="1">
      <c r="A1752" s="217">
        <v>18</v>
      </c>
      <c r="B1752" s="10" t="s">
        <v>1279</v>
      </c>
      <c r="C1752" s="11" t="s">
        <v>900</v>
      </c>
      <c r="D1752" s="217" t="str">
        <f>IF(A1752=B1720,"New Revenue Adjustments",IF(AND(C1752=D1720,A1752&lt;B1720),"Attrition Necessary",0))</f>
        <v>Attrition Necessary</v>
      </c>
      <c r="E1752" s="522">
        <f t="shared" si="838"/>
        <v>3602776.0162731321</v>
      </c>
      <c r="F1752" s="522">
        <f t="shared" si="838"/>
        <v>3602776.0162731321</v>
      </c>
      <c r="G1752" s="522">
        <f t="shared" si="838"/>
        <v>3602776.0162731321</v>
      </c>
      <c r="H1752" s="522">
        <f t="shared" si="838"/>
        <v>3602776.0162731321</v>
      </c>
      <c r="I1752" s="522">
        <f t="shared" si="838"/>
        <v>3602776.0162731321</v>
      </c>
      <c r="J1752" s="522">
        <f t="shared" si="838"/>
        <v>3602776.0162731321</v>
      </c>
      <c r="K1752" s="522">
        <f t="shared" si="838"/>
        <v>3602776.0162731321</v>
      </c>
      <c r="L1752" s="522">
        <f t="shared" si="838"/>
        <v>3602776.0162731321</v>
      </c>
      <c r="M1752" s="522">
        <f t="shared" si="838"/>
        <v>3602776.0162731321</v>
      </c>
      <c r="N1752" s="522">
        <f t="shared" si="838"/>
        <v>3602776.0162731321</v>
      </c>
      <c r="O1752" s="410" t="s">
        <v>2889</v>
      </c>
    </row>
    <row r="1753" spans="1:15" s="217" customFormat="1">
      <c r="A1753" s="217">
        <v>19</v>
      </c>
      <c r="B1753" s="10" t="s">
        <v>1279</v>
      </c>
      <c r="C1753" s="11" t="s">
        <v>901</v>
      </c>
      <c r="D1753" s="217">
        <f>IF(A1753=B1720,"New Revenue Adjustments",IF(AND(C1753=D1720,A1753&lt;B1720),"Attrition Necessary",0))</f>
        <v>0</v>
      </c>
      <c r="E1753" s="522">
        <f t="shared" si="838"/>
        <v>5556545.8565556193</v>
      </c>
      <c r="F1753" s="522">
        <f t="shared" si="838"/>
        <v>5556545.8565556193</v>
      </c>
      <c r="G1753" s="522">
        <f t="shared" si="838"/>
        <v>5556545.8565556193</v>
      </c>
      <c r="H1753" s="522">
        <f t="shared" si="838"/>
        <v>5556545.8565556193</v>
      </c>
      <c r="I1753" s="522">
        <f t="shared" si="838"/>
        <v>5556545.8565556193</v>
      </c>
      <c r="J1753" s="522">
        <f t="shared" si="838"/>
        <v>5556545.8565556193</v>
      </c>
      <c r="K1753" s="522">
        <f t="shared" si="838"/>
        <v>5556545.8565556193</v>
      </c>
      <c r="L1753" s="522">
        <f t="shared" si="838"/>
        <v>5556545.8565556193</v>
      </c>
      <c r="M1753" s="522">
        <f t="shared" si="838"/>
        <v>5556545.8565556193</v>
      </c>
      <c r="N1753" s="522">
        <f t="shared" si="838"/>
        <v>5556545.8565556193</v>
      </c>
      <c r="O1753" s="410" t="s">
        <v>2890</v>
      </c>
    </row>
    <row r="1754" spans="1:15" s="217" customFormat="1">
      <c r="A1754" s="217">
        <v>20</v>
      </c>
      <c r="B1754" s="10" t="s">
        <v>1279</v>
      </c>
      <c r="C1754" s="11" t="s">
        <v>902</v>
      </c>
      <c r="D1754" s="217">
        <f>IF(A1754=B1720,"New Revenue Adjustments",IF(AND(C1754=D1720,A1754&lt;B1720),"Attrition Necessary",0))</f>
        <v>0</v>
      </c>
      <c r="E1754" s="522">
        <f t="shared" si="838"/>
        <v>8171390.9655229663</v>
      </c>
      <c r="F1754" s="522">
        <f t="shared" si="838"/>
        <v>8171390.9655229663</v>
      </c>
      <c r="G1754" s="522">
        <f t="shared" si="838"/>
        <v>8171390.9655229663</v>
      </c>
      <c r="H1754" s="522">
        <f t="shared" si="838"/>
        <v>8171390.9655229663</v>
      </c>
      <c r="I1754" s="522">
        <f t="shared" si="838"/>
        <v>8171390.9655229663</v>
      </c>
      <c r="J1754" s="522">
        <f t="shared" si="838"/>
        <v>8171390.9655229663</v>
      </c>
      <c r="K1754" s="522">
        <f t="shared" si="838"/>
        <v>8171390.9655229663</v>
      </c>
      <c r="L1754" s="522">
        <f t="shared" si="838"/>
        <v>8171390.9655229663</v>
      </c>
      <c r="M1754" s="522">
        <f t="shared" si="838"/>
        <v>8171390.9655229663</v>
      </c>
      <c r="N1754" s="522">
        <f t="shared" si="838"/>
        <v>8171390.9655229663</v>
      </c>
      <c r="O1754" s="410" t="s">
        <v>2891</v>
      </c>
    </row>
    <row r="1755" spans="1:15" s="217" customFormat="1">
      <c r="A1755" s="217">
        <v>21</v>
      </c>
      <c r="B1755" s="10" t="s">
        <v>2052</v>
      </c>
      <c r="C1755" s="11" t="s">
        <v>899</v>
      </c>
      <c r="D1755" s="217">
        <f>IF(A1755=B1720,"New Revenue Adjustments",IF(AND(C1755=D1720,A1755&lt;B1720),"Attrition Necessary",0))</f>
        <v>0</v>
      </c>
      <c r="E1755" s="522">
        <f t="shared" ref="E1755:N1766" si="839">IF($B$1720&gt;$A1755,INDEX(calcY5Q1RevFlow,$A1755,calcTeamNum)*(IF($D1755="Attrition Necessary",1-calcQ2AttritionDifference,1)*(IF($D1755="New Revenue Adjustments",1+calcY5Q2RevenueAdjustment,1))),INDEX(dataY5Q2Rev,$A1755,)*(IF($D1755="Attrition Necessary",1-calcQ2AttritionDifference,1))*(IF($D1755="New Revenue Adjustments",1+calcY5Q2RevenueAdjustment,1)))</f>
        <v>3235870.8223470962</v>
      </c>
      <c r="F1755" s="522">
        <f t="shared" si="839"/>
        <v>3235870.8223470962</v>
      </c>
      <c r="G1755" s="522">
        <f t="shared" si="839"/>
        <v>3235870.8223470962</v>
      </c>
      <c r="H1755" s="522">
        <f t="shared" si="839"/>
        <v>3235870.8223470962</v>
      </c>
      <c r="I1755" s="522">
        <f t="shared" si="839"/>
        <v>3235870.8223470962</v>
      </c>
      <c r="J1755" s="522">
        <f t="shared" si="839"/>
        <v>3235870.8223470962</v>
      </c>
      <c r="K1755" s="522">
        <f t="shared" si="839"/>
        <v>3235870.8223470962</v>
      </c>
      <c r="L1755" s="522">
        <f t="shared" si="839"/>
        <v>3235870.8223470962</v>
      </c>
      <c r="M1755" s="522">
        <f t="shared" si="839"/>
        <v>3235870.8223470962</v>
      </c>
      <c r="N1755" s="522">
        <f t="shared" si="839"/>
        <v>3235870.8223470962</v>
      </c>
      <c r="O1755" s="410" t="s">
        <v>2892</v>
      </c>
    </row>
    <row r="1756" spans="1:15" s="217" customFormat="1">
      <c r="A1756" s="217">
        <v>22</v>
      </c>
      <c r="B1756" s="10" t="s">
        <v>2052</v>
      </c>
      <c r="C1756" s="11" t="s">
        <v>900</v>
      </c>
      <c r="D1756" s="217" t="str">
        <f>IF(A1756=B1720,"New Revenue Adjustments",IF(AND(C1756=D1720,A1756&lt;B1720),"Attrition Necessary",0))</f>
        <v>Attrition Necessary</v>
      </c>
      <c r="E1756" s="522">
        <f t="shared" si="839"/>
        <v>3954953.2273131162</v>
      </c>
      <c r="F1756" s="522">
        <f t="shared" si="839"/>
        <v>3954953.2273131162</v>
      </c>
      <c r="G1756" s="522">
        <f t="shared" si="839"/>
        <v>3954953.2273131162</v>
      </c>
      <c r="H1756" s="522">
        <f t="shared" si="839"/>
        <v>3954953.2273131162</v>
      </c>
      <c r="I1756" s="522">
        <f t="shared" si="839"/>
        <v>3954953.2273131162</v>
      </c>
      <c r="J1756" s="522">
        <f t="shared" si="839"/>
        <v>3954953.2273131162</v>
      </c>
      <c r="K1756" s="522">
        <f t="shared" si="839"/>
        <v>3954953.2273131162</v>
      </c>
      <c r="L1756" s="522">
        <f t="shared" si="839"/>
        <v>3954953.2273131162</v>
      </c>
      <c r="M1756" s="522">
        <f t="shared" si="839"/>
        <v>3954953.2273131162</v>
      </c>
      <c r="N1756" s="522">
        <f t="shared" si="839"/>
        <v>3954953.2273131162</v>
      </c>
      <c r="O1756" s="410" t="s">
        <v>2893</v>
      </c>
    </row>
    <row r="1757" spans="1:15" s="217" customFormat="1">
      <c r="A1757" s="217">
        <v>23</v>
      </c>
      <c r="B1757" s="10" t="s">
        <v>2052</v>
      </c>
      <c r="C1757" s="11" t="s">
        <v>901</v>
      </c>
      <c r="D1757" s="217">
        <f>IF(A1757=B1720,"New Revenue Adjustments",IF(AND(C1757=D1720,A1757&lt;B1720),"Attrition Necessary",0))</f>
        <v>0</v>
      </c>
      <c r="E1757" s="522">
        <f t="shared" si="839"/>
        <v>6099707.2448680205</v>
      </c>
      <c r="F1757" s="522">
        <f t="shared" si="839"/>
        <v>6099707.2448680205</v>
      </c>
      <c r="G1757" s="522">
        <f t="shared" si="839"/>
        <v>6099707.2448680205</v>
      </c>
      <c r="H1757" s="522">
        <f t="shared" si="839"/>
        <v>6099707.2448680205</v>
      </c>
      <c r="I1757" s="522">
        <f t="shared" si="839"/>
        <v>6099707.2448680205</v>
      </c>
      <c r="J1757" s="522">
        <f t="shared" si="839"/>
        <v>6099707.2448680205</v>
      </c>
      <c r="K1757" s="522">
        <f t="shared" si="839"/>
        <v>6099707.2448680205</v>
      </c>
      <c r="L1757" s="522">
        <f t="shared" si="839"/>
        <v>6099707.2448680205</v>
      </c>
      <c r="M1757" s="522">
        <f t="shared" si="839"/>
        <v>6099707.2448680205</v>
      </c>
      <c r="N1757" s="522">
        <f t="shared" si="839"/>
        <v>6099707.2448680205</v>
      </c>
      <c r="O1757" s="410" t="s">
        <v>2894</v>
      </c>
    </row>
    <row r="1758" spans="1:15" s="217" customFormat="1">
      <c r="A1758" s="217">
        <v>24</v>
      </c>
      <c r="B1758" s="10" t="s">
        <v>2052</v>
      </c>
      <c r="C1758" s="11" t="s">
        <v>902</v>
      </c>
      <c r="D1758" s="217">
        <f>IF(A1758=B1720,"New Revenue Adjustments",IF(AND(C1758=D1720,A1758&lt;B1720),"Attrition Necessary",0))</f>
        <v>0</v>
      </c>
      <c r="E1758" s="522">
        <f t="shared" si="839"/>
        <v>8970157.7130412031</v>
      </c>
      <c r="F1758" s="522">
        <f t="shared" si="839"/>
        <v>8970157.7130412031</v>
      </c>
      <c r="G1758" s="522">
        <f t="shared" si="839"/>
        <v>8970157.7130412031</v>
      </c>
      <c r="H1758" s="522">
        <f t="shared" si="839"/>
        <v>8970157.7130412031</v>
      </c>
      <c r="I1758" s="522">
        <f t="shared" si="839"/>
        <v>8970157.7130412031</v>
      </c>
      <c r="J1758" s="522">
        <f t="shared" si="839"/>
        <v>8970157.7130412031</v>
      </c>
      <c r="K1758" s="522">
        <f t="shared" si="839"/>
        <v>8970157.7130412031</v>
      </c>
      <c r="L1758" s="522">
        <f t="shared" si="839"/>
        <v>8970157.7130412031</v>
      </c>
      <c r="M1758" s="522">
        <f t="shared" si="839"/>
        <v>8970157.7130412031</v>
      </c>
      <c r="N1758" s="522">
        <f t="shared" si="839"/>
        <v>8970157.7130412031</v>
      </c>
      <c r="O1758" s="410" t="s">
        <v>2895</v>
      </c>
    </row>
    <row r="1759" spans="1:15" s="217" customFormat="1">
      <c r="A1759" s="217">
        <v>25</v>
      </c>
      <c r="B1759" s="10" t="s">
        <v>2408</v>
      </c>
      <c r="C1759" s="11" t="s">
        <v>899</v>
      </c>
      <c r="D1759" s="217">
        <f>IF(A1759=B1720,"New Revenue Adjustments",IF(AND(C1759=D1720,A1759&lt;B1720),"Attrition Necessary",0))</f>
        <v>0</v>
      </c>
      <c r="E1759" s="522">
        <f t="shared" si="839"/>
        <v>3471451.0349469464</v>
      </c>
      <c r="F1759" s="522">
        <f t="shared" si="839"/>
        <v>3471451.0349469464</v>
      </c>
      <c r="G1759" s="522">
        <f t="shared" si="839"/>
        <v>3471451.0349469464</v>
      </c>
      <c r="H1759" s="522">
        <f t="shared" si="839"/>
        <v>3471451.0349469464</v>
      </c>
      <c r="I1759" s="522">
        <f t="shared" si="839"/>
        <v>3471451.0349469464</v>
      </c>
      <c r="J1759" s="522">
        <f t="shared" si="839"/>
        <v>3471451.0349469464</v>
      </c>
      <c r="K1759" s="522">
        <f t="shared" si="839"/>
        <v>3471451.0349469464</v>
      </c>
      <c r="L1759" s="522">
        <f t="shared" si="839"/>
        <v>3471451.0349469464</v>
      </c>
      <c r="M1759" s="522">
        <f t="shared" si="839"/>
        <v>3471451.0349469464</v>
      </c>
      <c r="N1759" s="522">
        <f t="shared" si="839"/>
        <v>3471451.0349469464</v>
      </c>
      <c r="O1759" s="410" t="s">
        <v>2896</v>
      </c>
    </row>
    <row r="1760" spans="1:15" s="217" customFormat="1">
      <c r="A1760" s="217">
        <v>26</v>
      </c>
      <c r="B1760" s="10" t="s">
        <v>2408</v>
      </c>
      <c r="C1760" s="11" t="s">
        <v>900</v>
      </c>
      <c r="D1760" s="217" t="str">
        <f>IF(A1760=B1720,"New Revenue Adjustments",IF(AND(C1760=D1720,A1760&lt;B1720),"Attrition Necessary",0))</f>
        <v>Attrition Necessary</v>
      </c>
      <c r="E1760" s="522">
        <f t="shared" si="839"/>
        <v>4242884.5982684894</v>
      </c>
      <c r="F1760" s="522">
        <f t="shared" si="839"/>
        <v>4242884.5982684894</v>
      </c>
      <c r="G1760" s="522">
        <f t="shared" si="839"/>
        <v>4242884.5982684894</v>
      </c>
      <c r="H1760" s="522">
        <f t="shared" si="839"/>
        <v>4242884.5982684894</v>
      </c>
      <c r="I1760" s="522">
        <f t="shared" si="839"/>
        <v>4242884.5982684894</v>
      </c>
      <c r="J1760" s="522">
        <f t="shared" si="839"/>
        <v>4242884.5982684894</v>
      </c>
      <c r="K1760" s="522">
        <f t="shared" si="839"/>
        <v>4242884.5982684894</v>
      </c>
      <c r="L1760" s="522">
        <f t="shared" si="839"/>
        <v>4242884.5982684894</v>
      </c>
      <c r="M1760" s="522">
        <f t="shared" si="839"/>
        <v>4242884.5982684894</v>
      </c>
      <c r="N1760" s="522">
        <f t="shared" si="839"/>
        <v>4242884.5982684894</v>
      </c>
      <c r="O1760" s="410" t="s">
        <v>2897</v>
      </c>
    </row>
    <row r="1761" spans="1:17" s="217" customFormat="1">
      <c r="A1761" s="217">
        <v>27</v>
      </c>
      <c r="B1761" s="10" t="s">
        <v>2408</v>
      </c>
      <c r="C1761" s="11" t="s">
        <v>901</v>
      </c>
      <c r="D1761" s="217">
        <f>IF(A1761=B1720,"New Revenue Adjustments",IF(AND(C1761=D1720,A1761&lt;B1720),"Attrition Necessary",0))</f>
        <v>0</v>
      </c>
      <c r="E1761" s="522">
        <f t="shared" si="839"/>
        <v>6543782.5520833349</v>
      </c>
      <c r="F1761" s="522">
        <f t="shared" si="839"/>
        <v>6543782.5520833349</v>
      </c>
      <c r="G1761" s="522">
        <f t="shared" si="839"/>
        <v>6543782.5520833349</v>
      </c>
      <c r="H1761" s="522">
        <f t="shared" si="839"/>
        <v>6543782.5520833349</v>
      </c>
      <c r="I1761" s="522">
        <f t="shared" si="839"/>
        <v>6543782.5520833349</v>
      </c>
      <c r="J1761" s="522">
        <f t="shared" si="839"/>
        <v>6543782.5520833349</v>
      </c>
      <c r="K1761" s="522">
        <f t="shared" si="839"/>
        <v>6543782.5520833349</v>
      </c>
      <c r="L1761" s="522">
        <f t="shared" si="839"/>
        <v>6543782.5520833349</v>
      </c>
      <c r="M1761" s="522">
        <f t="shared" si="839"/>
        <v>6543782.5520833349</v>
      </c>
      <c r="N1761" s="522">
        <f t="shared" si="839"/>
        <v>6543782.5520833349</v>
      </c>
      <c r="O1761" s="410" t="s">
        <v>2898</v>
      </c>
    </row>
    <row r="1762" spans="1:17" s="217" customFormat="1">
      <c r="A1762" s="217">
        <v>28</v>
      </c>
      <c r="B1762" s="10" t="s">
        <v>2408</v>
      </c>
      <c r="C1762" s="11" t="s">
        <v>902</v>
      </c>
      <c r="D1762" s="217">
        <f>IF(A1762=B1720,"New Revenue Adjustments",IF(AND(C1762=D1720,A1762&lt;B1720),"Attrition Necessary",0))</f>
        <v>0</v>
      </c>
      <c r="E1762" s="522">
        <f t="shared" si="839"/>
        <v>9623209.635416666</v>
      </c>
      <c r="F1762" s="522">
        <f t="shared" si="839"/>
        <v>9623209.635416666</v>
      </c>
      <c r="G1762" s="522">
        <f t="shared" si="839"/>
        <v>9623209.635416666</v>
      </c>
      <c r="H1762" s="522">
        <f t="shared" si="839"/>
        <v>9623209.635416666</v>
      </c>
      <c r="I1762" s="522">
        <f t="shared" si="839"/>
        <v>9623209.635416666</v>
      </c>
      <c r="J1762" s="522">
        <f t="shared" si="839"/>
        <v>9623209.635416666</v>
      </c>
      <c r="K1762" s="522">
        <f t="shared" si="839"/>
        <v>9623209.635416666</v>
      </c>
      <c r="L1762" s="522">
        <f t="shared" si="839"/>
        <v>9623209.635416666</v>
      </c>
      <c r="M1762" s="522">
        <f t="shared" si="839"/>
        <v>9623209.635416666</v>
      </c>
      <c r="N1762" s="522">
        <f t="shared" si="839"/>
        <v>9623209.635416666</v>
      </c>
      <c r="O1762" s="410" t="s">
        <v>2899</v>
      </c>
    </row>
    <row r="1763" spans="1:17" s="217" customFormat="1">
      <c r="A1763" s="217">
        <v>29</v>
      </c>
      <c r="B1763" s="10" t="s">
        <v>2413</v>
      </c>
      <c r="C1763" s="11" t="s">
        <v>899</v>
      </c>
      <c r="D1763" s="217">
        <f>IF(A1763=B1720,"New Revenue Adjustments",IF(AND(C1763=D1720,A1763&lt;B1720),"Attrition Necessary",0))</f>
        <v>0</v>
      </c>
      <c r="E1763" s="522">
        <f t="shared" si="839"/>
        <v>3637573.2421875005</v>
      </c>
      <c r="F1763" s="522">
        <f t="shared" si="839"/>
        <v>3637573.2421875005</v>
      </c>
      <c r="G1763" s="522">
        <f t="shared" si="839"/>
        <v>3637573.2421875005</v>
      </c>
      <c r="H1763" s="522">
        <f t="shared" si="839"/>
        <v>3637573.2421875005</v>
      </c>
      <c r="I1763" s="522">
        <f t="shared" si="839"/>
        <v>3637573.2421875005</v>
      </c>
      <c r="J1763" s="522">
        <f t="shared" si="839"/>
        <v>3637573.2421875005</v>
      </c>
      <c r="K1763" s="522">
        <f t="shared" si="839"/>
        <v>3637573.2421875005</v>
      </c>
      <c r="L1763" s="522">
        <f t="shared" si="839"/>
        <v>3637573.2421875005</v>
      </c>
      <c r="M1763" s="522">
        <f t="shared" si="839"/>
        <v>3637573.2421875005</v>
      </c>
      <c r="N1763" s="522">
        <f t="shared" si="839"/>
        <v>3637573.2421875005</v>
      </c>
      <c r="O1763" s="410" t="s">
        <v>2900</v>
      </c>
    </row>
    <row r="1764" spans="1:17" s="217" customFormat="1">
      <c r="A1764" s="217">
        <v>30</v>
      </c>
      <c r="B1764" s="10" t="s">
        <v>2413</v>
      </c>
      <c r="C1764" s="11" t="s">
        <v>900</v>
      </c>
      <c r="D1764" s="217" t="str">
        <f>IF(A1764=B1720,"New Revenue Adjustments",IF(AND(C1764=D1720,A1764&lt;B1720),"Attrition Necessary",0))</f>
        <v>New Revenue Adjustments</v>
      </c>
      <c r="E1764" s="522">
        <f t="shared" si="839"/>
        <v>4445922.8515625</v>
      </c>
      <c r="F1764" s="522">
        <f t="shared" si="839"/>
        <v>4445922.8515625</v>
      </c>
      <c r="G1764" s="522">
        <f t="shared" si="839"/>
        <v>4445922.8515625</v>
      </c>
      <c r="H1764" s="522">
        <f t="shared" si="839"/>
        <v>4445922.8515625</v>
      </c>
      <c r="I1764" s="522">
        <f t="shared" si="839"/>
        <v>4445922.8515625</v>
      </c>
      <c r="J1764" s="522">
        <f t="shared" si="839"/>
        <v>4445922.8515625</v>
      </c>
      <c r="K1764" s="522">
        <f t="shared" si="839"/>
        <v>4445922.8515625</v>
      </c>
      <c r="L1764" s="522">
        <f t="shared" si="839"/>
        <v>4445922.8515625</v>
      </c>
      <c r="M1764" s="522">
        <f t="shared" si="839"/>
        <v>4445922.8515625</v>
      </c>
      <c r="N1764" s="522">
        <f t="shared" si="839"/>
        <v>4445922.8515625</v>
      </c>
      <c r="O1764" s="410" t="s">
        <v>2901</v>
      </c>
    </row>
    <row r="1765" spans="1:17" s="217" customFormat="1">
      <c r="A1765" s="217">
        <v>31</v>
      </c>
      <c r="B1765" s="10" t="s">
        <v>2413</v>
      </c>
      <c r="C1765" s="11" t="s">
        <v>901</v>
      </c>
      <c r="D1765" s="217">
        <f>IF(A1765=B1720,"New Revenue Adjustments",IF(AND(C1765=D1720,A1765&lt;B1720),"Attrition Necessary",0))</f>
        <v>0</v>
      </c>
      <c r="E1765" s="522">
        <f t="shared" si="839"/>
        <v>0</v>
      </c>
      <c r="F1765" s="522">
        <f t="shared" si="839"/>
        <v>0</v>
      </c>
      <c r="G1765" s="522">
        <f t="shared" si="839"/>
        <v>0</v>
      </c>
      <c r="H1765" s="522">
        <f t="shared" si="839"/>
        <v>0</v>
      </c>
      <c r="I1765" s="522">
        <f t="shared" si="839"/>
        <v>0</v>
      </c>
      <c r="J1765" s="522">
        <f t="shared" si="839"/>
        <v>0</v>
      </c>
      <c r="K1765" s="522">
        <f t="shared" si="839"/>
        <v>0</v>
      </c>
      <c r="L1765" s="522">
        <f t="shared" si="839"/>
        <v>0</v>
      </c>
      <c r="M1765" s="522">
        <f t="shared" si="839"/>
        <v>0</v>
      </c>
      <c r="N1765" s="522">
        <f t="shared" si="839"/>
        <v>0</v>
      </c>
      <c r="O1765" s="410" t="s">
        <v>2902</v>
      </c>
    </row>
    <row r="1766" spans="1:17" s="217" customFormat="1">
      <c r="A1766" s="217">
        <v>32</v>
      </c>
      <c r="B1766" s="10" t="s">
        <v>2413</v>
      </c>
      <c r="C1766" s="11" t="s">
        <v>902</v>
      </c>
      <c r="D1766" s="217">
        <f>IF(A1766=B1720,"New Revenue Adjustments",IF(AND(C1766=D1720,A1766&lt;B1720),"Attrition Necessary",0))</f>
        <v>0</v>
      </c>
      <c r="E1766" s="522">
        <f t="shared" si="839"/>
        <v>0</v>
      </c>
      <c r="F1766" s="522">
        <f t="shared" si="839"/>
        <v>0</v>
      </c>
      <c r="G1766" s="522">
        <f t="shared" si="839"/>
        <v>0</v>
      </c>
      <c r="H1766" s="522">
        <f t="shared" si="839"/>
        <v>0</v>
      </c>
      <c r="I1766" s="522">
        <f t="shared" si="839"/>
        <v>0</v>
      </c>
      <c r="J1766" s="522">
        <f t="shared" si="839"/>
        <v>0</v>
      </c>
      <c r="K1766" s="522">
        <f t="shared" si="839"/>
        <v>0</v>
      </c>
      <c r="L1766" s="522">
        <f t="shared" si="839"/>
        <v>0</v>
      </c>
      <c r="M1766" s="522">
        <f t="shared" si="839"/>
        <v>0</v>
      </c>
      <c r="N1766" s="522">
        <f t="shared" si="839"/>
        <v>0</v>
      </c>
      <c r="O1766" s="410" t="s">
        <v>2903</v>
      </c>
    </row>
    <row r="1767" spans="1:17" s="217" customFormat="1">
      <c r="D1767" s="217" t="s">
        <v>906</v>
      </c>
      <c r="E1767" s="427">
        <f>SUM(E1735:E1766)</f>
        <v>119618442.43590564</v>
      </c>
      <c r="F1767" s="427">
        <f t="shared" ref="F1767:I1767" si="840">SUM(F1735:F1766)</f>
        <v>119618442.43590564</v>
      </c>
      <c r="G1767" s="427">
        <f t="shared" si="840"/>
        <v>119618442.43590564</v>
      </c>
      <c r="H1767" s="427">
        <f t="shared" si="840"/>
        <v>119618442.43590564</v>
      </c>
      <c r="I1767" s="427">
        <f t="shared" si="840"/>
        <v>119618442.43590564</v>
      </c>
      <c r="J1767" s="427">
        <f t="shared" ref="J1767:N1767" si="841">SUM(J1735:J1766)</f>
        <v>119618442.43590564</v>
      </c>
      <c r="K1767" s="427">
        <f t="shared" si="841"/>
        <v>119618442.43590564</v>
      </c>
      <c r="L1767" s="427">
        <f t="shared" si="841"/>
        <v>119618442.43590564</v>
      </c>
      <c r="M1767" s="427">
        <f t="shared" si="841"/>
        <v>119618442.43590564</v>
      </c>
      <c r="N1767" s="427">
        <f t="shared" si="841"/>
        <v>119618442.43590564</v>
      </c>
      <c r="O1767" s="217" t="s">
        <v>2904</v>
      </c>
    </row>
    <row r="1768" spans="1:17" s="217" customFormat="1">
      <c r="E1768" s="409"/>
      <c r="F1768" s="409"/>
      <c r="G1768" s="409"/>
      <c r="H1768" s="409"/>
      <c r="I1768" s="409"/>
      <c r="J1768" s="409"/>
      <c r="K1768" s="409"/>
      <c r="L1768" s="409"/>
      <c r="M1768" s="409"/>
      <c r="N1768" s="409"/>
    </row>
    <row r="1769" spans="1:17">
      <c r="A1769" s="217"/>
      <c r="B1769" s="69">
        <v>31</v>
      </c>
      <c r="C1769" s="217" t="s">
        <v>2413</v>
      </c>
      <c r="D1769" s="217" t="s">
        <v>901</v>
      </c>
    </row>
    <row r="1770" spans="1:17" s="217" customFormat="1">
      <c r="C1770" s="217" t="s">
        <v>1736</v>
      </c>
      <c r="E1770" s="409"/>
      <c r="F1770" s="409"/>
      <c r="G1770" s="409"/>
      <c r="H1770" s="409"/>
      <c r="I1770" s="409"/>
      <c r="J1770" s="409"/>
      <c r="K1770" s="409"/>
      <c r="L1770" s="409"/>
      <c r="M1770" s="409"/>
      <c r="N1770" s="409"/>
    </row>
    <row r="1771" spans="1:17" s="410" customFormat="1">
      <c r="D1771" s="410" t="s">
        <v>1754</v>
      </c>
      <c r="E1771" s="547">
        <f t="shared" ref="E1771:N1771" si="842">FORECAST(calcNPS,datatblNPSAttrition,datatblNPSScore)</f>
        <v>0.14946428571428572</v>
      </c>
      <c r="F1771" s="547">
        <f t="shared" si="842"/>
        <v>0.14946428571428572</v>
      </c>
      <c r="G1771" s="547">
        <f t="shared" si="842"/>
        <v>0.14946428571428572</v>
      </c>
      <c r="H1771" s="547">
        <f t="shared" si="842"/>
        <v>0.14946428571428572</v>
      </c>
      <c r="I1771" s="547">
        <f t="shared" si="842"/>
        <v>0.14946428571428572</v>
      </c>
      <c r="J1771" s="547">
        <f t="shared" si="842"/>
        <v>0.14946428571428572</v>
      </c>
      <c r="K1771" s="547">
        <f t="shared" si="842"/>
        <v>0.14946428571428572</v>
      </c>
      <c r="L1771" s="547">
        <f t="shared" si="842"/>
        <v>0.14946428571428572</v>
      </c>
      <c r="M1771" s="547">
        <f t="shared" si="842"/>
        <v>0.14946428571428572</v>
      </c>
      <c r="N1771" s="547">
        <f t="shared" si="842"/>
        <v>0.14946428571428572</v>
      </c>
    </row>
    <row r="1772" spans="1:17" s="410" customFormat="1">
      <c r="D1772" s="410" t="s">
        <v>1753</v>
      </c>
      <c r="E1772" s="547">
        <f>Data!$D$277</f>
        <v>0.1515124491492886</v>
      </c>
      <c r="F1772" s="547">
        <f>Data!$D$277</f>
        <v>0.1515124491492886</v>
      </c>
      <c r="G1772" s="547">
        <f>Data!$D$277</f>
        <v>0.1515124491492886</v>
      </c>
      <c r="H1772" s="547">
        <f>Data!$D$277</f>
        <v>0.1515124491492886</v>
      </c>
      <c r="I1772" s="547">
        <f>Data!$D$277</f>
        <v>0.1515124491492886</v>
      </c>
      <c r="J1772" s="547">
        <f>Data!$D$277</f>
        <v>0.1515124491492886</v>
      </c>
      <c r="K1772" s="547">
        <f>Data!$D$277</f>
        <v>0.1515124491492886</v>
      </c>
      <c r="L1772" s="547">
        <f>Data!$D$277</f>
        <v>0.1515124491492886</v>
      </c>
      <c r="M1772" s="547">
        <f>Data!$D$277</f>
        <v>0.1515124491492886</v>
      </c>
      <c r="N1772" s="547">
        <f>Data!$D$277</f>
        <v>0.1515124491492886</v>
      </c>
    </row>
    <row r="1773" spans="1:17" s="217" customFormat="1">
      <c r="D1773" s="217" t="s">
        <v>1755</v>
      </c>
      <c r="E1773" s="411">
        <f t="shared" ref="E1773" si="843">E1771/E1772-1</f>
        <v>-1.351811977499473E-2</v>
      </c>
      <c r="F1773" s="411">
        <f>F1771/F1772-1</f>
        <v>-1.351811977499473E-2</v>
      </c>
      <c r="G1773" s="411">
        <f t="shared" ref="G1773:I1773" si="844">G1771/G1772-1</f>
        <v>-1.351811977499473E-2</v>
      </c>
      <c r="H1773" s="411">
        <f t="shared" si="844"/>
        <v>-1.351811977499473E-2</v>
      </c>
      <c r="I1773" s="411">
        <f t="shared" si="844"/>
        <v>-1.351811977499473E-2</v>
      </c>
      <c r="J1773" s="411">
        <f t="shared" ref="J1773:N1773" si="845">J1771/J1772-1</f>
        <v>-1.351811977499473E-2</v>
      </c>
      <c r="K1773" s="411">
        <f t="shared" si="845"/>
        <v>-1.351811977499473E-2</v>
      </c>
      <c r="L1773" s="411">
        <f t="shared" si="845"/>
        <v>-1.351811977499473E-2</v>
      </c>
      <c r="M1773" s="411">
        <f t="shared" si="845"/>
        <v>-1.351811977499473E-2</v>
      </c>
      <c r="N1773" s="411">
        <f t="shared" si="845"/>
        <v>-1.351811977499473E-2</v>
      </c>
      <c r="O1773" s="217" t="s">
        <v>2835</v>
      </c>
    </row>
    <row r="1774" spans="1:17" s="217" customFormat="1">
      <c r="C1774" s="217" t="s">
        <v>1757</v>
      </c>
      <c r="E1774" s="411"/>
      <c r="F1774" s="411"/>
      <c r="G1774" s="411"/>
      <c r="H1774" s="411"/>
      <c r="I1774" s="411"/>
      <c r="J1774" s="411"/>
      <c r="K1774" s="411"/>
      <c r="L1774" s="411"/>
      <c r="M1774" s="411"/>
      <c r="N1774" s="411"/>
    </row>
    <row r="1775" spans="1:17">
      <c r="D1775" s="69" t="s">
        <v>1151</v>
      </c>
      <c r="E1775" s="425">
        <f>IF(calcOrg62Timeline&lt;=$Q1775,INDEX(datatblOrg62Timeline,MATCH(decGTMOrg62Timeline,Data!$C$106:$C$111,0),2),0)*paramOrg62Impacts</f>
        <v>0</v>
      </c>
      <c r="F1775" s="425">
        <f>IF(calcOrg62Timeline&lt;=$Q1775,INDEX(datatblOrg62Timeline,MATCH(decGTMOrg62Timeline,Data!$C$106:$C$111,0),2),0)*paramOrg62Impacts</f>
        <v>0</v>
      </c>
      <c r="G1775" s="425">
        <f>IF(calcOrg62Timeline&lt;=$Q1775,INDEX(datatblOrg62Timeline,MATCH(decGTMOrg62Timeline,Data!$C$106:$C$111,0),2),0)*paramOrg62Impacts</f>
        <v>0</v>
      </c>
      <c r="H1775" s="425">
        <f>IF(calcOrg62Timeline&lt;=$Q1775,INDEX(datatblOrg62Timeline,MATCH(decGTMOrg62Timeline,Data!$C$106:$C$111,0),2),0)*paramOrg62Impacts</f>
        <v>0</v>
      </c>
      <c r="I1775" s="425">
        <f>IF(calcOrg62Timeline&lt;=$Q1775,INDEX(datatblOrg62Timeline,MATCH(decGTMOrg62Timeline,Data!$C$106:$C$111,0),2),0)*paramOrg62Impacts</f>
        <v>0</v>
      </c>
      <c r="J1775" s="425">
        <f>IF(calcOrg62Timeline&lt;=$Q1775,INDEX(datatblOrg62Timeline,MATCH(decGTMOrg62Timeline,Data!$C$106:$C$111,0),2),0)*paramOrg62Impacts</f>
        <v>0</v>
      </c>
      <c r="K1775" s="425">
        <f>IF(calcOrg62Timeline&lt;=$Q1775,INDEX(datatblOrg62Timeline,MATCH(decGTMOrg62Timeline,Data!$C$106:$C$111,0),2),0)*paramOrg62Impacts</f>
        <v>0</v>
      </c>
      <c r="L1775" s="425">
        <f>IF(calcOrg62Timeline&lt;=$Q1775,INDEX(datatblOrg62Timeline,MATCH(decGTMOrg62Timeline,Data!$C$106:$C$111,0),2),0)*paramOrg62Impacts</f>
        <v>0</v>
      </c>
      <c r="M1775" s="425">
        <f>IF(calcOrg62Timeline&lt;=$Q1775,INDEX(datatblOrg62Timeline,MATCH(decGTMOrg62Timeline,Data!$C$106:$C$111,0),2),0)*paramOrg62Impacts</f>
        <v>0</v>
      </c>
      <c r="N1775" s="425">
        <f>IF(calcOrg62Timeline&lt;=$Q1775,INDEX(datatblOrg62Timeline,MATCH(decGTMOrg62Timeline,Data!$C$106:$C$111,0),2),0)*paramOrg62Impacts</f>
        <v>0</v>
      </c>
      <c r="Q1775" s="69">
        <v>24</v>
      </c>
    </row>
    <row r="1776" spans="1:17">
      <c r="D1776" s="69" t="s">
        <v>507</v>
      </c>
      <c r="E1776" s="425">
        <f>IF(calcProductTimeline&lt;=$Q1776,INDEX(datatblStackFocusImpact,MATCH(decProductStackFocus,Data!$C$96:$C$101,0),2),0)+paramACVGrowthStack</f>
        <v>0</v>
      </c>
      <c r="F1776" s="425">
        <f>IF(calcProductTimeline&lt;=$Q1776,INDEX(datatblStackFocusImpact,MATCH(decProductStackFocus,Data!$C$96:$C$101,0),2),0)+paramACVGrowthStack</f>
        <v>0</v>
      </c>
      <c r="G1776" s="425">
        <f>IF(calcProductTimeline&lt;=$Q1776,INDEX(datatblStackFocusImpact,MATCH(decProductStackFocus,Data!$C$96:$C$101,0),2),0)+paramACVGrowthStack</f>
        <v>0</v>
      </c>
      <c r="H1776" s="425">
        <f>IF(calcProductTimeline&lt;=$Q1776,INDEX(datatblStackFocusImpact,MATCH(decProductStackFocus,Data!$C$96:$C$101,0),2),0)+paramACVGrowthStack</f>
        <v>0</v>
      </c>
      <c r="I1776" s="425">
        <f>IF(calcProductTimeline&lt;=$Q1776,INDEX(datatblStackFocusImpact,MATCH(decProductStackFocus,Data!$C$96:$C$101,0),2),0)+paramACVGrowthStack</f>
        <v>0</v>
      </c>
      <c r="J1776" s="425">
        <f>IF(calcProductTimeline&lt;=$Q1776,INDEX(datatblStackFocusImpact,MATCH(decProductStackFocus,Data!$C$96:$C$101,0),2),0)+paramACVGrowthStack</f>
        <v>0</v>
      </c>
      <c r="K1776" s="425">
        <f>IF(calcProductTimeline&lt;=$Q1776,INDEX(datatblStackFocusImpact,MATCH(decProductStackFocus,Data!$C$96:$C$101,0),2),0)+paramACVGrowthStack</f>
        <v>0</v>
      </c>
      <c r="L1776" s="425">
        <f>IF(calcProductTimeline&lt;=$Q1776,INDEX(datatblStackFocusImpact,MATCH(decProductStackFocus,Data!$C$96:$C$101,0),2),0)+paramACVGrowthStack</f>
        <v>0</v>
      </c>
      <c r="M1776" s="425">
        <f>IF(calcProductTimeline&lt;=$Q1776,INDEX(datatblStackFocusImpact,MATCH(decProductStackFocus,Data!$C$96:$C$101,0),2),0)+paramACVGrowthStack</f>
        <v>0</v>
      </c>
      <c r="N1776" s="425">
        <f>IF(calcProductTimeline&lt;=$Q1776,INDEX(datatblStackFocusImpact,MATCH(decProductStackFocus,Data!$C$96:$C$101,0),2),0)+paramACVGrowthStack</f>
        <v>0</v>
      </c>
      <c r="Q1776" s="69">
        <f>Q1775</f>
        <v>24</v>
      </c>
    </row>
    <row r="1777" spans="1:18">
      <c r="D1777" s="69" t="s">
        <v>2237</v>
      </c>
      <c r="E1777" s="425">
        <f>IF(calcExternalSalesTimeline&lt;=$Q1777,INDEX(datatblExternalSalesImpact,MATCH(decGTMExternalSales,Data!$C$85:$C$90,0),2),0)</f>
        <v>0</v>
      </c>
      <c r="F1777" s="425">
        <f>IF(calcExternalSalesTimeline&lt;=$Q1777,INDEX(datatblExternalSalesImpact,MATCH(decGTMExternalSales,Data!$C$85:$C$90,0),2),0)</f>
        <v>0</v>
      </c>
      <c r="G1777" s="425">
        <f>IF(calcExternalSalesTimeline&lt;=$Q1777,INDEX(datatblExternalSalesImpact,MATCH(decGTMExternalSales,Data!$C$85:$C$90,0),2),0)</f>
        <v>0</v>
      </c>
      <c r="H1777" s="425">
        <f>IF(calcExternalSalesTimeline&lt;=$Q1777,INDEX(datatblExternalSalesImpact,MATCH(decGTMExternalSales,Data!$C$85:$C$90,0),2),0)</f>
        <v>0</v>
      </c>
      <c r="I1777" s="425">
        <f>IF(calcExternalSalesTimeline&lt;=$Q1777,INDEX(datatblExternalSalesImpact,MATCH(decGTMExternalSales,Data!$C$85:$C$90,0),2),0)</f>
        <v>0</v>
      </c>
      <c r="J1777" s="425">
        <f>IF(calcExternalSalesTimeline&lt;=$Q1777,INDEX(datatblExternalSalesImpact,MATCH(decGTMExternalSales,Data!$C$85:$C$90,0),2),0)</f>
        <v>0</v>
      </c>
      <c r="K1777" s="425">
        <f>IF(calcExternalSalesTimeline&lt;=$Q1777,INDEX(datatblExternalSalesImpact,MATCH(decGTMExternalSales,Data!$C$85:$C$90,0),2),0)</f>
        <v>0</v>
      </c>
      <c r="L1777" s="425">
        <f>IF(calcExternalSalesTimeline&lt;=$Q1777,INDEX(datatblExternalSalesImpact,MATCH(decGTMExternalSales,Data!$C$85:$C$90,0),2),0)</f>
        <v>0</v>
      </c>
      <c r="M1777" s="425">
        <f>IF(calcExternalSalesTimeline&lt;=$Q1777,INDEX(datatblExternalSalesImpact,MATCH(decGTMExternalSales,Data!$C$85:$C$90,0),2),0)</f>
        <v>0</v>
      </c>
      <c r="N1777" s="425">
        <f>IF(calcExternalSalesTimeline&lt;=$Q1777,INDEX(datatblExternalSalesImpact,MATCH(decGTMExternalSales,Data!$C$85:$C$90,0),2),0)</f>
        <v>0</v>
      </c>
      <c r="O1777" s="482">
        <v>0.05</v>
      </c>
      <c r="P1777" s="482">
        <v>-0.05</v>
      </c>
      <c r="Q1777" s="69">
        <f>Q1776</f>
        <v>24</v>
      </c>
    </row>
    <row r="1778" spans="1:18">
      <c r="D1778" s="69" t="s">
        <v>2284</v>
      </c>
      <c r="E1778" s="425">
        <f>IF(calcCSGTimeline&lt;=$Q1778,INDEX(datatblCSGPostSales,MATCH(decGTMCSGPostSales,Data!$C$204:$C$209,0),3),0)</f>
        <v>0</v>
      </c>
      <c r="F1778" s="425">
        <f>IF(calcCSGTimeline&lt;=$Q1778,INDEX(datatblCSGPostSales,MATCH(decGTMCSGPostSales,Data!$C$204:$C$209,0),3),0)</f>
        <v>0</v>
      </c>
      <c r="G1778" s="425">
        <f>IF(calcCSGTimeline&lt;=$Q1778,INDEX(datatblCSGPostSales,MATCH(decGTMCSGPostSales,Data!$C$204:$C$209,0),3),0)</f>
        <v>0</v>
      </c>
      <c r="H1778" s="425">
        <f>IF(calcCSGTimeline&lt;=$Q1778,INDEX(datatblCSGPostSales,MATCH(decGTMCSGPostSales,Data!$C$204:$C$209,0),3),0)</f>
        <v>0</v>
      </c>
      <c r="I1778" s="425">
        <f>IF(calcCSGTimeline&lt;=$Q1778,INDEX(datatblCSGPostSales,MATCH(decGTMCSGPostSales,Data!$C$204:$C$209,0),3),0)</f>
        <v>0</v>
      </c>
      <c r="J1778" s="425">
        <f>IF(calcCSGTimeline&lt;=$Q1778,INDEX(datatblCSGPostSales,MATCH(decGTMCSGPostSales,Data!$C$204:$C$209,0),3),0)</f>
        <v>0</v>
      </c>
      <c r="K1778" s="425">
        <f>IF(calcCSGTimeline&lt;=$Q1778,INDEX(datatblCSGPostSales,MATCH(decGTMCSGPostSales,Data!$C$204:$C$209,0),3),0)</f>
        <v>0</v>
      </c>
      <c r="L1778" s="425">
        <f>IF(calcCSGTimeline&lt;=$Q1778,INDEX(datatblCSGPostSales,MATCH(decGTMCSGPostSales,Data!$C$204:$C$209,0),3),0)</f>
        <v>0</v>
      </c>
      <c r="M1778" s="425">
        <f>IF(calcCSGTimeline&lt;=$Q1778,INDEX(datatblCSGPostSales,MATCH(decGTMCSGPostSales,Data!$C$204:$C$209,0),3),0)</f>
        <v>0</v>
      </c>
      <c r="N1778" s="425">
        <f>IF(calcCSGTimeline&lt;=$Q1778,INDEX(datatblCSGPostSales,MATCH(decGTMCSGPostSales,Data!$C$204:$C$209,0),3),0)</f>
        <v>0</v>
      </c>
      <c r="O1778" s="482"/>
      <c r="P1778" s="482"/>
      <c r="Q1778" s="69">
        <f>Q1777</f>
        <v>24</v>
      </c>
    </row>
    <row r="1779" spans="1:18">
      <c r="D1779" s="69" t="s">
        <v>3079</v>
      </c>
      <c r="E1779" s="425">
        <f>IF(calcBrandIntegrationTimeline&lt;=$Q1779,INDEX(datatblBrandIntegration,MATCH(decGTMBrandIntegration,Data!$C$220:$C$226,0),3),0)</f>
        <v>0</v>
      </c>
      <c r="F1779" s="425">
        <f>IF(calcBrandIntegrationTimeline&lt;=$Q1779,INDEX(datatblBrandIntegration,MATCH(decGTMBrandIntegration,Data!$C$220:$C$226,0),3),0)</f>
        <v>0</v>
      </c>
      <c r="G1779" s="425">
        <f>IF(calcBrandIntegrationTimeline&lt;=$Q1779,INDEX(datatblBrandIntegration,MATCH(decGTMBrandIntegration,Data!$C$220:$C$226,0),3),0)</f>
        <v>0</v>
      </c>
      <c r="H1779" s="425">
        <f>IF(calcBrandIntegrationTimeline&lt;=$Q1779,INDEX(datatblBrandIntegration,MATCH(decGTMBrandIntegration,Data!$C$220:$C$226,0),3),0)</f>
        <v>0</v>
      </c>
      <c r="I1779" s="425">
        <f>IF(calcBrandIntegrationTimeline&lt;=$Q1779,INDEX(datatblBrandIntegration,MATCH(decGTMBrandIntegration,Data!$C$220:$C$226,0),3),0)</f>
        <v>0</v>
      </c>
      <c r="J1779" s="425">
        <f>IF(calcBrandIntegrationTimeline&lt;=$Q1779,INDEX(datatblBrandIntegration,MATCH(decGTMBrandIntegration,Data!$C$220:$C$226,0),3),0)</f>
        <v>0</v>
      </c>
      <c r="K1779" s="425">
        <f>IF(calcBrandIntegrationTimeline&lt;=$Q1779,INDEX(datatblBrandIntegration,MATCH(decGTMBrandIntegration,Data!$C$220:$C$226,0),3),0)</f>
        <v>0</v>
      </c>
      <c r="L1779" s="425">
        <f>IF(calcBrandIntegrationTimeline&lt;=$Q1779,INDEX(datatblBrandIntegration,MATCH(decGTMBrandIntegration,Data!$C$220:$C$226,0),3),0)</f>
        <v>0</v>
      </c>
      <c r="M1779" s="425">
        <f>IF(calcBrandIntegrationTimeline&lt;=$Q1779,INDEX(datatblBrandIntegration,MATCH(decGTMBrandIntegration,Data!$C$220:$C$226,0),3),0)</f>
        <v>0</v>
      </c>
      <c r="N1779" s="425">
        <f>IF(calcBrandIntegrationTimeline&lt;=$Q1779,INDEX(datatblBrandIntegration,MATCH(decGTMBrandIntegration,Data!$C$220:$C$226,0),3),0)</f>
        <v>0</v>
      </c>
      <c r="O1779" s="482"/>
      <c r="P1779" s="482"/>
      <c r="Q1779" s="69">
        <f>Q1778</f>
        <v>24</v>
      </c>
    </row>
    <row r="1780" spans="1:18">
      <c r="D1780" s="69" t="s">
        <v>2277</v>
      </c>
      <c r="E1780" s="425">
        <f>IF(decGTMOrg62Timeline="choose",0,IF(E1775=0,INDEX(datatblLeadPass,MATCH(decGTMLeadPass,Data!$C$212:$C$217,0),3),0))</f>
        <v>0</v>
      </c>
      <c r="F1780" s="425">
        <f>IF(decGTMOrg62Timeline="choose",0,IF(F1775=0,INDEX(datatblLeadPass,MATCH(decGTMLeadPass,Data!$C$212:$C$217,0),3),0))</f>
        <v>0</v>
      </c>
      <c r="G1780" s="425">
        <f>IF(decGTMOrg62Timeline="choose",0,IF(G1775=0,INDEX(datatblLeadPass,MATCH(decGTMLeadPass,Data!$C$212:$C$217,0),3),0))</f>
        <v>0</v>
      </c>
      <c r="H1780" s="425">
        <f>IF(decGTMOrg62Timeline="choose",0,IF(H1775=0,INDEX(datatblLeadPass,MATCH(decGTMLeadPass,Data!$C$212:$C$217,0),3),0))</f>
        <v>0</v>
      </c>
      <c r="I1780" s="425">
        <f>IF(decGTMOrg62Timeline="choose",0,IF(I1775=0,INDEX(datatblLeadPass,MATCH(decGTMLeadPass,Data!$C$212:$C$217,0),3),0))</f>
        <v>0</v>
      </c>
      <c r="J1780" s="425">
        <f>IF(decGTMOrg62Timeline="choose",0,IF(J1775=0,INDEX(datatblLeadPass,MATCH(decGTMLeadPass,Data!$C$212:$C$217,0),3),0))</f>
        <v>0</v>
      </c>
      <c r="K1780" s="425">
        <f>IF(decGTMOrg62Timeline="choose",0,IF(K1775=0,INDEX(datatblLeadPass,MATCH(decGTMLeadPass,Data!$C$212:$C$217,0),3),0))</f>
        <v>0</v>
      </c>
      <c r="L1780" s="425">
        <f>IF(decGTMOrg62Timeline="choose",0,IF(L1775=0,INDEX(datatblLeadPass,MATCH(decGTMLeadPass,Data!$C$212:$C$217,0),3),0))</f>
        <v>0</v>
      </c>
      <c r="M1780" s="425">
        <f>IF(decGTMOrg62Timeline="choose",0,IF(M1775=0,INDEX(datatblLeadPass,MATCH(decGTMLeadPass,Data!$C$212:$C$217,0),3),0))</f>
        <v>0</v>
      </c>
      <c r="N1780" s="425">
        <f>IF(decGTMOrg62Timeline="choose",0,IF(N1775=0,INDEX(datatblLeadPass,MATCH(decGTMLeadPass,Data!$C$212:$C$217,0),3),0))</f>
        <v>0</v>
      </c>
      <c r="O1780" s="482"/>
      <c r="P1780" s="482"/>
    </row>
    <row r="1781" spans="1:18">
      <c r="D1781" s="69" t="s">
        <v>1032</v>
      </c>
      <c r="E1781" s="425">
        <f>IF(decSecurityProductRestrictions="Yes",$Q1781,IF(decSecurityProductRestrictions="No",$R1781,$S1781))</f>
        <v>0</v>
      </c>
      <c r="F1781" s="425">
        <f t="shared" ref="F1781:N1781" si="846">IF(decSecurityProductRestrictions="Yes",$Q1781,IF(decSecurityProductRestrictions="No",$R1781,$S1781))</f>
        <v>0</v>
      </c>
      <c r="G1781" s="425">
        <f t="shared" si="846"/>
        <v>0</v>
      </c>
      <c r="H1781" s="425">
        <f t="shared" si="846"/>
        <v>0</v>
      </c>
      <c r="I1781" s="425">
        <f t="shared" si="846"/>
        <v>0</v>
      </c>
      <c r="J1781" s="425">
        <f t="shared" si="846"/>
        <v>0</v>
      </c>
      <c r="K1781" s="425">
        <f t="shared" si="846"/>
        <v>0</v>
      </c>
      <c r="L1781" s="425">
        <f t="shared" si="846"/>
        <v>0</v>
      </c>
      <c r="M1781" s="425">
        <f t="shared" si="846"/>
        <v>0</v>
      </c>
      <c r="N1781" s="425">
        <f t="shared" si="846"/>
        <v>0</v>
      </c>
      <c r="Q1781" s="482">
        <f>xxProductRestrictionACVHit</f>
        <v>-0.02</v>
      </c>
      <c r="R1781" s="482">
        <f>xxProductRestrictionACVIncrease</f>
        <v>0.02</v>
      </c>
    </row>
    <row r="1782" spans="1:18" s="217" customFormat="1">
      <c r="D1782" s="217" t="s">
        <v>1758</v>
      </c>
      <c r="E1782" s="411">
        <f t="shared" ref="E1782:N1782" si="847">SUM(E1775:E1781)+paramACVGrowthBaseline</f>
        <v>0</v>
      </c>
      <c r="F1782" s="411">
        <f t="shared" si="847"/>
        <v>0</v>
      </c>
      <c r="G1782" s="411">
        <f t="shared" si="847"/>
        <v>0</v>
      </c>
      <c r="H1782" s="411">
        <f t="shared" si="847"/>
        <v>0</v>
      </c>
      <c r="I1782" s="411">
        <f t="shared" si="847"/>
        <v>0</v>
      </c>
      <c r="J1782" s="411">
        <f t="shared" si="847"/>
        <v>0</v>
      </c>
      <c r="K1782" s="411">
        <f t="shared" si="847"/>
        <v>0</v>
      </c>
      <c r="L1782" s="411">
        <f t="shared" si="847"/>
        <v>0</v>
      </c>
      <c r="M1782" s="411">
        <f t="shared" si="847"/>
        <v>0</v>
      </c>
      <c r="N1782" s="411">
        <f t="shared" si="847"/>
        <v>0</v>
      </c>
      <c r="O1782" s="217" t="s">
        <v>2836</v>
      </c>
    </row>
    <row r="1783" spans="1:18" s="217" customFormat="1">
      <c r="E1783" s="411"/>
      <c r="F1783" s="411"/>
      <c r="G1783" s="411"/>
      <c r="H1783" s="411"/>
      <c r="I1783" s="411"/>
      <c r="J1783" s="411"/>
      <c r="K1783" s="411"/>
      <c r="L1783" s="411"/>
      <c r="M1783" s="411"/>
      <c r="N1783" s="411"/>
    </row>
    <row r="1784" spans="1:18" s="217" customFormat="1">
      <c r="A1784" s="217">
        <v>1</v>
      </c>
      <c r="B1784" s="10" t="s">
        <v>1735</v>
      </c>
      <c r="C1784" s="11" t="s">
        <v>899</v>
      </c>
      <c r="D1784" s="217">
        <f>IF(A1784=B1769,"New Revenue Adjustments",IF(AND(C1784=D1769,A1784&lt;B1769),"Attrition Necessary",0))</f>
        <v>0</v>
      </c>
      <c r="E1784" s="522">
        <f t="shared" ref="E1784:E1815" si="848">IF($B$1769&gt;$A1784,INDEX(calcY5Q2RevFlow,$A1784,calcTeamNum)*(IF($D1784="Attrition Necessary",1-calcQ2AttritionDifference,1)*(IF($D1774="New Revenue Adjustments",1+calcY5Q3RevenueAdjustment,1))),INDEX(dataY5Q3Rev,$A1784,)*(IF($D1784="Attrition Necessary",1-calcQ2AttritionDifference,1))*(IF($D1784="New Revenue Adjustments",1+calcY5Q3RevenueAdjustment,1)))</f>
        <v>927350.93900385476</v>
      </c>
      <c r="F1784" s="522">
        <f t="shared" ref="F1784:N1784" si="849">IF($B$1769&gt;$A1784,INDEX(calcY5Q2RevFlow,$A1784,calcTeamNum)*(IF($D1784="Attrition Necessary",1-calcQ2AttritionDifference,1)*(IF($D1774="New Revenue Adjustments",1+calcY5Q3RevenueAdjustment,1))),INDEX(dataY5Q3Rev,$A1784,)*(IF($D1784="Attrition Necessary",1-calcQ2AttritionDifference,1))*(IF($D1784="New Revenue Adjustments",1+calcY5Q3RevenueAdjustment,1)))</f>
        <v>927350.93900385476</v>
      </c>
      <c r="G1784" s="522">
        <f t="shared" si="849"/>
        <v>927350.93900385476</v>
      </c>
      <c r="H1784" s="522">
        <f t="shared" si="849"/>
        <v>927350.93900385476</v>
      </c>
      <c r="I1784" s="522">
        <f t="shared" si="849"/>
        <v>927350.93900385476</v>
      </c>
      <c r="J1784" s="522">
        <f t="shared" si="849"/>
        <v>927350.93900385476</v>
      </c>
      <c r="K1784" s="522">
        <f t="shared" si="849"/>
        <v>927350.93900385476</v>
      </c>
      <c r="L1784" s="522">
        <f t="shared" si="849"/>
        <v>927350.93900385476</v>
      </c>
      <c r="M1784" s="522">
        <f t="shared" si="849"/>
        <v>927350.93900385476</v>
      </c>
      <c r="N1784" s="522">
        <f t="shared" si="849"/>
        <v>927350.93900385476</v>
      </c>
      <c r="O1784" s="410" t="s">
        <v>2837</v>
      </c>
    </row>
    <row r="1785" spans="1:18" s="217" customFormat="1">
      <c r="A1785" s="217">
        <v>2</v>
      </c>
      <c r="B1785" s="10" t="s">
        <v>1735</v>
      </c>
      <c r="C1785" s="11" t="s">
        <v>900</v>
      </c>
      <c r="D1785" s="217">
        <f>IF(A1785=B1769,"New Revenue Adjustments",IF(AND(C1785=D1769,A1785&lt;B1769),"Attrition Necessary",0))</f>
        <v>0</v>
      </c>
      <c r="E1785" s="522">
        <f t="shared" si="848"/>
        <v>1636501.6570656262</v>
      </c>
      <c r="F1785" s="522">
        <f t="shared" ref="F1785:N1785" si="850">IF($B$1769&gt;$A1785,INDEX(calcY5Q2RevFlow,$A1785,calcTeamNum)*(IF($D1785="Attrition Necessary",1-calcQ2AttritionDifference,1)*(IF($D1775="New Revenue Adjustments",1+calcY5Q3RevenueAdjustment,1))),INDEX(dataY5Q3Rev,$A1785,)*(IF($D1785="Attrition Necessary",1-calcQ2AttritionDifference,1))*(IF($D1785="New Revenue Adjustments",1+calcY5Q3RevenueAdjustment,1)))</f>
        <v>1636501.6570656262</v>
      </c>
      <c r="G1785" s="522">
        <f t="shared" si="850"/>
        <v>1636501.6570656262</v>
      </c>
      <c r="H1785" s="522">
        <f t="shared" si="850"/>
        <v>1636501.6570656262</v>
      </c>
      <c r="I1785" s="522">
        <f t="shared" si="850"/>
        <v>1636501.6570656262</v>
      </c>
      <c r="J1785" s="522">
        <f t="shared" si="850"/>
        <v>1636501.6570656262</v>
      </c>
      <c r="K1785" s="522">
        <f t="shared" si="850"/>
        <v>1636501.6570656262</v>
      </c>
      <c r="L1785" s="522">
        <f t="shared" si="850"/>
        <v>1636501.6570656262</v>
      </c>
      <c r="M1785" s="522">
        <f t="shared" si="850"/>
        <v>1636501.6570656262</v>
      </c>
      <c r="N1785" s="522">
        <f t="shared" si="850"/>
        <v>1636501.6570656262</v>
      </c>
      <c r="O1785" s="410" t="s">
        <v>2838</v>
      </c>
    </row>
    <row r="1786" spans="1:18" s="217" customFormat="1">
      <c r="A1786" s="217">
        <v>3</v>
      </c>
      <c r="B1786" s="10" t="s">
        <v>1735</v>
      </c>
      <c r="C1786" s="11" t="s">
        <v>901</v>
      </c>
      <c r="D1786" s="217" t="str">
        <f>IF(A1786=B1769,"New Revenue Adjustments",IF(AND(C1786=D1769,A1786&lt;B1769),"Attrition Necessary",0))</f>
        <v>Attrition Necessary</v>
      </c>
      <c r="E1786" s="522">
        <f t="shared" si="848"/>
        <v>2182002.2094208351</v>
      </c>
      <c r="F1786" s="522">
        <f t="shared" ref="F1786:N1786" si="851">IF($B$1769&gt;$A1786,INDEX(calcY5Q2RevFlow,$A1786,calcTeamNum)*(IF($D1786="Attrition Necessary",1-calcQ2AttritionDifference,1)*(IF($D1776="New Revenue Adjustments",1+calcY5Q3RevenueAdjustment,1))),INDEX(dataY5Q3Rev,$A1786,)*(IF($D1786="Attrition Necessary",1-calcQ2AttritionDifference,1))*(IF($D1786="New Revenue Adjustments",1+calcY5Q3RevenueAdjustment,1)))</f>
        <v>2182002.2094208351</v>
      </c>
      <c r="G1786" s="522">
        <f t="shared" si="851"/>
        <v>2182002.2094208351</v>
      </c>
      <c r="H1786" s="522">
        <f t="shared" si="851"/>
        <v>2182002.2094208351</v>
      </c>
      <c r="I1786" s="522">
        <f t="shared" si="851"/>
        <v>2182002.2094208351</v>
      </c>
      <c r="J1786" s="522">
        <f t="shared" si="851"/>
        <v>2182002.2094208351</v>
      </c>
      <c r="K1786" s="522">
        <f t="shared" si="851"/>
        <v>2182002.2094208351</v>
      </c>
      <c r="L1786" s="522">
        <f t="shared" si="851"/>
        <v>2182002.2094208351</v>
      </c>
      <c r="M1786" s="522">
        <f t="shared" si="851"/>
        <v>2182002.2094208351</v>
      </c>
      <c r="N1786" s="522">
        <f t="shared" si="851"/>
        <v>2182002.2094208351</v>
      </c>
      <c r="O1786" s="410" t="s">
        <v>2839</v>
      </c>
    </row>
    <row r="1787" spans="1:18" s="217" customFormat="1">
      <c r="A1787" s="217">
        <v>4</v>
      </c>
      <c r="B1787" s="10" t="s">
        <v>1735</v>
      </c>
      <c r="C1787" s="11" t="s">
        <v>902</v>
      </c>
      <c r="D1787" s="217">
        <f>IF(A1787=B1769,"New Revenue Adjustments",IF(AND(C1787=D1769,A1787&lt;B1769),"Attrition Necessary",0))</f>
        <v>0</v>
      </c>
      <c r="E1787" s="522">
        <f t="shared" si="848"/>
        <v>2721927.8087654128</v>
      </c>
      <c r="F1787" s="522">
        <f t="shared" ref="F1787:N1787" si="852">IF($B$1769&gt;$A1787,INDEX(calcY5Q2RevFlow,$A1787,calcTeamNum)*(IF($D1787="Attrition Necessary",1-calcQ2AttritionDifference,1)*(IF($D1777="New Revenue Adjustments",1+calcY5Q3RevenueAdjustment,1))),INDEX(dataY5Q3Rev,$A1787,)*(IF($D1787="Attrition Necessary",1-calcQ2AttritionDifference,1))*(IF($D1787="New Revenue Adjustments",1+calcY5Q3RevenueAdjustment,1)))</f>
        <v>2721927.8087654128</v>
      </c>
      <c r="G1787" s="522">
        <f t="shared" si="852"/>
        <v>2721927.8087654128</v>
      </c>
      <c r="H1787" s="522">
        <f t="shared" si="852"/>
        <v>2721927.8087654128</v>
      </c>
      <c r="I1787" s="522">
        <f t="shared" si="852"/>
        <v>2721927.8087654128</v>
      </c>
      <c r="J1787" s="522">
        <f t="shared" si="852"/>
        <v>2721927.8087654128</v>
      </c>
      <c r="K1787" s="522">
        <f t="shared" si="852"/>
        <v>2721927.8087654128</v>
      </c>
      <c r="L1787" s="522">
        <f t="shared" si="852"/>
        <v>2721927.8087654128</v>
      </c>
      <c r="M1787" s="522">
        <f t="shared" si="852"/>
        <v>2721927.8087654128</v>
      </c>
      <c r="N1787" s="522">
        <f t="shared" si="852"/>
        <v>2721927.8087654128</v>
      </c>
      <c r="O1787" s="410" t="s">
        <v>2840</v>
      </c>
    </row>
    <row r="1788" spans="1:18" s="217" customFormat="1">
      <c r="A1788" s="217">
        <v>5</v>
      </c>
      <c r="B1788" s="10" t="s">
        <v>1729</v>
      </c>
      <c r="C1788" s="11" t="s">
        <v>899</v>
      </c>
      <c r="D1788" s="217">
        <f>IF(A1788=B1769,"New Revenue Adjustments",IF(AND(C1788=D1769,A1788&lt;B1769),"Attrition Necessary",0))</f>
        <v>0</v>
      </c>
      <c r="E1788" s="522">
        <f t="shared" si="848"/>
        <v>1091001.1047104176</v>
      </c>
      <c r="F1788" s="522">
        <f t="shared" ref="F1788:N1788" si="853">IF($B$1769&gt;$A1788,INDEX(calcY5Q2RevFlow,$A1788,calcTeamNum)*(IF($D1788="Attrition Necessary",1-calcQ2AttritionDifference,1)*(IF($D1778="New Revenue Adjustments",1+calcY5Q3RevenueAdjustment,1))),INDEX(dataY5Q3Rev,$A1788,)*(IF($D1788="Attrition Necessary",1-calcQ2AttritionDifference,1))*(IF($D1788="New Revenue Adjustments",1+calcY5Q3RevenueAdjustment,1)))</f>
        <v>1091001.1047104176</v>
      </c>
      <c r="G1788" s="522">
        <f t="shared" si="853"/>
        <v>1091001.1047104176</v>
      </c>
      <c r="H1788" s="522">
        <f t="shared" si="853"/>
        <v>1091001.1047104176</v>
      </c>
      <c r="I1788" s="522">
        <f t="shared" si="853"/>
        <v>1091001.1047104176</v>
      </c>
      <c r="J1788" s="522">
        <f t="shared" si="853"/>
        <v>1091001.1047104176</v>
      </c>
      <c r="K1788" s="522">
        <f t="shared" si="853"/>
        <v>1091001.1047104176</v>
      </c>
      <c r="L1788" s="522">
        <f t="shared" si="853"/>
        <v>1091001.1047104176</v>
      </c>
      <c r="M1788" s="522">
        <f t="shared" si="853"/>
        <v>1091001.1047104176</v>
      </c>
      <c r="N1788" s="522">
        <f t="shared" si="853"/>
        <v>1091001.1047104176</v>
      </c>
      <c r="O1788" s="410" t="s">
        <v>2841</v>
      </c>
    </row>
    <row r="1789" spans="1:18" s="217" customFormat="1">
      <c r="A1789" s="217">
        <v>6</v>
      </c>
      <c r="B1789" s="10" t="s">
        <v>1729</v>
      </c>
      <c r="C1789" s="11" t="s">
        <v>900</v>
      </c>
      <c r="D1789" s="217">
        <f>IF(A1789=B1769,"New Revenue Adjustments",IF(AND(C1789=D1769,A1789&lt;B1769),"Attrition Necessary",0))</f>
        <v>0</v>
      </c>
      <c r="E1789" s="522">
        <f t="shared" si="848"/>
        <v>1571556.1098204977</v>
      </c>
      <c r="F1789" s="522">
        <f t="shared" ref="F1789:N1789" si="854">IF($B$1769&gt;$A1789,INDEX(calcY5Q2RevFlow,$A1789,calcTeamNum)*(IF($D1789="Attrition Necessary",1-calcQ2AttritionDifference,1)*(IF($D1779="New Revenue Adjustments",1+calcY5Q3RevenueAdjustment,1))),INDEX(dataY5Q3Rev,$A1789,)*(IF($D1789="Attrition Necessary",1-calcQ2AttritionDifference,1))*(IF($D1789="New Revenue Adjustments",1+calcY5Q3RevenueAdjustment,1)))</f>
        <v>1571556.1098204977</v>
      </c>
      <c r="G1789" s="522">
        <f t="shared" si="854"/>
        <v>1571556.1098204977</v>
      </c>
      <c r="H1789" s="522">
        <f t="shared" si="854"/>
        <v>1571556.1098204977</v>
      </c>
      <c r="I1789" s="522">
        <f t="shared" si="854"/>
        <v>1571556.1098204977</v>
      </c>
      <c r="J1789" s="522">
        <f t="shared" si="854"/>
        <v>1571556.1098204977</v>
      </c>
      <c r="K1789" s="522">
        <f t="shared" si="854"/>
        <v>1571556.1098204977</v>
      </c>
      <c r="L1789" s="522">
        <f t="shared" si="854"/>
        <v>1571556.1098204977</v>
      </c>
      <c r="M1789" s="522">
        <f t="shared" si="854"/>
        <v>1571556.1098204977</v>
      </c>
      <c r="N1789" s="522">
        <f t="shared" si="854"/>
        <v>1571556.1098204977</v>
      </c>
      <c r="O1789" s="410" t="s">
        <v>2842</v>
      </c>
    </row>
    <row r="1790" spans="1:18" s="217" customFormat="1">
      <c r="A1790" s="217">
        <v>7</v>
      </c>
      <c r="B1790" s="10" t="s">
        <v>1729</v>
      </c>
      <c r="C1790" s="11" t="s">
        <v>901</v>
      </c>
      <c r="D1790" s="217" t="str">
        <f>IF(A1790=B1769,"New Revenue Adjustments",IF(AND(C1790=D1769,A1790&lt;B1769),"Attrition Necessary",0))</f>
        <v>Attrition Necessary</v>
      </c>
      <c r="E1790" s="522">
        <f t="shared" si="848"/>
        <v>2428768.5333589516</v>
      </c>
      <c r="F1790" s="522">
        <f t="shared" ref="F1790:N1790" si="855">IF($B$1769&gt;$A1790,INDEX(calcY5Q2RevFlow,$A1790,calcTeamNum)*(IF($D1790="Attrition Necessary",1-calcQ2AttritionDifference,1)*(IF($D1780="New Revenue Adjustments",1+calcY5Q3RevenueAdjustment,1))),INDEX(dataY5Q3Rev,$A1790,)*(IF($D1790="Attrition Necessary",1-calcQ2AttritionDifference,1))*(IF($D1790="New Revenue Adjustments",1+calcY5Q3RevenueAdjustment,1)))</f>
        <v>2428768.5333589516</v>
      </c>
      <c r="G1790" s="522">
        <f t="shared" si="855"/>
        <v>2428768.5333589516</v>
      </c>
      <c r="H1790" s="522">
        <f t="shared" si="855"/>
        <v>2428768.5333589516</v>
      </c>
      <c r="I1790" s="522">
        <f t="shared" si="855"/>
        <v>2428768.5333589516</v>
      </c>
      <c r="J1790" s="522">
        <f t="shared" si="855"/>
        <v>2428768.5333589516</v>
      </c>
      <c r="K1790" s="522">
        <f t="shared" si="855"/>
        <v>2428768.5333589516</v>
      </c>
      <c r="L1790" s="522">
        <f t="shared" si="855"/>
        <v>2428768.5333589516</v>
      </c>
      <c r="M1790" s="522">
        <f t="shared" si="855"/>
        <v>2428768.5333589516</v>
      </c>
      <c r="N1790" s="522">
        <f t="shared" si="855"/>
        <v>2428768.5333589516</v>
      </c>
      <c r="O1790" s="410" t="s">
        <v>2843</v>
      </c>
    </row>
    <row r="1791" spans="1:18" s="217" customFormat="1">
      <c r="A1791" s="217">
        <v>8</v>
      </c>
      <c r="B1791" s="10" t="s">
        <v>1729</v>
      </c>
      <c r="C1791" s="11" t="s">
        <v>902</v>
      </c>
      <c r="D1791" s="217">
        <f>IF(A1791=B1769,"New Revenue Adjustments",IF(AND(C1791=D1769,A1791&lt;B1769),"Attrition Necessary",0))</f>
        <v>0</v>
      </c>
      <c r="E1791" s="522">
        <f t="shared" si="848"/>
        <v>3564417.920957448</v>
      </c>
      <c r="F1791" s="522">
        <f t="shared" ref="F1791:N1791" si="856">IF($B$1769&gt;$A1791,INDEX(calcY5Q2RevFlow,$A1791,calcTeamNum)*(IF($D1791="Attrition Necessary",1-calcQ2AttritionDifference,1)*(IF($D1781="New Revenue Adjustments",1+calcY5Q3RevenueAdjustment,1))),INDEX(dataY5Q3Rev,$A1791,)*(IF($D1791="Attrition Necessary",1-calcQ2AttritionDifference,1))*(IF($D1791="New Revenue Adjustments",1+calcY5Q3RevenueAdjustment,1)))</f>
        <v>3564417.920957448</v>
      </c>
      <c r="G1791" s="522">
        <f t="shared" si="856"/>
        <v>3564417.920957448</v>
      </c>
      <c r="H1791" s="522">
        <f t="shared" si="856"/>
        <v>3564417.920957448</v>
      </c>
      <c r="I1791" s="522">
        <f t="shared" si="856"/>
        <v>3564417.920957448</v>
      </c>
      <c r="J1791" s="522">
        <f t="shared" si="856"/>
        <v>3564417.920957448</v>
      </c>
      <c r="K1791" s="522">
        <f t="shared" si="856"/>
        <v>3564417.920957448</v>
      </c>
      <c r="L1791" s="522">
        <f t="shared" si="856"/>
        <v>3564417.920957448</v>
      </c>
      <c r="M1791" s="522">
        <f t="shared" si="856"/>
        <v>3564417.920957448</v>
      </c>
      <c r="N1791" s="522">
        <f t="shared" si="856"/>
        <v>3564417.920957448</v>
      </c>
      <c r="O1791" s="410" t="s">
        <v>2844</v>
      </c>
    </row>
    <row r="1792" spans="1:18" s="217" customFormat="1">
      <c r="A1792" s="217">
        <v>9</v>
      </c>
      <c r="B1792" s="10" t="s">
        <v>405</v>
      </c>
      <c r="C1792" s="11" t="s">
        <v>899</v>
      </c>
      <c r="D1792" s="217">
        <f>IF(A1792=B1769,"New Revenue Adjustments",IF(AND(C1792=D1769,A1792&lt;B1769),"Attrition Necessary",0))</f>
        <v>0</v>
      </c>
      <c r="E1792" s="522">
        <f t="shared" si="848"/>
        <v>1607273.2941346001</v>
      </c>
      <c r="F1792" s="522">
        <f t="shared" ref="F1792:N1792" si="857">IF($B$1769&gt;$A1792,INDEX(calcY5Q2RevFlow,$A1792,calcTeamNum)*(IF($D1792="Attrition Necessary",1-calcQ2AttritionDifference,1)*(IF($D1782="New Revenue Adjustments",1+calcY5Q3RevenueAdjustment,1))),INDEX(dataY5Q3Rev,$A1792,)*(IF($D1792="Attrition Necessary",1-calcQ2AttritionDifference,1))*(IF($D1792="New Revenue Adjustments",1+calcY5Q3RevenueAdjustment,1)))</f>
        <v>1607273.2941346001</v>
      </c>
      <c r="G1792" s="522">
        <f t="shared" si="857"/>
        <v>1607273.2941346001</v>
      </c>
      <c r="H1792" s="522">
        <f t="shared" si="857"/>
        <v>1607273.2941346001</v>
      </c>
      <c r="I1792" s="522">
        <f t="shared" si="857"/>
        <v>1607273.2941346001</v>
      </c>
      <c r="J1792" s="522">
        <f t="shared" si="857"/>
        <v>1607273.2941346001</v>
      </c>
      <c r="K1792" s="522">
        <f t="shared" si="857"/>
        <v>1607273.2941346001</v>
      </c>
      <c r="L1792" s="522">
        <f t="shared" si="857"/>
        <v>1607273.2941346001</v>
      </c>
      <c r="M1792" s="522">
        <f t="shared" si="857"/>
        <v>1607273.2941346001</v>
      </c>
      <c r="N1792" s="522">
        <f t="shared" si="857"/>
        <v>1607273.2941346001</v>
      </c>
      <c r="O1792" s="410" t="s">
        <v>2845</v>
      </c>
    </row>
    <row r="1793" spans="1:15" s="217" customFormat="1">
      <c r="A1793" s="217">
        <v>10</v>
      </c>
      <c r="B1793" s="10" t="s">
        <v>405</v>
      </c>
      <c r="C1793" s="11" t="s">
        <v>900</v>
      </c>
      <c r="D1793" s="217">
        <f>IF(A1793=B1769,"New Revenue Adjustments",IF(AND(C1793=D1769,A1793&lt;B1769),"Attrition Necessary",0))</f>
        <v>0</v>
      </c>
      <c r="E1793" s="522">
        <f t="shared" si="848"/>
        <v>2315231.5379359759</v>
      </c>
      <c r="F1793" s="522">
        <f t="shared" ref="F1793:N1793" si="858">IF($B$1769&gt;$A1793,INDEX(calcY5Q2RevFlow,$A1793,calcTeamNum)*(IF($D1793="Attrition Necessary",1-calcQ2AttritionDifference,1)*(IF($D1783="New Revenue Adjustments",1+calcY5Q3RevenueAdjustment,1))),INDEX(dataY5Q3Rev,$A1793,)*(IF($D1793="Attrition Necessary",1-calcQ2AttritionDifference,1))*(IF($D1793="New Revenue Adjustments",1+calcY5Q3RevenueAdjustment,1)))</f>
        <v>2315231.5379359759</v>
      </c>
      <c r="G1793" s="522">
        <f t="shared" si="858"/>
        <v>2315231.5379359759</v>
      </c>
      <c r="H1793" s="522">
        <f t="shared" si="858"/>
        <v>2315231.5379359759</v>
      </c>
      <c r="I1793" s="522">
        <f t="shared" si="858"/>
        <v>2315231.5379359759</v>
      </c>
      <c r="J1793" s="522">
        <f t="shared" si="858"/>
        <v>2315231.5379359759</v>
      </c>
      <c r="K1793" s="522">
        <f t="shared" si="858"/>
        <v>2315231.5379359759</v>
      </c>
      <c r="L1793" s="522">
        <f t="shared" si="858"/>
        <v>2315231.5379359759</v>
      </c>
      <c r="M1793" s="522">
        <f t="shared" si="858"/>
        <v>2315231.5379359759</v>
      </c>
      <c r="N1793" s="522">
        <f t="shared" si="858"/>
        <v>2315231.5379359759</v>
      </c>
      <c r="O1793" s="410" t="s">
        <v>2846</v>
      </c>
    </row>
    <row r="1794" spans="1:15" s="217" customFormat="1">
      <c r="A1794" s="217">
        <v>11</v>
      </c>
      <c r="B1794" s="10" t="s">
        <v>405</v>
      </c>
      <c r="C1794" s="11" t="s">
        <v>901</v>
      </c>
      <c r="D1794" s="217" t="str">
        <f>IF(A1794=B1769,"New Revenue Adjustments",IF(AND(C1794=D1769,A1794&lt;B1769),"Attrition Necessary",0))</f>
        <v>Attrition Necessary</v>
      </c>
      <c r="E1794" s="522">
        <f t="shared" si="848"/>
        <v>3578085.1040828726</v>
      </c>
      <c r="F1794" s="522">
        <f t="shared" ref="F1794:N1794" si="859">IF($B$1769&gt;$A1794,INDEX(calcY5Q2RevFlow,$A1794,calcTeamNum)*(IF($D1794="Attrition Necessary",1-calcQ2AttritionDifference,1)*(IF($D1784="New Revenue Adjustments",1+calcY5Q3RevenueAdjustment,1))),INDEX(dataY5Q3Rev,$A1794,)*(IF($D1794="Attrition Necessary",1-calcQ2AttritionDifference,1))*(IF($D1794="New Revenue Adjustments",1+calcY5Q3RevenueAdjustment,1)))</f>
        <v>3578085.1040828726</v>
      </c>
      <c r="G1794" s="522">
        <f t="shared" si="859"/>
        <v>3578085.1040828726</v>
      </c>
      <c r="H1794" s="522">
        <f t="shared" si="859"/>
        <v>3578085.1040828726</v>
      </c>
      <c r="I1794" s="522">
        <f t="shared" si="859"/>
        <v>3578085.1040828726</v>
      </c>
      <c r="J1794" s="522">
        <f t="shared" si="859"/>
        <v>3578085.1040828726</v>
      </c>
      <c r="K1794" s="522">
        <f t="shared" si="859"/>
        <v>3578085.1040828726</v>
      </c>
      <c r="L1794" s="522">
        <f t="shared" si="859"/>
        <v>3578085.1040828726</v>
      </c>
      <c r="M1794" s="522">
        <f t="shared" si="859"/>
        <v>3578085.1040828726</v>
      </c>
      <c r="N1794" s="522">
        <f t="shared" si="859"/>
        <v>3578085.1040828726</v>
      </c>
      <c r="O1794" s="410" t="s">
        <v>2847</v>
      </c>
    </row>
    <row r="1795" spans="1:15" s="217" customFormat="1">
      <c r="A1795" s="217">
        <v>12</v>
      </c>
      <c r="B1795" s="10" t="s">
        <v>405</v>
      </c>
      <c r="C1795" s="11" t="s">
        <v>902</v>
      </c>
      <c r="D1795" s="217">
        <f>IF(A1795=B1769,"New Revenue Adjustments",IF(AND(C1795=D1769,A1795&lt;B1769),"Attrition Necessary",0))</f>
        <v>0</v>
      </c>
      <c r="E1795" s="522">
        <f t="shared" si="848"/>
        <v>5251134.6769078821</v>
      </c>
      <c r="F1795" s="522">
        <f t="shared" ref="F1795:N1795" si="860">IF($B$1769&gt;$A1795,INDEX(calcY5Q2RevFlow,$A1795,calcTeamNum)*(IF($D1795="Attrition Necessary",1-calcQ2AttritionDifference,1)*(IF($D1785="New Revenue Adjustments",1+calcY5Q3RevenueAdjustment,1))),INDEX(dataY5Q3Rev,$A1795,)*(IF($D1795="Attrition Necessary",1-calcQ2AttritionDifference,1))*(IF($D1795="New Revenue Adjustments",1+calcY5Q3RevenueAdjustment,1)))</f>
        <v>5251134.6769078821</v>
      </c>
      <c r="G1795" s="522">
        <f t="shared" si="860"/>
        <v>5251134.6769078821</v>
      </c>
      <c r="H1795" s="522">
        <f t="shared" si="860"/>
        <v>5251134.6769078821</v>
      </c>
      <c r="I1795" s="522">
        <f t="shared" si="860"/>
        <v>5251134.6769078821</v>
      </c>
      <c r="J1795" s="522">
        <f t="shared" si="860"/>
        <v>5251134.6769078821</v>
      </c>
      <c r="K1795" s="522">
        <f t="shared" si="860"/>
        <v>5251134.6769078821</v>
      </c>
      <c r="L1795" s="522">
        <f t="shared" si="860"/>
        <v>5251134.6769078821</v>
      </c>
      <c r="M1795" s="522">
        <f t="shared" si="860"/>
        <v>5251134.6769078821</v>
      </c>
      <c r="N1795" s="522">
        <f t="shared" si="860"/>
        <v>5251134.6769078821</v>
      </c>
      <c r="O1795" s="410" t="s">
        <v>2848</v>
      </c>
    </row>
    <row r="1796" spans="1:15" s="217" customFormat="1">
      <c r="A1796" s="217">
        <v>13</v>
      </c>
      <c r="B1796" s="10" t="s">
        <v>1278</v>
      </c>
      <c r="C1796" s="11" t="s">
        <v>899</v>
      </c>
      <c r="D1796" s="217">
        <f>IF(A1796=B1769,"New Revenue Adjustments",IF(AND(C1796=D1769,A1796&lt;B1769),"Attrition Necessary",0))</f>
        <v>0</v>
      </c>
      <c r="E1796" s="522">
        <f t="shared" si="848"/>
        <v>2363010.6046085469</v>
      </c>
      <c r="F1796" s="522">
        <f t="shared" ref="F1796:N1796" si="861">IF($B$1769&gt;$A1796,INDEX(calcY5Q2RevFlow,$A1796,calcTeamNum)*(IF($D1796="Attrition Necessary",1-calcQ2AttritionDifference,1)*(IF($D1786="New Revenue Adjustments",1+calcY5Q3RevenueAdjustment,1))),INDEX(dataY5Q3Rev,$A1796,)*(IF($D1796="Attrition Necessary",1-calcQ2AttritionDifference,1))*(IF($D1796="New Revenue Adjustments",1+calcY5Q3RevenueAdjustment,1)))</f>
        <v>2363010.6046085469</v>
      </c>
      <c r="G1796" s="522">
        <f t="shared" si="861"/>
        <v>2363010.6046085469</v>
      </c>
      <c r="H1796" s="522">
        <f t="shared" si="861"/>
        <v>2363010.6046085469</v>
      </c>
      <c r="I1796" s="522">
        <f t="shared" si="861"/>
        <v>2363010.6046085469</v>
      </c>
      <c r="J1796" s="522">
        <f t="shared" si="861"/>
        <v>2363010.6046085469</v>
      </c>
      <c r="K1796" s="522">
        <f t="shared" si="861"/>
        <v>2363010.6046085469</v>
      </c>
      <c r="L1796" s="522">
        <f t="shared" si="861"/>
        <v>2363010.6046085469</v>
      </c>
      <c r="M1796" s="522">
        <f t="shared" si="861"/>
        <v>2363010.6046085469</v>
      </c>
      <c r="N1796" s="522">
        <f t="shared" si="861"/>
        <v>2363010.6046085469</v>
      </c>
      <c r="O1796" s="410" t="s">
        <v>2849</v>
      </c>
    </row>
    <row r="1797" spans="1:15" s="217" customFormat="1">
      <c r="A1797" s="217">
        <v>14</v>
      </c>
      <c r="B1797" s="10" t="s">
        <v>1278</v>
      </c>
      <c r="C1797" s="11" t="s">
        <v>900</v>
      </c>
      <c r="D1797" s="217">
        <f>IF(A1797=B1769,"New Revenue Adjustments",IF(AND(C1797=D1769,A1797&lt;B1769),"Attrition Necessary",0))</f>
        <v>0</v>
      </c>
      <c r="E1797" s="522">
        <f t="shared" si="848"/>
        <v>2888124.0722993347</v>
      </c>
      <c r="F1797" s="522">
        <f t="shared" ref="F1797:N1797" si="862">IF($B$1769&gt;$A1797,INDEX(calcY5Q2RevFlow,$A1797,calcTeamNum)*(IF($D1797="Attrition Necessary",1-calcQ2AttritionDifference,1)*(IF($D1787="New Revenue Adjustments",1+calcY5Q3RevenueAdjustment,1))),INDEX(dataY5Q3Rev,$A1797,)*(IF($D1797="Attrition Necessary",1-calcQ2AttritionDifference,1))*(IF($D1797="New Revenue Adjustments",1+calcY5Q3RevenueAdjustment,1)))</f>
        <v>2888124.0722993347</v>
      </c>
      <c r="G1797" s="522">
        <f t="shared" si="862"/>
        <v>2888124.0722993347</v>
      </c>
      <c r="H1797" s="522">
        <f t="shared" si="862"/>
        <v>2888124.0722993347</v>
      </c>
      <c r="I1797" s="522">
        <f t="shared" si="862"/>
        <v>2888124.0722993347</v>
      </c>
      <c r="J1797" s="522">
        <f t="shared" si="862"/>
        <v>2888124.0722993347</v>
      </c>
      <c r="K1797" s="522">
        <f t="shared" si="862"/>
        <v>2888124.0722993347</v>
      </c>
      <c r="L1797" s="522">
        <f t="shared" si="862"/>
        <v>2888124.0722993347</v>
      </c>
      <c r="M1797" s="522">
        <f t="shared" si="862"/>
        <v>2888124.0722993347</v>
      </c>
      <c r="N1797" s="522">
        <f t="shared" si="862"/>
        <v>2888124.0722993347</v>
      </c>
      <c r="O1797" s="410" t="s">
        <v>2850</v>
      </c>
    </row>
    <row r="1798" spans="1:15" s="217" customFormat="1">
      <c r="A1798" s="217">
        <v>15</v>
      </c>
      <c r="B1798" s="10" t="s">
        <v>1278</v>
      </c>
      <c r="C1798" s="11" t="s">
        <v>901</v>
      </c>
      <c r="D1798" s="217" t="str">
        <f>IF(A1798=B1769,"New Revenue Adjustments",IF(AND(C1798=D1769,A1798&lt;B1769),"Attrition Necessary",0))</f>
        <v>Attrition Necessary</v>
      </c>
      <c r="E1798" s="522">
        <f t="shared" si="848"/>
        <v>4463464.4753716998</v>
      </c>
      <c r="F1798" s="522">
        <f t="shared" ref="F1798:N1798" si="863">IF($B$1769&gt;$A1798,INDEX(calcY5Q2RevFlow,$A1798,calcTeamNum)*(IF($D1798="Attrition Necessary",1-calcQ2AttritionDifference,1)*(IF($D1788="New Revenue Adjustments",1+calcY5Q3RevenueAdjustment,1))),INDEX(dataY5Q3Rev,$A1798,)*(IF($D1798="Attrition Necessary",1-calcQ2AttritionDifference,1))*(IF($D1798="New Revenue Adjustments",1+calcY5Q3RevenueAdjustment,1)))</f>
        <v>4463464.4753716998</v>
      </c>
      <c r="G1798" s="522">
        <f t="shared" si="863"/>
        <v>4463464.4753716998</v>
      </c>
      <c r="H1798" s="522">
        <f t="shared" si="863"/>
        <v>4463464.4753716998</v>
      </c>
      <c r="I1798" s="522">
        <f t="shared" si="863"/>
        <v>4463464.4753716998</v>
      </c>
      <c r="J1798" s="522">
        <f t="shared" si="863"/>
        <v>4463464.4753716998</v>
      </c>
      <c r="K1798" s="522">
        <f t="shared" si="863"/>
        <v>4463464.4753716998</v>
      </c>
      <c r="L1798" s="522">
        <f t="shared" si="863"/>
        <v>4463464.4753716998</v>
      </c>
      <c r="M1798" s="522">
        <f t="shared" si="863"/>
        <v>4463464.4753716998</v>
      </c>
      <c r="N1798" s="522">
        <f t="shared" si="863"/>
        <v>4463464.4753716998</v>
      </c>
      <c r="O1798" s="410" t="s">
        <v>2851</v>
      </c>
    </row>
    <row r="1799" spans="1:15" s="217" customFormat="1">
      <c r="A1799" s="217">
        <v>16</v>
      </c>
      <c r="B1799" s="10" t="s">
        <v>1278</v>
      </c>
      <c r="C1799" s="11" t="s">
        <v>902</v>
      </c>
      <c r="D1799" s="217">
        <f>IF(A1799=B1769,"New Revenue Adjustments",IF(AND(C1799=D1769,A1799&lt;B1769),"Attrition Necessary",0))</f>
        <v>0</v>
      </c>
      <c r="E1799" s="522">
        <f t="shared" si="848"/>
        <v>6550501.8477693321</v>
      </c>
      <c r="F1799" s="522">
        <f t="shared" ref="F1799:N1799" si="864">IF($B$1769&gt;$A1799,INDEX(calcY5Q2RevFlow,$A1799,calcTeamNum)*(IF($D1799="Attrition Necessary",1-calcQ2AttritionDifference,1)*(IF($D1789="New Revenue Adjustments",1+calcY5Q3RevenueAdjustment,1))),INDEX(dataY5Q3Rev,$A1799,)*(IF($D1799="Attrition Necessary",1-calcQ2AttritionDifference,1))*(IF($D1799="New Revenue Adjustments",1+calcY5Q3RevenueAdjustment,1)))</f>
        <v>6550501.8477693321</v>
      </c>
      <c r="G1799" s="522">
        <f t="shared" si="864"/>
        <v>6550501.8477693321</v>
      </c>
      <c r="H1799" s="522">
        <f t="shared" si="864"/>
        <v>6550501.8477693321</v>
      </c>
      <c r="I1799" s="522">
        <f t="shared" si="864"/>
        <v>6550501.8477693321</v>
      </c>
      <c r="J1799" s="522">
        <f t="shared" si="864"/>
        <v>6550501.8477693321</v>
      </c>
      <c r="K1799" s="522">
        <f t="shared" si="864"/>
        <v>6550501.8477693321</v>
      </c>
      <c r="L1799" s="522">
        <f t="shared" si="864"/>
        <v>6550501.8477693321</v>
      </c>
      <c r="M1799" s="522">
        <f t="shared" si="864"/>
        <v>6550501.8477693321</v>
      </c>
      <c r="N1799" s="522">
        <f t="shared" si="864"/>
        <v>6550501.8477693321</v>
      </c>
      <c r="O1799" s="410" t="s">
        <v>2852</v>
      </c>
    </row>
    <row r="1800" spans="1:15" s="217" customFormat="1">
      <c r="A1800" s="217">
        <v>17</v>
      </c>
      <c r="B1800" s="10" t="s">
        <v>1279</v>
      </c>
      <c r="C1800" s="11" t="s">
        <v>899</v>
      </c>
      <c r="D1800" s="217">
        <f>IF(A1800=B1769,"New Revenue Adjustments",IF(AND(C1800=D1769,A1800&lt;B1769),"Attrition Necessary",0))</f>
        <v>0</v>
      </c>
      <c r="E1800" s="522">
        <f t="shared" si="848"/>
        <v>2947725.8314961996</v>
      </c>
      <c r="F1800" s="522">
        <f t="shared" ref="F1800:N1800" si="865">IF($B$1769&gt;$A1800,INDEX(calcY5Q2RevFlow,$A1800,calcTeamNum)*(IF($D1800="Attrition Necessary",1-calcQ2AttritionDifference,1)*(IF($D1790="New Revenue Adjustments",1+calcY5Q3RevenueAdjustment,1))),INDEX(dataY5Q3Rev,$A1800,)*(IF($D1800="Attrition Necessary",1-calcQ2AttritionDifference,1))*(IF($D1800="New Revenue Adjustments",1+calcY5Q3RevenueAdjustment,1)))</f>
        <v>2947725.8314961996</v>
      </c>
      <c r="G1800" s="522">
        <f t="shared" si="865"/>
        <v>2947725.8314961996</v>
      </c>
      <c r="H1800" s="522">
        <f t="shared" si="865"/>
        <v>2947725.8314961996</v>
      </c>
      <c r="I1800" s="522">
        <f t="shared" si="865"/>
        <v>2947725.8314961996</v>
      </c>
      <c r="J1800" s="522">
        <f t="shared" si="865"/>
        <v>2947725.8314961996</v>
      </c>
      <c r="K1800" s="522">
        <f t="shared" si="865"/>
        <v>2947725.8314961996</v>
      </c>
      <c r="L1800" s="522">
        <f t="shared" si="865"/>
        <v>2947725.8314961996</v>
      </c>
      <c r="M1800" s="522">
        <f t="shared" si="865"/>
        <v>2947725.8314961996</v>
      </c>
      <c r="N1800" s="522">
        <f t="shared" si="865"/>
        <v>2947725.8314961996</v>
      </c>
      <c r="O1800" s="410" t="s">
        <v>2853</v>
      </c>
    </row>
    <row r="1801" spans="1:15" s="217" customFormat="1">
      <c r="A1801" s="217">
        <v>18</v>
      </c>
      <c r="B1801" s="10" t="s">
        <v>1279</v>
      </c>
      <c r="C1801" s="11" t="s">
        <v>900</v>
      </c>
      <c r="D1801" s="217">
        <f>IF(A1801=B1769,"New Revenue Adjustments",IF(AND(C1801=D1769,A1801&lt;B1769),"Attrition Necessary",0))</f>
        <v>0</v>
      </c>
      <c r="E1801" s="522">
        <f t="shared" si="848"/>
        <v>3602776.0162731321</v>
      </c>
      <c r="F1801" s="522">
        <f t="shared" ref="F1801:N1801" si="866">IF($B$1769&gt;$A1801,INDEX(calcY5Q2RevFlow,$A1801,calcTeamNum)*(IF($D1801="Attrition Necessary",1-calcQ2AttritionDifference,1)*(IF($D1791="New Revenue Adjustments",1+calcY5Q3RevenueAdjustment,1))),INDEX(dataY5Q3Rev,$A1801,)*(IF($D1801="Attrition Necessary",1-calcQ2AttritionDifference,1))*(IF($D1801="New Revenue Adjustments",1+calcY5Q3RevenueAdjustment,1)))</f>
        <v>3602776.0162731321</v>
      </c>
      <c r="G1801" s="522">
        <f t="shared" si="866"/>
        <v>3602776.0162731321</v>
      </c>
      <c r="H1801" s="522">
        <f t="shared" si="866"/>
        <v>3602776.0162731321</v>
      </c>
      <c r="I1801" s="522">
        <f t="shared" si="866"/>
        <v>3602776.0162731321</v>
      </c>
      <c r="J1801" s="522">
        <f t="shared" si="866"/>
        <v>3602776.0162731321</v>
      </c>
      <c r="K1801" s="522">
        <f t="shared" si="866"/>
        <v>3602776.0162731321</v>
      </c>
      <c r="L1801" s="522">
        <f t="shared" si="866"/>
        <v>3602776.0162731321</v>
      </c>
      <c r="M1801" s="522">
        <f t="shared" si="866"/>
        <v>3602776.0162731321</v>
      </c>
      <c r="N1801" s="522">
        <f t="shared" si="866"/>
        <v>3602776.0162731321</v>
      </c>
      <c r="O1801" s="410" t="s">
        <v>2854</v>
      </c>
    </row>
    <row r="1802" spans="1:15" s="217" customFormat="1">
      <c r="A1802" s="217">
        <v>19</v>
      </c>
      <c r="B1802" s="10" t="s">
        <v>1279</v>
      </c>
      <c r="C1802" s="11" t="s">
        <v>901</v>
      </c>
      <c r="D1802" s="217" t="str">
        <f>IF(A1802=B1769,"New Revenue Adjustments",IF(AND(C1802=D1769,A1802&lt;B1769),"Attrition Necessary",0))</f>
        <v>Attrition Necessary</v>
      </c>
      <c r="E1802" s="522">
        <f t="shared" si="848"/>
        <v>5567926.5706039332</v>
      </c>
      <c r="F1802" s="522">
        <f t="shared" ref="F1802:N1802" si="867">IF($B$1769&gt;$A1802,INDEX(calcY5Q2RevFlow,$A1802,calcTeamNum)*(IF($D1802="Attrition Necessary",1-calcQ2AttritionDifference,1)*(IF($D1792="New Revenue Adjustments",1+calcY5Q3RevenueAdjustment,1))),INDEX(dataY5Q3Rev,$A1802,)*(IF($D1802="Attrition Necessary",1-calcQ2AttritionDifference,1))*(IF($D1802="New Revenue Adjustments",1+calcY5Q3RevenueAdjustment,1)))</f>
        <v>5567926.5706039332</v>
      </c>
      <c r="G1802" s="522">
        <f t="shared" si="867"/>
        <v>5567926.5706039332</v>
      </c>
      <c r="H1802" s="522">
        <f t="shared" si="867"/>
        <v>5567926.5706039332</v>
      </c>
      <c r="I1802" s="522">
        <f t="shared" si="867"/>
        <v>5567926.5706039332</v>
      </c>
      <c r="J1802" s="522">
        <f t="shared" si="867"/>
        <v>5567926.5706039332</v>
      </c>
      <c r="K1802" s="522">
        <f t="shared" si="867"/>
        <v>5567926.5706039332</v>
      </c>
      <c r="L1802" s="522">
        <f t="shared" si="867"/>
        <v>5567926.5706039332</v>
      </c>
      <c r="M1802" s="522">
        <f t="shared" si="867"/>
        <v>5567926.5706039332</v>
      </c>
      <c r="N1802" s="522">
        <f t="shared" si="867"/>
        <v>5567926.5706039332</v>
      </c>
      <c r="O1802" s="410" t="s">
        <v>2855</v>
      </c>
    </row>
    <row r="1803" spans="1:15" s="217" customFormat="1">
      <c r="A1803" s="217">
        <v>20</v>
      </c>
      <c r="B1803" s="10" t="s">
        <v>1279</v>
      </c>
      <c r="C1803" s="11" t="s">
        <v>902</v>
      </c>
      <c r="D1803" s="217">
        <f>IF(A1803=B1769,"New Revenue Adjustments",IF(AND(C1803=D1769,A1803&lt;B1769),"Attrition Necessary",0))</f>
        <v>0</v>
      </c>
      <c r="E1803" s="522">
        <f t="shared" si="848"/>
        <v>8171390.9655229663</v>
      </c>
      <c r="F1803" s="522">
        <f t="shared" ref="F1803:N1803" si="868">IF($B$1769&gt;$A1803,INDEX(calcY5Q2RevFlow,$A1803,calcTeamNum)*(IF($D1803="Attrition Necessary",1-calcQ2AttritionDifference,1)*(IF($D1793="New Revenue Adjustments",1+calcY5Q3RevenueAdjustment,1))),INDEX(dataY5Q3Rev,$A1803,)*(IF($D1803="Attrition Necessary",1-calcQ2AttritionDifference,1))*(IF($D1803="New Revenue Adjustments",1+calcY5Q3RevenueAdjustment,1)))</f>
        <v>8171390.9655229663</v>
      </c>
      <c r="G1803" s="522">
        <f t="shared" si="868"/>
        <v>8171390.9655229663</v>
      </c>
      <c r="H1803" s="522">
        <f t="shared" si="868"/>
        <v>8171390.9655229663</v>
      </c>
      <c r="I1803" s="522">
        <f t="shared" si="868"/>
        <v>8171390.9655229663</v>
      </c>
      <c r="J1803" s="522">
        <f t="shared" si="868"/>
        <v>8171390.9655229663</v>
      </c>
      <c r="K1803" s="522">
        <f t="shared" si="868"/>
        <v>8171390.9655229663</v>
      </c>
      <c r="L1803" s="522">
        <f t="shared" si="868"/>
        <v>8171390.9655229663</v>
      </c>
      <c r="M1803" s="522">
        <f t="shared" si="868"/>
        <v>8171390.9655229663</v>
      </c>
      <c r="N1803" s="522">
        <f t="shared" si="868"/>
        <v>8171390.9655229663</v>
      </c>
      <c r="O1803" s="410" t="s">
        <v>2856</v>
      </c>
    </row>
    <row r="1804" spans="1:15" s="217" customFormat="1">
      <c r="A1804" s="217">
        <v>21</v>
      </c>
      <c r="B1804" s="10" t="s">
        <v>2052</v>
      </c>
      <c r="C1804" s="11" t="s">
        <v>899</v>
      </c>
      <c r="D1804" s="217">
        <f>IF(A1804=B1769,"New Revenue Adjustments",IF(AND(C1804=D1769,A1804&lt;B1769),"Attrition Necessary",0))</f>
        <v>0</v>
      </c>
      <c r="E1804" s="522">
        <f t="shared" si="848"/>
        <v>3235870.8223470962</v>
      </c>
      <c r="F1804" s="522">
        <f t="shared" ref="F1804:N1804" si="869">IF($B$1769&gt;$A1804,INDEX(calcY5Q2RevFlow,$A1804,calcTeamNum)*(IF($D1804="Attrition Necessary",1-calcQ2AttritionDifference,1)*(IF($D1794="New Revenue Adjustments",1+calcY5Q3RevenueAdjustment,1))),INDEX(dataY5Q3Rev,$A1804,)*(IF($D1804="Attrition Necessary",1-calcQ2AttritionDifference,1))*(IF($D1804="New Revenue Adjustments",1+calcY5Q3RevenueAdjustment,1)))</f>
        <v>3235870.8223470962</v>
      </c>
      <c r="G1804" s="522">
        <f t="shared" si="869"/>
        <v>3235870.8223470962</v>
      </c>
      <c r="H1804" s="522">
        <f t="shared" si="869"/>
        <v>3235870.8223470962</v>
      </c>
      <c r="I1804" s="522">
        <f t="shared" si="869"/>
        <v>3235870.8223470962</v>
      </c>
      <c r="J1804" s="522">
        <f t="shared" si="869"/>
        <v>3235870.8223470962</v>
      </c>
      <c r="K1804" s="522">
        <f t="shared" si="869"/>
        <v>3235870.8223470962</v>
      </c>
      <c r="L1804" s="522">
        <f t="shared" si="869"/>
        <v>3235870.8223470962</v>
      </c>
      <c r="M1804" s="522">
        <f t="shared" si="869"/>
        <v>3235870.8223470962</v>
      </c>
      <c r="N1804" s="522">
        <f t="shared" si="869"/>
        <v>3235870.8223470962</v>
      </c>
      <c r="O1804" s="410" t="s">
        <v>2857</v>
      </c>
    </row>
    <row r="1805" spans="1:15" s="217" customFormat="1">
      <c r="A1805" s="217">
        <v>22</v>
      </c>
      <c r="B1805" s="10" t="s">
        <v>2052</v>
      </c>
      <c r="C1805" s="11" t="s">
        <v>900</v>
      </c>
      <c r="D1805" s="217">
        <f>IF(A1805=B1769,"New Revenue Adjustments",IF(AND(C1805=D1769,A1805&lt;B1769),"Attrition Necessary",0))</f>
        <v>0</v>
      </c>
      <c r="E1805" s="522">
        <f t="shared" si="848"/>
        <v>3954953.2273131162</v>
      </c>
      <c r="F1805" s="522">
        <f t="shared" ref="F1805:N1805" si="870">IF($B$1769&gt;$A1805,INDEX(calcY5Q2RevFlow,$A1805,calcTeamNum)*(IF($D1805="Attrition Necessary",1-calcQ2AttritionDifference,1)*(IF($D1795="New Revenue Adjustments",1+calcY5Q3RevenueAdjustment,1))),INDEX(dataY5Q3Rev,$A1805,)*(IF($D1805="Attrition Necessary",1-calcQ2AttritionDifference,1))*(IF($D1805="New Revenue Adjustments",1+calcY5Q3RevenueAdjustment,1)))</f>
        <v>3954953.2273131162</v>
      </c>
      <c r="G1805" s="522">
        <f t="shared" si="870"/>
        <v>3954953.2273131162</v>
      </c>
      <c r="H1805" s="522">
        <f t="shared" si="870"/>
        <v>3954953.2273131162</v>
      </c>
      <c r="I1805" s="522">
        <f t="shared" si="870"/>
        <v>3954953.2273131162</v>
      </c>
      <c r="J1805" s="522">
        <f t="shared" si="870"/>
        <v>3954953.2273131162</v>
      </c>
      <c r="K1805" s="522">
        <f t="shared" si="870"/>
        <v>3954953.2273131162</v>
      </c>
      <c r="L1805" s="522">
        <f t="shared" si="870"/>
        <v>3954953.2273131162</v>
      </c>
      <c r="M1805" s="522">
        <f t="shared" si="870"/>
        <v>3954953.2273131162</v>
      </c>
      <c r="N1805" s="522">
        <f t="shared" si="870"/>
        <v>3954953.2273131162</v>
      </c>
      <c r="O1805" s="410" t="s">
        <v>2858</v>
      </c>
    </row>
    <row r="1806" spans="1:15" s="217" customFormat="1">
      <c r="A1806" s="217">
        <v>23</v>
      </c>
      <c r="B1806" s="10" t="s">
        <v>2052</v>
      </c>
      <c r="C1806" s="11" t="s">
        <v>901</v>
      </c>
      <c r="D1806" s="217" t="str">
        <f>IF(A1806=B1769,"New Revenue Adjustments",IF(AND(C1806=D1769,A1806&lt;B1769),"Attrition Necessary",0))</f>
        <v>Attrition Necessary</v>
      </c>
      <c r="E1806" s="522">
        <f t="shared" si="848"/>
        <v>6112200.4422111819</v>
      </c>
      <c r="F1806" s="522">
        <f t="shared" ref="F1806:N1806" si="871">IF($B$1769&gt;$A1806,INDEX(calcY5Q2RevFlow,$A1806,calcTeamNum)*(IF($D1806="Attrition Necessary",1-calcQ2AttritionDifference,1)*(IF($D1796="New Revenue Adjustments",1+calcY5Q3RevenueAdjustment,1))),INDEX(dataY5Q3Rev,$A1806,)*(IF($D1806="Attrition Necessary",1-calcQ2AttritionDifference,1))*(IF($D1806="New Revenue Adjustments",1+calcY5Q3RevenueAdjustment,1)))</f>
        <v>6112200.4422111819</v>
      </c>
      <c r="G1806" s="522">
        <f t="shared" si="871"/>
        <v>6112200.4422111819</v>
      </c>
      <c r="H1806" s="522">
        <f t="shared" si="871"/>
        <v>6112200.4422111819</v>
      </c>
      <c r="I1806" s="522">
        <f t="shared" si="871"/>
        <v>6112200.4422111819</v>
      </c>
      <c r="J1806" s="522">
        <f t="shared" si="871"/>
        <v>6112200.4422111819</v>
      </c>
      <c r="K1806" s="522">
        <f t="shared" si="871"/>
        <v>6112200.4422111819</v>
      </c>
      <c r="L1806" s="522">
        <f t="shared" si="871"/>
        <v>6112200.4422111819</v>
      </c>
      <c r="M1806" s="522">
        <f t="shared" si="871"/>
        <v>6112200.4422111819</v>
      </c>
      <c r="N1806" s="522">
        <f t="shared" si="871"/>
        <v>6112200.4422111819</v>
      </c>
      <c r="O1806" s="410" t="s">
        <v>2859</v>
      </c>
    </row>
    <row r="1807" spans="1:15" s="217" customFormat="1">
      <c r="A1807" s="217">
        <v>24</v>
      </c>
      <c r="B1807" s="10" t="s">
        <v>2052</v>
      </c>
      <c r="C1807" s="11" t="s">
        <v>902</v>
      </c>
      <c r="D1807" s="217">
        <f>IF(A1807=B1769,"New Revenue Adjustments",IF(AND(C1807=D1769,A1807&lt;B1769),"Attrition Necessary",0))</f>
        <v>0</v>
      </c>
      <c r="E1807" s="522">
        <f t="shared" si="848"/>
        <v>8970157.7130412031</v>
      </c>
      <c r="F1807" s="522">
        <f t="shared" ref="F1807:N1807" si="872">IF($B$1769&gt;$A1807,INDEX(calcY5Q2RevFlow,$A1807,calcTeamNum)*(IF($D1807="Attrition Necessary",1-calcQ2AttritionDifference,1)*(IF($D1797="New Revenue Adjustments",1+calcY5Q3RevenueAdjustment,1))),INDEX(dataY5Q3Rev,$A1807,)*(IF($D1807="Attrition Necessary",1-calcQ2AttritionDifference,1))*(IF($D1807="New Revenue Adjustments",1+calcY5Q3RevenueAdjustment,1)))</f>
        <v>8970157.7130412031</v>
      </c>
      <c r="G1807" s="522">
        <f t="shared" si="872"/>
        <v>8970157.7130412031</v>
      </c>
      <c r="H1807" s="522">
        <f t="shared" si="872"/>
        <v>8970157.7130412031</v>
      </c>
      <c r="I1807" s="522">
        <f t="shared" si="872"/>
        <v>8970157.7130412031</v>
      </c>
      <c r="J1807" s="522">
        <f t="shared" si="872"/>
        <v>8970157.7130412031</v>
      </c>
      <c r="K1807" s="522">
        <f t="shared" si="872"/>
        <v>8970157.7130412031</v>
      </c>
      <c r="L1807" s="522">
        <f t="shared" si="872"/>
        <v>8970157.7130412031</v>
      </c>
      <c r="M1807" s="522">
        <f t="shared" si="872"/>
        <v>8970157.7130412031</v>
      </c>
      <c r="N1807" s="522">
        <f t="shared" si="872"/>
        <v>8970157.7130412031</v>
      </c>
      <c r="O1807" s="410" t="s">
        <v>2860</v>
      </c>
    </row>
    <row r="1808" spans="1:15" s="217" customFormat="1">
      <c r="A1808" s="217">
        <v>25</v>
      </c>
      <c r="B1808" s="10" t="s">
        <v>2408</v>
      </c>
      <c r="C1808" s="11" t="s">
        <v>899</v>
      </c>
      <c r="D1808" s="217">
        <f>IF(A1808=B1769,"New Revenue Adjustments",IF(AND(C1808=D1769,A1808&lt;B1769),"Attrition Necessary",0))</f>
        <v>0</v>
      </c>
      <c r="E1808" s="522">
        <f t="shared" si="848"/>
        <v>3471451.0349469464</v>
      </c>
      <c r="F1808" s="522">
        <f t="shared" ref="F1808:N1808" si="873">IF($B$1769&gt;$A1808,INDEX(calcY5Q2RevFlow,$A1808,calcTeamNum)*(IF($D1808="Attrition Necessary",1-calcQ2AttritionDifference,1)*(IF($D1798="New Revenue Adjustments",1+calcY5Q3RevenueAdjustment,1))),INDEX(dataY5Q3Rev,$A1808,)*(IF($D1808="Attrition Necessary",1-calcQ2AttritionDifference,1))*(IF($D1808="New Revenue Adjustments",1+calcY5Q3RevenueAdjustment,1)))</f>
        <v>3471451.0349469464</v>
      </c>
      <c r="G1808" s="522">
        <f t="shared" si="873"/>
        <v>3471451.0349469464</v>
      </c>
      <c r="H1808" s="522">
        <f t="shared" si="873"/>
        <v>3471451.0349469464</v>
      </c>
      <c r="I1808" s="522">
        <f t="shared" si="873"/>
        <v>3471451.0349469464</v>
      </c>
      <c r="J1808" s="522">
        <f t="shared" si="873"/>
        <v>3471451.0349469464</v>
      </c>
      <c r="K1808" s="522">
        <f t="shared" si="873"/>
        <v>3471451.0349469464</v>
      </c>
      <c r="L1808" s="522">
        <f t="shared" si="873"/>
        <v>3471451.0349469464</v>
      </c>
      <c r="M1808" s="522">
        <f t="shared" si="873"/>
        <v>3471451.0349469464</v>
      </c>
      <c r="N1808" s="522">
        <f t="shared" si="873"/>
        <v>3471451.0349469464</v>
      </c>
      <c r="O1808" s="410" t="s">
        <v>2861</v>
      </c>
    </row>
    <row r="1809" spans="1:17" s="217" customFormat="1">
      <c r="A1809" s="217">
        <v>26</v>
      </c>
      <c r="B1809" s="10" t="s">
        <v>2408</v>
      </c>
      <c r="C1809" s="11" t="s">
        <v>900</v>
      </c>
      <c r="D1809" s="217">
        <f>IF(A1809=B1769,"New Revenue Adjustments",IF(AND(C1809=D1769,A1809&lt;B1769),"Attrition Necessary",0))</f>
        <v>0</v>
      </c>
      <c r="E1809" s="522">
        <f t="shared" si="848"/>
        <v>4242884.5982684894</v>
      </c>
      <c r="F1809" s="522">
        <f t="shared" ref="F1809:N1809" si="874">IF($B$1769&gt;$A1809,INDEX(calcY5Q2RevFlow,$A1809,calcTeamNum)*(IF($D1809="Attrition Necessary",1-calcQ2AttritionDifference,1)*(IF($D1799="New Revenue Adjustments",1+calcY5Q3RevenueAdjustment,1))),INDEX(dataY5Q3Rev,$A1809,)*(IF($D1809="Attrition Necessary",1-calcQ2AttritionDifference,1))*(IF($D1809="New Revenue Adjustments",1+calcY5Q3RevenueAdjustment,1)))</f>
        <v>4242884.5982684894</v>
      </c>
      <c r="G1809" s="522">
        <f t="shared" si="874"/>
        <v>4242884.5982684894</v>
      </c>
      <c r="H1809" s="522">
        <f t="shared" si="874"/>
        <v>4242884.5982684894</v>
      </c>
      <c r="I1809" s="522">
        <f t="shared" si="874"/>
        <v>4242884.5982684894</v>
      </c>
      <c r="J1809" s="522">
        <f t="shared" si="874"/>
        <v>4242884.5982684894</v>
      </c>
      <c r="K1809" s="522">
        <f t="shared" si="874"/>
        <v>4242884.5982684894</v>
      </c>
      <c r="L1809" s="522">
        <f t="shared" si="874"/>
        <v>4242884.5982684894</v>
      </c>
      <c r="M1809" s="522">
        <f t="shared" si="874"/>
        <v>4242884.5982684894</v>
      </c>
      <c r="N1809" s="522">
        <f t="shared" si="874"/>
        <v>4242884.5982684894</v>
      </c>
      <c r="O1809" s="410" t="s">
        <v>2862</v>
      </c>
    </row>
    <row r="1810" spans="1:17" s="217" customFormat="1">
      <c r="A1810" s="217">
        <v>27</v>
      </c>
      <c r="B1810" s="10" t="s">
        <v>2408</v>
      </c>
      <c r="C1810" s="11" t="s">
        <v>901</v>
      </c>
      <c r="D1810" s="217" t="str">
        <f>IF(A1810=B1769,"New Revenue Adjustments",IF(AND(C1810=D1769,A1810&lt;B1769),"Attrition Necessary",0))</f>
        <v>Attrition Necessary</v>
      </c>
      <c r="E1810" s="522">
        <f t="shared" si="848"/>
        <v>6557185.2882331219</v>
      </c>
      <c r="F1810" s="522">
        <f t="shared" ref="F1810:N1810" si="875">IF($B$1769&gt;$A1810,INDEX(calcY5Q2RevFlow,$A1810,calcTeamNum)*(IF($D1810="Attrition Necessary",1-calcQ2AttritionDifference,1)*(IF($D1800="New Revenue Adjustments",1+calcY5Q3RevenueAdjustment,1))),INDEX(dataY5Q3Rev,$A1810,)*(IF($D1810="Attrition Necessary",1-calcQ2AttritionDifference,1))*(IF($D1810="New Revenue Adjustments",1+calcY5Q3RevenueAdjustment,1)))</f>
        <v>6557185.2882331219</v>
      </c>
      <c r="G1810" s="522">
        <f t="shared" si="875"/>
        <v>6557185.2882331219</v>
      </c>
      <c r="H1810" s="522">
        <f t="shared" si="875"/>
        <v>6557185.2882331219</v>
      </c>
      <c r="I1810" s="522">
        <f t="shared" si="875"/>
        <v>6557185.2882331219</v>
      </c>
      <c r="J1810" s="522">
        <f t="shared" si="875"/>
        <v>6557185.2882331219</v>
      </c>
      <c r="K1810" s="522">
        <f t="shared" si="875"/>
        <v>6557185.2882331219</v>
      </c>
      <c r="L1810" s="522">
        <f t="shared" si="875"/>
        <v>6557185.2882331219</v>
      </c>
      <c r="M1810" s="522">
        <f t="shared" si="875"/>
        <v>6557185.2882331219</v>
      </c>
      <c r="N1810" s="522">
        <f t="shared" si="875"/>
        <v>6557185.2882331219</v>
      </c>
      <c r="O1810" s="410" t="s">
        <v>2863</v>
      </c>
    </row>
    <row r="1811" spans="1:17" s="217" customFormat="1">
      <c r="A1811" s="217">
        <v>28</v>
      </c>
      <c r="B1811" s="10" t="s">
        <v>2408</v>
      </c>
      <c r="C1811" s="11" t="s">
        <v>902</v>
      </c>
      <c r="D1811" s="217">
        <f>IF(A1811=B1769,"New Revenue Adjustments",IF(AND(C1811=D1769,A1811&lt;B1769),"Attrition Necessary",0))</f>
        <v>0</v>
      </c>
      <c r="E1811" s="522">
        <f t="shared" si="848"/>
        <v>9623209.635416666</v>
      </c>
      <c r="F1811" s="522">
        <f t="shared" ref="F1811:N1811" si="876">IF($B$1769&gt;$A1811,INDEX(calcY5Q2RevFlow,$A1811,calcTeamNum)*(IF($D1811="Attrition Necessary",1-calcQ2AttritionDifference,1)*(IF($D1801="New Revenue Adjustments",1+calcY5Q3RevenueAdjustment,1))),INDEX(dataY5Q3Rev,$A1811,)*(IF($D1811="Attrition Necessary",1-calcQ2AttritionDifference,1))*(IF($D1811="New Revenue Adjustments",1+calcY5Q3RevenueAdjustment,1)))</f>
        <v>9623209.635416666</v>
      </c>
      <c r="G1811" s="522">
        <f t="shared" si="876"/>
        <v>9623209.635416666</v>
      </c>
      <c r="H1811" s="522">
        <f t="shared" si="876"/>
        <v>9623209.635416666</v>
      </c>
      <c r="I1811" s="522">
        <f t="shared" si="876"/>
        <v>9623209.635416666</v>
      </c>
      <c r="J1811" s="522">
        <f t="shared" si="876"/>
        <v>9623209.635416666</v>
      </c>
      <c r="K1811" s="522">
        <f t="shared" si="876"/>
        <v>9623209.635416666</v>
      </c>
      <c r="L1811" s="522">
        <f t="shared" si="876"/>
        <v>9623209.635416666</v>
      </c>
      <c r="M1811" s="522">
        <f t="shared" si="876"/>
        <v>9623209.635416666</v>
      </c>
      <c r="N1811" s="522">
        <f t="shared" si="876"/>
        <v>9623209.635416666</v>
      </c>
      <c r="O1811" s="410" t="s">
        <v>2864</v>
      </c>
    </row>
    <row r="1812" spans="1:17" s="217" customFormat="1">
      <c r="A1812" s="217">
        <v>29</v>
      </c>
      <c r="B1812" s="10" t="s">
        <v>2413</v>
      </c>
      <c r="C1812" s="11" t="s">
        <v>899</v>
      </c>
      <c r="D1812" s="217">
        <f>IF(A1812=B1769,"New Revenue Adjustments",IF(AND(C1812=D1769,A1812&lt;B1769),"Attrition Necessary",0))</f>
        <v>0</v>
      </c>
      <c r="E1812" s="522">
        <f t="shared" si="848"/>
        <v>3637573.2421875005</v>
      </c>
      <c r="F1812" s="522">
        <f t="shared" ref="F1812:N1812" si="877">IF($B$1769&gt;$A1812,INDEX(calcY5Q2RevFlow,$A1812,calcTeamNum)*(IF($D1812="Attrition Necessary",1-calcQ2AttritionDifference,1)*(IF($D1802="New Revenue Adjustments",1+calcY5Q3RevenueAdjustment,1))),INDEX(dataY5Q3Rev,$A1812,)*(IF($D1812="Attrition Necessary",1-calcQ2AttritionDifference,1))*(IF($D1812="New Revenue Adjustments",1+calcY5Q3RevenueAdjustment,1)))</f>
        <v>3637573.2421875005</v>
      </c>
      <c r="G1812" s="522">
        <f t="shared" si="877"/>
        <v>3637573.2421875005</v>
      </c>
      <c r="H1812" s="522">
        <f t="shared" si="877"/>
        <v>3637573.2421875005</v>
      </c>
      <c r="I1812" s="522">
        <f t="shared" si="877"/>
        <v>3637573.2421875005</v>
      </c>
      <c r="J1812" s="522">
        <f t="shared" si="877"/>
        <v>3637573.2421875005</v>
      </c>
      <c r="K1812" s="522">
        <f t="shared" si="877"/>
        <v>3637573.2421875005</v>
      </c>
      <c r="L1812" s="522">
        <f t="shared" si="877"/>
        <v>3637573.2421875005</v>
      </c>
      <c r="M1812" s="522">
        <f t="shared" si="877"/>
        <v>3637573.2421875005</v>
      </c>
      <c r="N1812" s="522">
        <f t="shared" si="877"/>
        <v>3637573.2421875005</v>
      </c>
      <c r="O1812" s="410" t="s">
        <v>2865</v>
      </c>
    </row>
    <row r="1813" spans="1:17" s="217" customFormat="1">
      <c r="A1813" s="217">
        <v>30</v>
      </c>
      <c r="B1813" s="10" t="s">
        <v>2413</v>
      </c>
      <c r="C1813" s="11" t="s">
        <v>900</v>
      </c>
      <c r="D1813" s="217">
        <f>IF(A1813=B1769,"New Revenue Adjustments",IF(AND(C1813=D1769,A1813&lt;B1769),"Attrition Necessary",0))</f>
        <v>0</v>
      </c>
      <c r="E1813" s="522">
        <f t="shared" si="848"/>
        <v>4445922.8515625</v>
      </c>
      <c r="F1813" s="522">
        <f t="shared" ref="F1813:N1813" si="878">IF($B$1769&gt;$A1813,INDEX(calcY5Q2RevFlow,$A1813,calcTeamNum)*(IF($D1813="Attrition Necessary",1-calcQ2AttritionDifference,1)*(IF($D1803="New Revenue Adjustments",1+calcY5Q3RevenueAdjustment,1))),INDEX(dataY5Q3Rev,$A1813,)*(IF($D1813="Attrition Necessary",1-calcQ2AttritionDifference,1))*(IF($D1813="New Revenue Adjustments",1+calcY5Q3RevenueAdjustment,1)))</f>
        <v>4445922.8515625</v>
      </c>
      <c r="G1813" s="522">
        <f t="shared" si="878"/>
        <v>4445922.8515625</v>
      </c>
      <c r="H1813" s="522">
        <f t="shared" si="878"/>
        <v>4445922.8515625</v>
      </c>
      <c r="I1813" s="522">
        <f t="shared" si="878"/>
        <v>4445922.8515625</v>
      </c>
      <c r="J1813" s="522">
        <f t="shared" si="878"/>
        <v>4445922.8515625</v>
      </c>
      <c r="K1813" s="522">
        <f t="shared" si="878"/>
        <v>4445922.8515625</v>
      </c>
      <c r="L1813" s="522">
        <f t="shared" si="878"/>
        <v>4445922.8515625</v>
      </c>
      <c r="M1813" s="522">
        <f t="shared" si="878"/>
        <v>4445922.8515625</v>
      </c>
      <c r="N1813" s="522">
        <f t="shared" si="878"/>
        <v>4445922.8515625</v>
      </c>
      <c r="O1813" s="410" t="s">
        <v>2866</v>
      </c>
    </row>
    <row r="1814" spans="1:17" s="217" customFormat="1">
      <c r="A1814" s="217">
        <v>31</v>
      </c>
      <c r="B1814" s="10" t="s">
        <v>2413</v>
      </c>
      <c r="C1814" s="11" t="s">
        <v>901</v>
      </c>
      <c r="D1814" s="217" t="str">
        <f>IF(A1814=B1769,"New Revenue Adjustments",IF(AND(C1814=D1769,A1814&lt;B1769),"Attrition Necessary",0))</f>
        <v>New Revenue Adjustments</v>
      </c>
      <c r="E1814" s="522">
        <f t="shared" si="848"/>
        <v>6870971.6796875019</v>
      </c>
      <c r="F1814" s="522">
        <f t="shared" ref="F1814:N1814" si="879">IF($B$1769&gt;$A1814,INDEX(calcY5Q2RevFlow,$A1814,calcTeamNum)*(IF($D1814="Attrition Necessary",1-calcQ2AttritionDifference,1)*(IF($D1804="New Revenue Adjustments",1+calcY5Q3RevenueAdjustment,1))),INDEX(dataY5Q3Rev,$A1814,)*(IF($D1814="Attrition Necessary",1-calcQ2AttritionDifference,1))*(IF($D1814="New Revenue Adjustments",1+calcY5Q3RevenueAdjustment,1)))</f>
        <v>6870971.6796875019</v>
      </c>
      <c r="G1814" s="522">
        <f t="shared" si="879"/>
        <v>6870971.6796875019</v>
      </c>
      <c r="H1814" s="522">
        <f t="shared" si="879"/>
        <v>6870971.6796875019</v>
      </c>
      <c r="I1814" s="522">
        <f t="shared" si="879"/>
        <v>6870971.6796875019</v>
      </c>
      <c r="J1814" s="522">
        <f t="shared" si="879"/>
        <v>6870971.6796875019</v>
      </c>
      <c r="K1814" s="522">
        <f t="shared" si="879"/>
        <v>6870971.6796875019</v>
      </c>
      <c r="L1814" s="522">
        <f t="shared" si="879"/>
        <v>6870971.6796875019</v>
      </c>
      <c r="M1814" s="522">
        <f t="shared" si="879"/>
        <v>6870971.6796875019</v>
      </c>
      <c r="N1814" s="522">
        <f t="shared" si="879"/>
        <v>6870971.6796875019</v>
      </c>
      <c r="O1814" s="410" t="s">
        <v>2867</v>
      </c>
    </row>
    <row r="1815" spans="1:17" s="217" customFormat="1">
      <c r="A1815" s="217">
        <v>32</v>
      </c>
      <c r="B1815" s="10" t="s">
        <v>2413</v>
      </c>
      <c r="C1815" s="11" t="s">
        <v>902</v>
      </c>
      <c r="D1815" s="217">
        <f>IF(A1815=B1769,"New Revenue Adjustments",IF(AND(C1815=D1769,A1815&lt;B1769),"Attrition Necessary",0))</f>
        <v>0</v>
      </c>
      <c r="E1815" s="522">
        <f t="shared" si="848"/>
        <v>0</v>
      </c>
      <c r="F1815" s="522">
        <f t="shared" ref="F1815:N1815" si="880">IF($B$1769&gt;$A1815,INDEX(calcY5Q2RevFlow,$A1815,calcTeamNum)*(IF($D1815="Attrition Necessary",1-calcQ2AttritionDifference,1)*(IF($D1805="New Revenue Adjustments",1+calcY5Q3RevenueAdjustment,1))),INDEX(dataY5Q3Rev,$A1815,)*(IF($D1815="Attrition Necessary",1-calcQ2AttritionDifference,1))*(IF($D1815="New Revenue Adjustments",1+calcY5Q3RevenueAdjustment,1)))</f>
        <v>0</v>
      </c>
      <c r="G1815" s="522">
        <f t="shared" si="880"/>
        <v>0</v>
      </c>
      <c r="H1815" s="522">
        <f t="shared" si="880"/>
        <v>0</v>
      </c>
      <c r="I1815" s="522">
        <f t="shared" si="880"/>
        <v>0</v>
      </c>
      <c r="J1815" s="522">
        <f t="shared" si="880"/>
        <v>0</v>
      </c>
      <c r="K1815" s="522">
        <f t="shared" si="880"/>
        <v>0</v>
      </c>
      <c r="L1815" s="522">
        <f t="shared" si="880"/>
        <v>0</v>
      </c>
      <c r="M1815" s="522">
        <f t="shared" si="880"/>
        <v>0</v>
      </c>
      <c r="N1815" s="522">
        <f t="shared" si="880"/>
        <v>0</v>
      </c>
      <c r="O1815" s="410" t="s">
        <v>2868</v>
      </c>
    </row>
    <row r="1816" spans="1:17" s="217" customFormat="1">
      <c r="D1816" s="217" t="s">
        <v>908</v>
      </c>
      <c r="E1816" s="427">
        <f>SUM(E1784:E1815)</f>
        <v>126552551.81532486</v>
      </c>
      <c r="F1816" s="427">
        <f t="shared" ref="F1816:I1816" si="881">SUM(F1784:F1815)</f>
        <v>126552551.81532486</v>
      </c>
      <c r="G1816" s="427">
        <f t="shared" si="881"/>
        <v>126552551.81532486</v>
      </c>
      <c r="H1816" s="427">
        <f t="shared" si="881"/>
        <v>126552551.81532486</v>
      </c>
      <c r="I1816" s="427">
        <f t="shared" si="881"/>
        <v>126552551.81532486</v>
      </c>
      <c r="J1816" s="427">
        <f t="shared" ref="J1816:N1816" si="882">SUM(J1784:J1815)</f>
        <v>126552551.81532486</v>
      </c>
      <c r="K1816" s="427">
        <f t="shared" si="882"/>
        <v>126552551.81532486</v>
      </c>
      <c r="L1816" s="427">
        <f t="shared" si="882"/>
        <v>126552551.81532486</v>
      </c>
      <c r="M1816" s="427">
        <f t="shared" si="882"/>
        <v>126552551.81532486</v>
      </c>
      <c r="N1816" s="427">
        <f t="shared" si="882"/>
        <v>126552551.81532486</v>
      </c>
      <c r="O1816" s="217" t="s">
        <v>2869</v>
      </c>
    </row>
    <row r="1817" spans="1:17" s="217" customFormat="1">
      <c r="E1817" s="409"/>
      <c r="F1817" s="409"/>
      <c r="G1817" s="409"/>
      <c r="H1817" s="409"/>
      <c r="I1817" s="409"/>
      <c r="J1817" s="409"/>
      <c r="K1817" s="409"/>
      <c r="L1817" s="409"/>
      <c r="M1817" s="409"/>
      <c r="N1817" s="409"/>
    </row>
    <row r="1818" spans="1:17">
      <c r="A1818" s="217"/>
      <c r="B1818" s="69">
        <v>32</v>
      </c>
      <c r="C1818" s="217" t="s">
        <v>2413</v>
      </c>
      <c r="D1818" s="217" t="s">
        <v>902</v>
      </c>
    </row>
    <row r="1819" spans="1:17" s="217" customFormat="1">
      <c r="C1819" s="217" t="s">
        <v>1736</v>
      </c>
      <c r="E1819" s="409"/>
      <c r="F1819" s="409"/>
      <c r="G1819" s="409"/>
      <c r="H1819" s="409"/>
      <c r="I1819" s="409"/>
      <c r="J1819" s="409"/>
      <c r="K1819" s="409"/>
      <c r="L1819" s="409"/>
      <c r="M1819" s="409"/>
      <c r="N1819" s="409"/>
    </row>
    <row r="1820" spans="1:17" s="410" customFormat="1">
      <c r="D1820" s="410" t="s">
        <v>1754</v>
      </c>
      <c r="E1820" s="547">
        <f t="shared" ref="E1820:N1820" si="883">FORECAST(calcNPS,datatblNPSAttrition,datatblNPSScore)</f>
        <v>0.14946428571428572</v>
      </c>
      <c r="F1820" s="547">
        <f t="shared" si="883"/>
        <v>0.14946428571428572</v>
      </c>
      <c r="G1820" s="547">
        <f t="shared" si="883"/>
        <v>0.14946428571428572</v>
      </c>
      <c r="H1820" s="547">
        <f t="shared" si="883"/>
        <v>0.14946428571428572</v>
      </c>
      <c r="I1820" s="547">
        <f t="shared" si="883"/>
        <v>0.14946428571428572</v>
      </c>
      <c r="J1820" s="547">
        <f t="shared" si="883"/>
        <v>0.14946428571428572</v>
      </c>
      <c r="K1820" s="547">
        <f t="shared" si="883"/>
        <v>0.14946428571428572</v>
      </c>
      <c r="L1820" s="547">
        <f t="shared" si="883"/>
        <v>0.14946428571428572</v>
      </c>
      <c r="M1820" s="547">
        <f t="shared" si="883"/>
        <v>0.14946428571428572</v>
      </c>
      <c r="N1820" s="547">
        <f t="shared" si="883"/>
        <v>0.14946428571428572</v>
      </c>
    </row>
    <row r="1821" spans="1:17" s="410" customFormat="1">
      <c r="D1821" s="410" t="s">
        <v>1753</v>
      </c>
      <c r="E1821" s="547">
        <f>Data!$D$277</f>
        <v>0.1515124491492886</v>
      </c>
      <c r="F1821" s="547">
        <f>Data!$D$277</f>
        <v>0.1515124491492886</v>
      </c>
      <c r="G1821" s="547">
        <f>Data!$D$277</f>
        <v>0.1515124491492886</v>
      </c>
      <c r="H1821" s="547">
        <f>Data!$D$277</f>
        <v>0.1515124491492886</v>
      </c>
      <c r="I1821" s="547">
        <f>Data!$D$277</f>
        <v>0.1515124491492886</v>
      </c>
      <c r="J1821" s="547">
        <f>Data!$D$277</f>
        <v>0.1515124491492886</v>
      </c>
      <c r="K1821" s="547">
        <f>Data!$D$277</f>
        <v>0.1515124491492886</v>
      </c>
      <c r="L1821" s="547">
        <f>Data!$D$277</f>
        <v>0.1515124491492886</v>
      </c>
      <c r="M1821" s="547">
        <f>Data!$D$277</f>
        <v>0.1515124491492886</v>
      </c>
      <c r="N1821" s="547">
        <f>Data!$D$277</f>
        <v>0.1515124491492886</v>
      </c>
    </row>
    <row r="1822" spans="1:17" s="217" customFormat="1">
      <c r="D1822" s="217" t="s">
        <v>1755</v>
      </c>
      <c r="E1822" s="411">
        <f>E1820/E1821-1</f>
        <v>-1.351811977499473E-2</v>
      </c>
      <c r="F1822" s="411">
        <f t="shared" ref="F1822:I1822" si="884">F1820/F1821-1</f>
        <v>-1.351811977499473E-2</v>
      </c>
      <c r="G1822" s="411">
        <f t="shared" si="884"/>
        <v>-1.351811977499473E-2</v>
      </c>
      <c r="H1822" s="411">
        <f t="shared" si="884"/>
        <v>-1.351811977499473E-2</v>
      </c>
      <c r="I1822" s="411">
        <f t="shared" si="884"/>
        <v>-1.351811977499473E-2</v>
      </c>
      <c r="J1822" s="411">
        <f t="shared" ref="J1822:N1822" si="885">J1820/J1821-1</f>
        <v>-1.351811977499473E-2</v>
      </c>
      <c r="K1822" s="411">
        <f t="shared" si="885"/>
        <v>-1.351811977499473E-2</v>
      </c>
      <c r="L1822" s="411">
        <f t="shared" si="885"/>
        <v>-1.351811977499473E-2</v>
      </c>
      <c r="M1822" s="411">
        <f t="shared" si="885"/>
        <v>-1.351811977499473E-2</v>
      </c>
      <c r="N1822" s="411">
        <f t="shared" si="885"/>
        <v>-1.351811977499473E-2</v>
      </c>
      <c r="O1822" s="217" t="s">
        <v>2800</v>
      </c>
    </row>
    <row r="1823" spans="1:17" s="217" customFormat="1">
      <c r="C1823" s="217" t="s">
        <v>1757</v>
      </c>
      <c r="E1823" s="411"/>
      <c r="F1823" s="411"/>
      <c r="G1823" s="411"/>
      <c r="H1823" s="411"/>
      <c r="I1823" s="411"/>
      <c r="J1823" s="411"/>
      <c r="K1823" s="411"/>
      <c r="L1823" s="411"/>
      <c r="M1823" s="411"/>
      <c r="N1823" s="411"/>
    </row>
    <row r="1824" spans="1:17">
      <c r="D1824" s="69" t="s">
        <v>1151</v>
      </c>
      <c r="E1824" s="425">
        <f>IF(calcOrg62Timeline&lt;=$Q1824,INDEX(datatblOrg62Timeline,MATCH(decGTMOrg62Timeline,Data!$C$106:$C$111,0),2),0)</f>
        <v>0</v>
      </c>
      <c r="F1824" s="425">
        <f>IF(calcOrg62Timeline&lt;=$Q1824,INDEX(datatblOrg62Timeline,MATCH(decGTMOrg62Timeline,Data!$C$106:$C$111,0),2),0)</f>
        <v>0</v>
      </c>
      <c r="G1824" s="425">
        <f>IF(calcOrg62Timeline&lt;=$Q1824,INDEX(datatblOrg62Timeline,MATCH(decGTMOrg62Timeline,Data!$C$106:$C$111,0),2),0)</f>
        <v>0</v>
      </c>
      <c r="H1824" s="425">
        <f>IF(calcOrg62Timeline&lt;=$Q1824,INDEX(datatblOrg62Timeline,MATCH(decGTMOrg62Timeline,Data!$C$106:$C$111,0),2),0)</f>
        <v>0</v>
      </c>
      <c r="I1824" s="425">
        <f>IF(calcOrg62Timeline&lt;=$Q1824,INDEX(datatblOrg62Timeline,MATCH(decGTMOrg62Timeline,Data!$C$106:$C$111,0),2),0)</f>
        <v>0</v>
      </c>
      <c r="J1824" s="425">
        <f>IF(calcOrg62Timeline&lt;=$Q1824,INDEX(datatblOrg62Timeline,MATCH(decGTMOrg62Timeline,Data!$C$106:$C$111,0),2),0)</f>
        <v>0</v>
      </c>
      <c r="K1824" s="425">
        <f>IF(calcOrg62Timeline&lt;=$Q1824,INDEX(datatblOrg62Timeline,MATCH(decGTMOrg62Timeline,Data!$C$106:$C$111,0),2),0)</f>
        <v>0</v>
      </c>
      <c r="L1824" s="425">
        <f>IF(calcOrg62Timeline&lt;=$Q1824,INDEX(datatblOrg62Timeline,MATCH(decGTMOrg62Timeline,Data!$C$106:$C$111,0),2),0)</f>
        <v>0</v>
      </c>
      <c r="M1824" s="425">
        <f>IF(calcOrg62Timeline&lt;=$Q1824,INDEX(datatblOrg62Timeline,MATCH(decGTMOrg62Timeline,Data!$C$106:$C$111,0),2),0)</f>
        <v>0</v>
      </c>
      <c r="N1824" s="425">
        <f>IF(calcOrg62Timeline&lt;=$Q1824,INDEX(datatblOrg62Timeline,MATCH(decGTMOrg62Timeline,Data!$C$106:$C$111,0),2),0)</f>
        <v>0</v>
      </c>
      <c r="Q1824" s="69">
        <v>24</v>
      </c>
    </row>
    <row r="1825" spans="1:18">
      <c r="D1825" s="69" t="s">
        <v>507</v>
      </c>
      <c r="E1825" s="425">
        <f>IF(calcProductTimeline&lt;=$Q1825,INDEX(datatblStackFocusImpact,MATCH(decProductStackFocus,Data!$C$96:$C$101,0),2),0)+paramACVGrowthStack</f>
        <v>0</v>
      </c>
      <c r="F1825" s="425">
        <f>IF(calcProductTimeline&lt;=$Q1825,INDEX(datatblStackFocusImpact,MATCH(decProductStackFocus,Data!$C$96:$C$101,0),2),0)+paramACVGrowthStack</f>
        <v>0</v>
      </c>
      <c r="G1825" s="425">
        <f>IF(calcProductTimeline&lt;=$Q1825,INDEX(datatblStackFocusImpact,MATCH(decProductStackFocus,Data!$C$96:$C$101,0),2),0)+paramACVGrowthStack</f>
        <v>0</v>
      </c>
      <c r="H1825" s="425">
        <f>IF(calcProductTimeline&lt;=$Q1825,INDEX(datatblStackFocusImpact,MATCH(decProductStackFocus,Data!$C$96:$C$101,0),2),0)+paramACVGrowthStack</f>
        <v>0</v>
      </c>
      <c r="I1825" s="425">
        <f>IF(calcProductTimeline&lt;=$Q1825,INDEX(datatblStackFocusImpact,MATCH(decProductStackFocus,Data!$C$96:$C$101,0),2),0)+paramACVGrowthStack</f>
        <v>0</v>
      </c>
      <c r="J1825" s="425">
        <f>IF(calcProductTimeline&lt;=$Q1825,INDEX(datatblStackFocusImpact,MATCH(decProductStackFocus,Data!$C$96:$C$101,0),2),0)+paramACVGrowthStack</f>
        <v>0</v>
      </c>
      <c r="K1825" s="425">
        <f>IF(calcProductTimeline&lt;=$Q1825,INDEX(datatblStackFocusImpact,MATCH(decProductStackFocus,Data!$C$96:$C$101,0),2),0)+paramACVGrowthStack</f>
        <v>0</v>
      </c>
      <c r="L1825" s="425">
        <f>IF(calcProductTimeline&lt;=$Q1825,INDEX(datatblStackFocusImpact,MATCH(decProductStackFocus,Data!$C$96:$C$101,0),2),0)+paramACVGrowthStack</f>
        <v>0</v>
      </c>
      <c r="M1825" s="425">
        <f>IF(calcProductTimeline&lt;=$Q1825,INDEX(datatblStackFocusImpact,MATCH(decProductStackFocus,Data!$C$96:$C$101,0),2),0)+paramACVGrowthStack</f>
        <v>0</v>
      </c>
      <c r="N1825" s="425">
        <f>IF(calcProductTimeline&lt;=$Q1825,INDEX(datatblStackFocusImpact,MATCH(decProductStackFocus,Data!$C$96:$C$101,0),2),0)+paramACVGrowthStack</f>
        <v>0</v>
      </c>
      <c r="Q1825" s="69">
        <f>Q1824</f>
        <v>24</v>
      </c>
    </row>
    <row r="1826" spans="1:18">
      <c r="D1826" s="69" t="s">
        <v>2237</v>
      </c>
      <c r="E1826" s="425">
        <f>IF(calcExternalSalesTimeline&lt;=$Q1826,INDEX(datatblExternalSalesImpact,MATCH(decGTMExternalSales,Data!$C$85:$C$90,0),2),0)</f>
        <v>0</v>
      </c>
      <c r="F1826" s="425">
        <f>IF(calcExternalSalesTimeline&lt;=$Q1826,INDEX(datatblExternalSalesImpact,MATCH(decGTMExternalSales,Data!$C$85:$C$90,0),2),0)</f>
        <v>0</v>
      </c>
      <c r="G1826" s="425">
        <f>IF(calcExternalSalesTimeline&lt;=$Q1826,INDEX(datatblExternalSalesImpact,MATCH(decGTMExternalSales,Data!$C$85:$C$90,0),2),0)</f>
        <v>0</v>
      </c>
      <c r="H1826" s="425">
        <f>IF(calcExternalSalesTimeline&lt;=$Q1826,INDEX(datatblExternalSalesImpact,MATCH(decGTMExternalSales,Data!$C$85:$C$90,0),2),0)</f>
        <v>0</v>
      </c>
      <c r="I1826" s="425">
        <f>IF(calcExternalSalesTimeline&lt;=$Q1826,INDEX(datatblExternalSalesImpact,MATCH(decGTMExternalSales,Data!$C$85:$C$90,0),2),0)</f>
        <v>0</v>
      </c>
      <c r="J1826" s="425">
        <f>IF(calcExternalSalesTimeline&lt;=$Q1826,INDEX(datatblExternalSalesImpact,MATCH(decGTMExternalSales,Data!$C$85:$C$90,0),2),0)</f>
        <v>0</v>
      </c>
      <c r="K1826" s="425">
        <f>IF(calcExternalSalesTimeline&lt;=$Q1826,INDEX(datatblExternalSalesImpact,MATCH(decGTMExternalSales,Data!$C$85:$C$90,0),2),0)</f>
        <v>0</v>
      </c>
      <c r="L1826" s="425">
        <f>IF(calcExternalSalesTimeline&lt;=$Q1826,INDEX(datatblExternalSalesImpact,MATCH(decGTMExternalSales,Data!$C$85:$C$90,0),2),0)</f>
        <v>0</v>
      </c>
      <c r="M1826" s="425">
        <f>IF(calcExternalSalesTimeline&lt;=$Q1826,INDEX(datatblExternalSalesImpact,MATCH(decGTMExternalSales,Data!$C$85:$C$90,0),2),0)</f>
        <v>0</v>
      </c>
      <c r="N1826" s="425">
        <f>IF(calcExternalSalesTimeline&lt;=$Q1826,INDEX(datatblExternalSalesImpact,MATCH(decGTMExternalSales,Data!$C$85:$C$90,0),2),0)</f>
        <v>0</v>
      </c>
      <c r="O1826" s="482"/>
      <c r="P1826" s="482"/>
      <c r="Q1826" s="69">
        <f>Q1825</f>
        <v>24</v>
      </c>
    </row>
    <row r="1827" spans="1:18">
      <c r="D1827" s="69" t="s">
        <v>2284</v>
      </c>
      <c r="E1827" s="425">
        <f>IF(calcCSGTimeline&lt;=$Q1827,INDEX(datatblCSGPostSales,MATCH(decGTMCSGPostSales,Data!$C$204:$C$209,0),3),0)</f>
        <v>0</v>
      </c>
      <c r="F1827" s="425">
        <f>IF(calcCSGTimeline&lt;=$Q1827,INDEX(datatblCSGPostSales,MATCH(decGTMCSGPostSales,Data!$C$204:$C$209,0),3),0)</f>
        <v>0</v>
      </c>
      <c r="G1827" s="425">
        <f>IF(calcCSGTimeline&lt;=$Q1827,INDEX(datatblCSGPostSales,MATCH(decGTMCSGPostSales,Data!$C$204:$C$209,0),3),0)</f>
        <v>0</v>
      </c>
      <c r="H1827" s="425">
        <f>IF(calcCSGTimeline&lt;=$Q1827,INDEX(datatblCSGPostSales,MATCH(decGTMCSGPostSales,Data!$C$204:$C$209,0),3),0)</f>
        <v>0</v>
      </c>
      <c r="I1827" s="425">
        <f>IF(calcCSGTimeline&lt;=$Q1827,INDEX(datatblCSGPostSales,MATCH(decGTMCSGPostSales,Data!$C$204:$C$209,0),3),0)</f>
        <v>0</v>
      </c>
      <c r="J1827" s="425">
        <f>IF(calcCSGTimeline&lt;=$Q1827,INDEX(datatblCSGPostSales,MATCH(decGTMCSGPostSales,Data!$C$204:$C$209,0),3),0)</f>
        <v>0</v>
      </c>
      <c r="K1827" s="425">
        <f>IF(calcCSGTimeline&lt;=$Q1827,INDEX(datatblCSGPostSales,MATCH(decGTMCSGPostSales,Data!$C$204:$C$209,0),3),0)</f>
        <v>0</v>
      </c>
      <c r="L1827" s="425">
        <f>IF(calcCSGTimeline&lt;=$Q1827,INDEX(datatblCSGPostSales,MATCH(decGTMCSGPostSales,Data!$C$204:$C$209,0),3),0)</f>
        <v>0</v>
      </c>
      <c r="M1827" s="425">
        <f>IF(calcCSGTimeline&lt;=$Q1827,INDEX(datatblCSGPostSales,MATCH(decGTMCSGPostSales,Data!$C$204:$C$209,0),3),0)</f>
        <v>0</v>
      </c>
      <c r="N1827" s="425">
        <f>IF(calcCSGTimeline&lt;=$Q1827,INDEX(datatblCSGPostSales,MATCH(decGTMCSGPostSales,Data!$C$204:$C$209,0),3),0)</f>
        <v>0</v>
      </c>
      <c r="O1827" s="482"/>
      <c r="P1827" s="482"/>
      <c r="Q1827" s="69">
        <f>Q1826</f>
        <v>24</v>
      </c>
    </row>
    <row r="1828" spans="1:18">
      <c r="D1828" s="69" t="s">
        <v>3079</v>
      </c>
      <c r="E1828" s="425">
        <f>IF(calcBrandIntegrationTimeline&lt;=$Q1828,INDEX(datatblBrandIntegration,MATCH(decGTMBrandIntegration,Data!$C$220:$C$226,0),3),0)</f>
        <v>0</v>
      </c>
      <c r="F1828" s="425">
        <f>IF(calcBrandIntegrationTimeline&lt;=$Q1828,INDEX(datatblBrandIntegration,MATCH(decGTMBrandIntegration,Data!$C$220:$C$226,0),3),0)</f>
        <v>0</v>
      </c>
      <c r="G1828" s="425">
        <f>IF(calcBrandIntegrationTimeline&lt;=$Q1828,INDEX(datatblBrandIntegration,MATCH(decGTMBrandIntegration,Data!$C$220:$C$226,0),3),0)</f>
        <v>0</v>
      </c>
      <c r="H1828" s="425">
        <f>IF(calcBrandIntegrationTimeline&lt;=$Q1828,INDEX(datatblBrandIntegration,MATCH(decGTMBrandIntegration,Data!$C$220:$C$226,0),3),0)</f>
        <v>0</v>
      </c>
      <c r="I1828" s="425">
        <f>IF(calcBrandIntegrationTimeline&lt;=$Q1828,INDEX(datatblBrandIntegration,MATCH(decGTMBrandIntegration,Data!$C$220:$C$226,0),3),0)</f>
        <v>0</v>
      </c>
      <c r="J1828" s="425">
        <f>IF(calcBrandIntegrationTimeline&lt;=$Q1828,INDEX(datatblBrandIntegration,MATCH(decGTMBrandIntegration,Data!$C$220:$C$226,0),3),0)</f>
        <v>0</v>
      </c>
      <c r="K1828" s="425">
        <f>IF(calcBrandIntegrationTimeline&lt;=$Q1828,INDEX(datatblBrandIntegration,MATCH(decGTMBrandIntegration,Data!$C$220:$C$226,0),3),0)</f>
        <v>0</v>
      </c>
      <c r="L1828" s="425">
        <f>IF(calcBrandIntegrationTimeline&lt;=$Q1828,INDEX(datatblBrandIntegration,MATCH(decGTMBrandIntegration,Data!$C$220:$C$226,0),3),0)</f>
        <v>0</v>
      </c>
      <c r="M1828" s="425">
        <f>IF(calcBrandIntegrationTimeline&lt;=$Q1828,INDEX(datatblBrandIntegration,MATCH(decGTMBrandIntegration,Data!$C$220:$C$226,0),3),0)</f>
        <v>0</v>
      </c>
      <c r="N1828" s="425">
        <f>IF(calcBrandIntegrationTimeline&lt;=$Q1828,INDEX(datatblBrandIntegration,MATCH(decGTMBrandIntegration,Data!$C$220:$C$226,0),3),0)</f>
        <v>0</v>
      </c>
      <c r="O1828" s="482"/>
      <c r="P1828" s="482"/>
      <c r="Q1828" s="69">
        <f>Q1827</f>
        <v>24</v>
      </c>
    </row>
    <row r="1829" spans="1:18">
      <c r="D1829" s="69" t="s">
        <v>2277</v>
      </c>
      <c r="E1829" s="425">
        <f>IF(decGTMOrg62Timeline="choose",0,IF(E1824=0,INDEX(datatblLeadPass,MATCH(decGTMLeadPass,Data!$C$212:$C$217,0),3),0))</f>
        <v>0</v>
      </c>
      <c r="F1829" s="425">
        <f>IF(decGTMOrg62Timeline="choose",0,IF(F1824=0,INDEX(datatblLeadPass,MATCH(decGTMLeadPass,Data!$C$212:$C$217,0),3),0))</f>
        <v>0</v>
      </c>
      <c r="G1829" s="425">
        <f>IF(decGTMOrg62Timeline="choose",0,IF(G1824=0,INDEX(datatblLeadPass,MATCH(decGTMLeadPass,Data!$C$212:$C$217,0),3),0))</f>
        <v>0</v>
      </c>
      <c r="H1829" s="425">
        <f>IF(decGTMOrg62Timeline="choose",0,IF(H1824=0,INDEX(datatblLeadPass,MATCH(decGTMLeadPass,Data!$C$212:$C$217,0),3),0))</f>
        <v>0</v>
      </c>
      <c r="I1829" s="425">
        <f>IF(decGTMOrg62Timeline="choose",0,IF(I1824=0,INDEX(datatblLeadPass,MATCH(decGTMLeadPass,Data!$C$212:$C$217,0),3),0))</f>
        <v>0</v>
      </c>
      <c r="J1829" s="425">
        <f>IF(decGTMOrg62Timeline="choose",0,IF(J1824=0,INDEX(datatblLeadPass,MATCH(decGTMLeadPass,Data!$C$212:$C$217,0),3),0))</f>
        <v>0</v>
      </c>
      <c r="K1829" s="425">
        <f>IF(decGTMOrg62Timeline="choose",0,IF(K1824=0,INDEX(datatblLeadPass,MATCH(decGTMLeadPass,Data!$C$212:$C$217,0),3),0))</f>
        <v>0</v>
      </c>
      <c r="L1829" s="425">
        <f>IF(decGTMOrg62Timeline="choose",0,IF(L1824=0,INDEX(datatblLeadPass,MATCH(decGTMLeadPass,Data!$C$212:$C$217,0),3),0))</f>
        <v>0</v>
      </c>
      <c r="M1829" s="425">
        <f>IF(decGTMOrg62Timeline="choose",0,IF(M1824=0,INDEX(datatblLeadPass,MATCH(decGTMLeadPass,Data!$C$212:$C$217,0),3),0))</f>
        <v>0</v>
      </c>
      <c r="N1829" s="425">
        <f>IF(decGTMOrg62Timeline="choose",0,IF(N1824=0,INDEX(datatblLeadPass,MATCH(decGTMLeadPass,Data!$C$212:$C$217,0),3),0))</f>
        <v>0</v>
      </c>
      <c r="O1829" s="482"/>
      <c r="P1829" s="482"/>
    </row>
    <row r="1830" spans="1:18">
      <c r="D1830" s="69" t="s">
        <v>1032</v>
      </c>
      <c r="E1830" s="425">
        <f>IF(decSecurityProductRestrictions="Yes",$Q1830,IF(decSecurityProductRestrictions="No",$R1830,$S1830))</f>
        <v>0</v>
      </c>
      <c r="F1830" s="425">
        <f t="shared" ref="F1830:N1830" si="886">IF(decSecurityProductRestrictions="Yes",$Q1830,IF(decSecurityProductRestrictions="No",$R1830,$S1830))</f>
        <v>0</v>
      </c>
      <c r="G1830" s="425">
        <f t="shared" si="886"/>
        <v>0</v>
      </c>
      <c r="H1830" s="425">
        <f t="shared" si="886"/>
        <v>0</v>
      </c>
      <c r="I1830" s="425">
        <f t="shared" si="886"/>
        <v>0</v>
      </c>
      <c r="J1830" s="425">
        <f t="shared" si="886"/>
        <v>0</v>
      </c>
      <c r="K1830" s="425">
        <f t="shared" si="886"/>
        <v>0</v>
      </c>
      <c r="L1830" s="425">
        <f t="shared" si="886"/>
        <v>0</v>
      </c>
      <c r="M1830" s="425">
        <f t="shared" si="886"/>
        <v>0</v>
      </c>
      <c r="N1830" s="425">
        <f t="shared" si="886"/>
        <v>0</v>
      </c>
      <c r="Q1830" s="482">
        <f>xxProductRestrictionACVHit</f>
        <v>-0.02</v>
      </c>
      <c r="R1830" s="482">
        <f>xxProductRestrictionACVIncrease</f>
        <v>0.02</v>
      </c>
    </row>
    <row r="1831" spans="1:18" s="217" customFormat="1">
      <c r="D1831" s="217" t="s">
        <v>1758</v>
      </c>
      <c r="E1831" s="411">
        <f t="shared" ref="E1831:N1831" si="887">SUM(E1824:E1830)+paramACVGrowthBaseline</f>
        <v>0</v>
      </c>
      <c r="F1831" s="411">
        <f t="shared" si="887"/>
        <v>0</v>
      </c>
      <c r="G1831" s="411">
        <f t="shared" si="887"/>
        <v>0</v>
      </c>
      <c r="H1831" s="411">
        <f t="shared" si="887"/>
        <v>0</v>
      </c>
      <c r="I1831" s="411">
        <f t="shared" si="887"/>
        <v>0</v>
      </c>
      <c r="J1831" s="411">
        <f t="shared" si="887"/>
        <v>0</v>
      </c>
      <c r="K1831" s="411">
        <f t="shared" si="887"/>
        <v>0</v>
      </c>
      <c r="L1831" s="411">
        <f t="shared" si="887"/>
        <v>0</v>
      </c>
      <c r="M1831" s="411">
        <f t="shared" si="887"/>
        <v>0</v>
      </c>
      <c r="N1831" s="411">
        <f t="shared" si="887"/>
        <v>0</v>
      </c>
      <c r="O1831" s="217" t="s">
        <v>2801</v>
      </c>
    </row>
    <row r="1832" spans="1:18" s="217" customFormat="1">
      <c r="E1832" s="411"/>
      <c r="F1832" s="411"/>
      <c r="G1832" s="411"/>
      <c r="H1832" s="411"/>
      <c r="I1832" s="411"/>
      <c r="J1832" s="411"/>
      <c r="K1832" s="411"/>
      <c r="L1832" s="411"/>
      <c r="M1832" s="411"/>
      <c r="N1832" s="411"/>
    </row>
    <row r="1833" spans="1:18" s="217" customFormat="1">
      <c r="A1833" s="217">
        <v>1</v>
      </c>
      <c r="B1833" s="10" t="s">
        <v>1735</v>
      </c>
      <c r="C1833" s="11" t="s">
        <v>899</v>
      </c>
      <c r="D1833" s="217">
        <f>IF(A1833=B1818,"New Revenue Adjustments",IF(AND(C1833=D1818,A1833&lt;B1818),"Attrition Necessary",0))</f>
        <v>0</v>
      </c>
      <c r="E1833" s="522">
        <f t="shared" ref="E1833:E1864" si="888">IF($B$1818&gt;$A1833,INDEX(calcY5Q3RevFlow,$A1833,calcTeamNum)*(IF($D1833="Attrition Necessary",1-calcQ2AttritionDifference,1)*(IF($D1833="New Revenue Adjustments",1+calcY5Q4RevenueAdjustment,1))),INDEX(dataY5Q4Rev,$A1833,)*(IF($D1833="Attrition Necessary",1-calcQ2AttritionDifference,1))*(IF($D1833="New Revenue Adjustments",1+calcY5Q4RevenueAdjustment,1)))</f>
        <v>927350.93900385476</v>
      </c>
      <c r="F1833" s="522">
        <f t="shared" ref="F1833:N1842" si="889">IF($B$1818&gt;$A1833,INDEX(calcY5Q3RevFlow,$A1833,calcTeamNum)*(IF($D1833="Attrition Necessary",1-calcQ2AttritionDifference,1)*(IF($D1833="New Revenue Adjustments",1+calcY5Q4RevenueAdjustment,1))),INDEX(dataY5Q4Rev,$A1833,)*(IF($D1833="Attrition Necessary",1-calcQ2AttritionDifference,1))*(IF($D1833="New Revenue Adjustments",1+calcY5Q4RevenueAdjustment,1)))</f>
        <v>927350.93900385476</v>
      </c>
      <c r="G1833" s="522">
        <f t="shared" si="889"/>
        <v>927350.93900385476</v>
      </c>
      <c r="H1833" s="522">
        <f t="shared" si="889"/>
        <v>927350.93900385476</v>
      </c>
      <c r="I1833" s="522">
        <f t="shared" si="889"/>
        <v>927350.93900385476</v>
      </c>
      <c r="J1833" s="522">
        <f t="shared" si="889"/>
        <v>927350.93900385476</v>
      </c>
      <c r="K1833" s="522">
        <f t="shared" si="889"/>
        <v>927350.93900385476</v>
      </c>
      <c r="L1833" s="522">
        <f t="shared" si="889"/>
        <v>927350.93900385476</v>
      </c>
      <c r="M1833" s="522">
        <f t="shared" si="889"/>
        <v>927350.93900385476</v>
      </c>
      <c r="N1833" s="522">
        <f t="shared" si="889"/>
        <v>927350.93900385476</v>
      </c>
      <c r="O1833" s="410" t="s">
        <v>2802</v>
      </c>
    </row>
    <row r="1834" spans="1:18" s="217" customFormat="1">
      <c r="A1834" s="217">
        <v>2</v>
      </c>
      <c r="B1834" s="10" t="s">
        <v>1735</v>
      </c>
      <c r="C1834" s="11" t="s">
        <v>900</v>
      </c>
      <c r="D1834" s="217">
        <f>IF(A1834=B1818,"New Revenue Adjustments",IF(AND(C1834=D1818,A1834&lt;B1818),"Attrition Necessary",0))</f>
        <v>0</v>
      </c>
      <c r="E1834" s="522">
        <f t="shared" si="888"/>
        <v>1636501.6570656262</v>
      </c>
      <c r="F1834" s="522">
        <f t="shared" si="889"/>
        <v>1636501.6570656262</v>
      </c>
      <c r="G1834" s="522">
        <f t="shared" si="889"/>
        <v>1636501.6570656262</v>
      </c>
      <c r="H1834" s="522">
        <f t="shared" si="889"/>
        <v>1636501.6570656262</v>
      </c>
      <c r="I1834" s="522">
        <f t="shared" si="889"/>
        <v>1636501.6570656262</v>
      </c>
      <c r="J1834" s="522">
        <f t="shared" si="889"/>
        <v>1636501.6570656262</v>
      </c>
      <c r="K1834" s="522">
        <f t="shared" si="889"/>
        <v>1636501.6570656262</v>
      </c>
      <c r="L1834" s="522">
        <f t="shared" si="889"/>
        <v>1636501.6570656262</v>
      </c>
      <c r="M1834" s="522">
        <f t="shared" si="889"/>
        <v>1636501.6570656262</v>
      </c>
      <c r="N1834" s="522">
        <f t="shared" si="889"/>
        <v>1636501.6570656262</v>
      </c>
      <c r="O1834" s="410" t="s">
        <v>2803</v>
      </c>
    </row>
    <row r="1835" spans="1:18" s="217" customFormat="1">
      <c r="A1835" s="217">
        <v>3</v>
      </c>
      <c r="B1835" s="10" t="s">
        <v>1735</v>
      </c>
      <c r="C1835" s="11" t="s">
        <v>901</v>
      </c>
      <c r="D1835" s="217">
        <f>IF(A1835=B1818,"New Revenue Adjustments",IF(AND(C1835=D1818,A1835&lt;B1818),"Attrition Necessary",0))</f>
        <v>0</v>
      </c>
      <c r="E1835" s="522">
        <f t="shared" si="888"/>
        <v>2182002.2094208351</v>
      </c>
      <c r="F1835" s="522">
        <f t="shared" si="889"/>
        <v>2182002.2094208351</v>
      </c>
      <c r="G1835" s="522">
        <f t="shared" si="889"/>
        <v>2182002.2094208351</v>
      </c>
      <c r="H1835" s="522">
        <f t="shared" si="889"/>
        <v>2182002.2094208351</v>
      </c>
      <c r="I1835" s="522">
        <f t="shared" si="889"/>
        <v>2182002.2094208351</v>
      </c>
      <c r="J1835" s="522">
        <f t="shared" si="889"/>
        <v>2182002.2094208351</v>
      </c>
      <c r="K1835" s="522">
        <f t="shared" si="889"/>
        <v>2182002.2094208351</v>
      </c>
      <c r="L1835" s="522">
        <f t="shared" si="889"/>
        <v>2182002.2094208351</v>
      </c>
      <c r="M1835" s="522">
        <f t="shared" si="889"/>
        <v>2182002.2094208351</v>
      </c>
      <c r="N1835" s="522">
        <f t="shared" si="889"/>
        <v>2182002.2094208351</v>
      </c>
      <c r="O1835" s="410" t="s">
        <v>2804</v>
      </c>
    </row>
    <row r="1836" spans="1:18" s="217" customFormat="1">
      <c r="A1836" s="217">
        <v>4</v>
      </c>
      <c r="B1836" s="10" t="s">
        <v>1735</v>
      </c>
      <c r="C1836" s="11" t="s">
        <v>902</v>
      </c>
      <c r="D1836" s="217" t="str">
        <f>IF(A1836=B1818,"New Revenue Adjustments",IF(AND(C1836=D1818,A1836&lt;B1818),"Attrition Necessary",0))</f>
        <v>Attrition Necessary</v>
      </c>
      <c r="E1836" s="522">
        <f t="shared" si="888"/>
        <v>2727502.7617760436</v>
      </c>
      <c r="F1836" s="522">
        <f t="shared" si="889"/>
        <v>2727502.7617760436</v>
      </c>
      <c r="G1836" s="522">
        <f t="shared" si="889"/>
        <v>2727502.7617760436</v>
      </c>
      <c r="H1836" s="522">
        <f t="shared" si="889"/>
        <v>2727502.7617760436</v>
      </c>
      <c r="I1836" s="522">
        <f t="shared" si="889"/>
        <v>2727502.7617760436</v>
      </c>
      <c r="J1836" s="522">
        <f t="shared" si="889"/>
        <v>2727502.7617760436</v>
      </c>
      <c r="K1836" s="522">
        <f t="shared" si="889"/>
        <v>2727502.7617760436</v>
      </c>
      <c r="L1836" s="522">
        <f t="shared" si="889"/>
        <v>2727502.7617760436</v>
      </c>
      <c r="M1836" s="522">
        <f t="shared" si="889"/>
        <v>2727502.7617760436</v>
      </c>
      <c r="N1836" s="522">
        <f t="shared" si="889"/>
        <v>2727502.7617760436</v>
      </c>
      <c r="O1836" s="410" t="s">
        <v>2805</v>
      </c>
    </row>
    <row r="1837" spans="1:18" s="217" customFormat="1">
      <c r="A1837" s="217">
        <v>5</v>
      </c>
      <c r="B1837" s="10" t="s">
        <v>1729</v>
      </c>
      <c r="C1837" s="11" t="s">
        <v>899</v>
      </c>
      <c r="D1837" s="217">
        <f>IF(A1837=B1818,"New Revenue Adjustments",IF(AND(C1837=D1818,A1837&lt;B1818),"Attrition Necessary",0))</f>
        <v>0</v>
      </c>
      <c r="E1837" s="522">
        <f t="shared" si="888"/>
        <v>1091001.1047104176</v>
      </c>
      <c r="F1837" s="522">
        <f t="shared" si="889"/>
        <v>1091001.1047104176</v>
      </c>
      <c r="G1837" s="522">
        <f t="shared" si="889"/>
        <v>1091001.1047104176</v>
      </c>
      <c r="H1837" s="522">
        <f t="shared" si="889"/>
        <v>1091001.1047104176</v>
      </c>
      <c r="I1837" s="522">
        <f t="shared" si="889"/>
        <v>1091001.1047104176</v>
      </c>
      <c r="J1837" s="522">
        <f t="shared" si="889"/>
        <v>1091001.1047104176</v>
      </c>
      <c r="K1837" s="522">
        <f t="shared" si="889"/>
        <v>1091001.1047104176</v>
      </c>
      <c r="L1837" s="522">
        <f t="shared" si="889"/>
        <v>1091001.1047104176</v>
      </c>
      <c r="M1837" s="522">
        <f t="shared" si="889"/>
        <v>1091001.1047104176</v>
      </c>
      <c r="N1837" s="522">
        <f t="shared" si="889"/>
        <v>1091001.1047104176</v>
      </c>
      <c r="O1837" s="410" t="s">
        <v>2806</v>
      </c>
    </row>
    <row r="1838" spans="1:18" s="217" customFormat="1">
      <c r="A1838" s="217">
        <v>6</v>
      </c>
      <c r="B1838" s="10" t="s">
        <v>1729</v>
      </c>
      <c r="C1838" s="11" t="s">
        <v>900</v>
      </c>
      <c r="D1838" s="217">
        <f>IF(A1838=B1818,"New Revenue Adjustments",IF(AND(C1838=D1818,A1838&lt;B1818),"Attrition Necessary",0))</f>
        <v>0</v>
      </c>
      <c r="E1838" s="522">
        <f t="shared" si="888"/>
        <v>1571556.1098204977</v>
      </c>
      <c r="F1838" s="522">
        <f t="shared" si="889"/>
        <v>1571556.1098204977</v>
      </c>
      <c r="G1838" s="522">
        <f t="shared" si="889"/>
        <v>1571556.1098204977</v>
      </c>
      <c r="H1838" s="522">
        <f t="shared" si="889"/>
        <v>1571556.1098204977</v>
      </c>
      <c r="I1838" s="522">
        <f t="shared" si="889"/>
        <v>1571556.1098204977</v>
      </c>
      <c r="J1838" s="522">
        <f t="shared" si="889"/>
        <v>1571556.1098204977</v>
      </c>
      <c r="K1838" s="522">
        <f t="shared" si="889"/>
        <v>1571556.1098204977</v>
      </c>
      <c r="L1838" s="522">
        <f t="shared" si="889"/>
        <v>1571556.1098204977</v>
      </c>
      <c r="M1838" s="522">
        <f t="shared" si="889"/>
        <v>1571556.1098204977</v>
      </c>
      <c r="N1838" s="522">
        <f t="shared" si="889"/>
        <v>1571556.1098204977</v>
      </c>
      <c r="O1838" s="410" t="s">
        <v>2807</v>
      </c>
    </row>
    <row r="1839" spans="1:18" s="217" customFormat="1">
      <c r="A1839" s="217">
        <v>7</v>
      </c>
      <c r="B1839" s="10" t="s">
        <v>1729</v>
      </c>
      <c r="C1839" s="11" t="s">
        <v>901</v>
      </c>
      <c r="D1839" s="217">
        <f>IF(A1839=B1818,"New Revenue Adjustments",IF(AND(C1839=D1818,A1839&lt;B1818),"Attrition Necessary",0))</f>
        <v>0</v>
      </c>
      <c r="E1839" s="522">
        <f t="shared" si="888"/>
        <v>2428768.5333589516</v>
      </c>
      <c r="F1839" s="522">
        <f t="shared" si="889"/>
        <v>2428768.5333589516</v>
      </c>
      <c r="G1839" s="522">
        <f t="shared" si="889"/>
        <v>2428768.5333589516</v>
      </c>
      <c r="H1839" s="522">
        <f t="shared" si="889"/>
        <v>2428768.5333589516</v>
      </c>
      <c r="I1839" s="522">
        <f t="shared" si="889"/>
        <v>2428768.5333589516</v>
      </c>
      <c r="J1839" s="522">
        <f t="shared" si="889"/>
        <v>2428768.5333589516</v>
      </c>
      <c r="K1839" s="522">
        <f t="shared" si="889"/>
        <v>2428768.5333589516</v>
      </c>
      <c r="L1839" s="522">
        <f t="shared" si="889"/>
        <v>2428768.5333589516</v>
      </c>
      <c r="M1839" s="522">
        <f t="shared" si="889"/>
        <v>2428768.5333589516</v>
      </c>
      <c r="N1839" s="522">
        <f t="shared" si="889"/>
        <v>2428768.5333589516</v>
      </c>
      <c r="O1839" s="410" t="s">
        <v>2808</v>
      </c>
    </row>
    <row r="1840" spans="1:18" s="217" customFormat="1">
      <c r="A1840" s="217">
        <v>8</v>
      </c>
      <c r="B1840" s="10" t="s">
        <v>1729</v>
      </c>
      <c r="C1840" s="11" t="s">
        <v>902</v>
      </c>
      <c r="D1840" s="217" t="str">
        <f>IF(A1840=B1818,"New Revenue Adjustments",IF(AND(C1840=D1818,A1840&lt;B1818),"Attrition Necessary",0))</f>
        <v>Attrition Necessary</v>
      </c>
      <c r="E1840" s="522">
        <f t="shared" si="888"/>
        <v>3571718.4314102223</v>
      </c>
      <c r="F1840" s="522">
        <f t="shared" si="889"/>
        <v>3571718.4314102223</v>
      </c>
      <c r="G1840" s="522">
        <f t="shared" si="889"/>
        <v>3571718.4314102223</v>
      </c>
      <c r="H1840" s="522">
        <f t="shared" si="889"/>
        <v>3571718.4314102223</v>
      </c>
      <c r="I1840" s="522">
        <f t="shared" si="889"/>
        <v>3571718.4314102223</v>
      </c>
      <c r="J1840" s="522">
        <f t="shared" si="889"/>
        <v>3571718.4314102223</v>
      </c>
      <c r="K1840" s="522">
        <f t="shared" si="889"/>
        <v>3571718.4314102223</v>
      </c>
      <c r="L1840" s="522">
        <f t="shared" si="889"/>
        <v>3571718.4314102223</v>
      </c>
      <c r="M1840" s="522">
        <f t="shared" si="889"/>
        <v>3571718.4314102223</v>
      </c>
      <c r="N1840" s="522">
        <f t="shared" si="889"/>
        <v>3571718.4314102223</v>
      </c>
      <c r="O1840" s="410" t="s">
        <v>2809</v>
      </c>
    </row>
    <row r="1841" spans="1:15" s="217" customFormat="1">
      <c r="A1841" s="217">
        <v>9</v>
      </c>
      <c r="B1841" s="10" t="s">
        <v>405</v>
      </c>
      <c r="C1841" s="11" t="s">
        <v>899</v>
      </c>
      <c r="D1841" s="217">
        <f>IF(A1841=B1818,"New Revenue Adjustments",IF(AND(C1841=D1818,A1841&lt;B1818),"Attrition Necessary",0))</f>
        <v>0</v>
      </c>
      <c r="E1841" s="522">
        <f t="shared" si="888"/>
        <v>1607273.2941346001</v>
      </c>
      <c r="F1841" s="522">
        <f t="shared" si="889"/>
        <v>1607273.2941346001</v>
      </c>
      <c r="G1841" s="522">
        <f t="shared" si="889"/>
        <v>1607273.2941346001</v>
      </c>
      <c r="H1841" s="522">
        <f t="shared" si="889"/>
        <v>1607273.2941346001</v>
      </c>
      <c r="I1841" s="522">
        <f t="shared" si="889"/>
        <v>1607273.2941346001</v>
      </c>
      <c r="J1841" s="522">
        <f t="shared" si="889"/>
        <v>1607273.2941346001</v>
      </c>
      <c r="K1841" s="522">
        <f t="shared" si="889"/>
        <v>1607273.2941346001</v>
      </c>
      <c r="L1841" s="522">
        <f t="shared" si="889"/>
        <v>1607273.2941346001</v>
      </c>
      <c r="M1841" s="522">
        <f t="shared" si="889"/>
        <v>1607273.2941346001</v>
      </c>
      <c r="N1841" s="522">
        <f t="shared" si="889"/>
        <v>1607273.2941346001</v>
      </c>
      <c r="O1841" s="410" t="s">
        <v>2810</v>
      </c>
    </row>
    <row r="1842" spans="1:15" s="217" customFormat="1">
      <c r="A1842" s="217">
        <v>10</v>
      </c>
      <c r="B1842" s="10" t="s">
        <v>405</v>
      </c>
      <c r="C1842" s="11" t="s">
        <v>900</v>
      </c>
      <c r="D1842" s="217">
        <f>IF(A1842=B1818,"New Revenue Adjustments",IF(AND(C1842=D1818,A1842&lt;B1818),"Attrition Necessary",0))</f>
        <v>0</v>
      </c>
      <c r="E1842" s="522">
        <f t="shared" si="888"/>
        <v>2315231.5379359759</v>
      </c>
      <c r="F1842" s="522">
        <f t="shared" si="889"/>
        <v>2315231.5379359759</v>
      </c>
      <c r="G1842" s="522">
        <f t="shared" si="889"/>
        <v>2315231.5379359759</v>
      </c>
      <c r="H1842" s="522">
        <f t="shared" si="889"/>
        <v>2315231.5379359759</v>
      </c>
      <c r="I1842" s="522">
        <f t="shared" si="889"/>
        <v>2315231.5379359759</v>
      </c>
      <c r="J1842" s="522">
        <f t="shared" si="889"/>
        <v>2315231.5379359759</v>
      </c>
      <c r="K1842" s="522">
        <f t="shared" si="889"/>
        <v>2315231.5379359759</v>
      </c>
      <c r="L1842" s="522">
        <f t="shared" si="889"/>
        <v>2315231.5379359759</v>
      </c>
      <c r="M1842" s="522">
        <f t="shared" si="889"/>
        <v>2315231.5379359759</v>
      </c>
      <c r="N1842" s="522">
        <f t="shared" si="889"/>
        <v>2315231.5379359759</v>
      </c>
      <c r="O1842" s="410" t="s">
        <v>2811</v>
      </c>
    </row>
    <row r="1843" spans="1:15" s="217" customFormat="1">
      <c r="A1843" s="217">
        <v>11</v>
      </c>
      <c r="B1843" s="10" t="s">
        <v>405</v>
      </c>
      <c r="C1843" s="11" t="s">
        <v>901</v>
      </c>
      <c r="D1843" s="217">
        <f>IF(A1843=B1818,"New Revenue Adjustments",IF(AND(C1843=D1818,A1843&lt;B1818),"Attrition Necessary",0))</f>
        <v>0</v>
      </c>
      <c r="E1843" s="522">
        <f t="shared" si="888"/>
        <v>3578085.1040828726</v>
      </c>
      <c r="F1843" s="522">
        <f t="shared" ref="F1843:N1852" si="890">IF($B$1818&gt;$A1843,INDEX(calcY5Q3RevFlow,$A1843,calcTeamNum)*(IF($D1843="Attrition Necessary",1-calcQ2AttritionDifference,1)*(IF($D1843="New Revenue Adjustments",1+calcY5Q4RevenueAdjustment,1))),INDEX(dataY5Q4Rev,$A1843,)*(IF($D1843="Attrition Necessary",1-calcQ2AttritionDifference,1))*(IF($D1843="New Revenue Adjustments",1+calcY5Q4RevenueAdjustment,1)))</f>
        <v>3578085.1040828726</v>
      </c>
      <c r="G1843" s="522">
        <f t="shared" si="890"/>
        <v>3578085.1040828726</v>
      </c>
      <c r="H1843" s="522">
        <f t="shared" si="890"/>
        <v>3578085.1040828726</v>
      </c>
      <c r="I1843" s="522">
        <f t="shared" si="890"/>
        <v>3578085.1040828726</v>
      </c>
      <c r="J1843" s="522">
        <f t="shared" si="890"/>
        <v>3578085.1040828726</v>
      </c>
      <c r="K1843" s="522">
        <f t="shared" si="890"/>
        <v>3578085.1040828726</v>
      </c>
      <c r="L1843" s="522">
        <f t="shared" si="890"/>
        <v>3578085.1040828726</v>
      </c>
      <c r="M1843" s="522">
        <f t="shared" si="890"/>
        <v>3578085.1040828726</v>
      </c>
      <c r="N1843" s="522">
        <f t="shared" si="890"/>
        <v>3578085.1040828726</v>
      </c>
      <c r="O1843" s="410" t="s">
        <v>2812</v>
      </c>
    </row>
    <row r="1844" spans="1:15" s="217" customFormat="1">
      <c r="A1844" s="217">
        <v>12</v>
      </c>
      <c r="B1844" s="10" t="s">
        <v>405</v>
      </c>
      <c r="C1844" s="11" t="s">
        <v>902</v>
      </c>
      <c r="D1844" s="217" t="str">
        <f>IF(A1844=B1818,"New Revenue Adjustments",IF(AND(C1844=D1818,A1844&lt;B1818),"Attrition Necessary",0))</f>
        <v>Attrition Necessary</v>
      </c>
      <c r="E1844" s="522">
        <f t="shared" si="888"/>
        <v>5261889.8589454005</v>
      </c>
      <c r="F1844" s="522">
        <f t="shared" si="890"/>
        <v>5261889.8589454005</v>
      </c>
      <c r="G1844" s="522">
        <f t="shared" si="890"/>
        <v>5261889.8589454005</v>
      </c>
      <c r="H1844" s="522">
        <f t="shared" si="890"/>
        <v>5261889.8589454005</v>
      </c>
      <c r="I1844" s="522">
        <f t="shared" si="890"/>
        <v>5261889.8589454005</v>
      </c>
      <c r="J1844" s="522">
        <f t="shared" si="890"/>
        <v>5261889.8589454005</v>
      </c>
      <c r="K1844" s="522">
        <f t="shared" si="890"/>
        <v>5261889.8589454005</v>
      </c>
      <c r="L1844" s="522">
        <f t="shared" si="890"/>
        <v>5261889.8589454005</v>
      </c>
      <c r="M1844" s="522">
        <f t="shared" si="890"/>
        <v>5261889.8589454005</v>
      </c>
      <c r="N1844" s="522">
        <f t="shared" si="890"/>
        <v>5261889.8589454005</v>
      </c>
      <c r="O1844" s="410" t="s">
        <v>2813</v>
      </c>
    </row>
    <row r="1845" spans="1:15" s="217" customFormat="1">
      <c r="A1845" s="217">
        <v>13</v>
      </c>
      <c r="B1845" s="10" t="s">
        <v>1278</v>
      </c>
      <c r="C1845" s="11" t="s">
        <v>899</v>
      </c>
      <c r="D1845" s="217">
        <f>IF(A1845=B1818,"New Revenue Adjustments",IF(AND(C1845=D1818,A1845&lt;B1818),"Attrition Necessary",0))</f>
        <v>0</v>
      </c>
      <c r="E1845" s="522">
        <f t="shared" si="888"/>
        <v>2363010.6046085469</v>
      </c>
      <c r="F1845" s="522">
        <f t="shared" si="890"/>
        <v>2363010.6046085469</v>
      </c>
      <c r="G1845" s="522">
        <f t="shared" si="890"/>
        <v>2363010.6046085469</v>
      </c>
      <c r="H1845" s="522">
        <f t="shared" si="890"/>
        <v>2363010.6046085469</v>
      </c>
      <c r="I1845" s="522">
        <f t="shared" si="890"/>
        <v>2363010.6046085469</v>
      </c>
      <c r="J1845" s="522">
        <f t="shared" si="890"/>
        <v>2363010.6046085469</v>
      </c>
      <c r="K1845" s="522">
        <f t="shared" si="890"/>
        <v>2363010.6046085469</v>
      </c>
      <c r="L1845" s="522">
        <f t="shared" si="890"/>
        <v>2363010.6046085469</v>
      </c>
      <c r="M1845" s="522">
        <f t="shared" si="890"/>
        <v>2363010.6046085469</v>
      </c>
      <c r="N1845" s="522">
        <f t="shared" si="890"/>
        <v>2363010.6046085469</v>
      </c>
      <c r="O1845" s="410" t="s">
        <v>2814</v>
      </c>
    </row>
    <row r="1846" spans="1:15" s="217" customFormat="1">
      <c r="A1846" s="217">
        <v>14</v>
      </c>
      <c r="B1846" s="10" t="s">
        <v>1278</v>
      </c>
      <c r="C1846" s="11" t="s">
        <v>900</v>
      </c>
      <c r="D1846" s="217">
        <f>IF(A1846=B1818,"New Revenue Adjustments",IF(AND(C1846=D1818,A1846&lt;B1818),"Attrition Necessary",0))</f>
        <v>0</v>
      </c>
      <c r="E1846" s="522">
        <f t="shared" si="888"/>
        <v>2888124.0722993347</v>
      </c>
      <c r="F1846" s="522">
        <f t="shared" si="890"/>
        <v>2888124.0722993347</v>
      </c>
      <c r="G1846" s="522">
        <f t="shared" si="890"/>
        <v>2888124.0722993347</v>
      </c>
      <c r="H1846" s="522">
        <f t="shared" si="890"/>
        <v>2888124.0722993347</v>
      </c>
      <c r="I1846" s="522">
        <f t="shared" si="890"/>
        <v>2888124.0722993347</v>
      </c>
      <c r="J1846" s="522">
        <f t="shared" si="890"/>
        <v>2888124.0722993347</v>
      </c>
      <c r="K1846" s="522">
        <f t="shared" si="890"/>
        <v>2888124.0722993347</v>
      </c>
      <c r="L1846" s="522">
        <f t="shared" si="890"/>
        <v>2888124.0722993347</v>
      </c>
      <c r="M1846" s="522">
        <f t="shared" si="890"/>
        <v>2888124.0722993347</v>
      </c>
      <c r="N1846" s="522">
        <f t="shared" si="890"/>
        <v>2888124.0722993347</v>
      </c>
      <c r="O1846" s="410" t="s">
        <v>2815</v>
      </c>
    </row>
    <row r="1847" spans="1:15" s="217" customFormat="1">
      <c r="A1847" s="217">
        <v>15</v>
      </c>
      <c r="B1847" s="10" t="s">
        <v>1278</v>
      </c>
      <c r="C1847" s="11" t="s">
        <v>901</v>
      </c>
      <c r="D1847" s="217">
        <f>IF(A1847=B1818,"New Revenue Adjustments",IF(AND(C1847=D1818,A1847&lt;B1818),"Attrition Necessary",0))</f>
        <v>0</v>
      </c>
      <c r="E1847" s="522">
        <f t="shared" si="888"/>
        <v>4463464.4753716998</v>
      </c>
      <c r="F1847" s="522">
        <f t="shared" si="890"/>
        <v>4463464.4753716998</v>
      </c>
      <c r="G1847" s="522">
        <f t="shared" si="890"/>
        <v>4463464.4753716998</v>
      </c>
      <c r="H1847" s="522">
        <f t="shared" si="890"/>
        <v>4463464.4753716998</v>
      </c>
      <c r="I1847" s="522">
        <f t="shared" si="890"/>
        <v>4463464.4753716998</v>
      </c>
      <c r="J1847" s="522">
        <f t="shared" si="890"/>
        <v>4463464.4753716998</v>
      </c>
      <c r="K1847" s="522">
        <f t="shared" si="890"/>
        <v>4463464.4753716998</v>
      </c>
      <c r="L1847" s="522">
        <f t="shared" si="890"/>
        <v>4463464.4753716998</v>
      </c>
      <c r="M1847" s="522">
        <f t="shared" si="890"/>
        <v>4463464.4753716998</v>
      </c>
      <c r="N1847" s="522">
        <f t="shared" si="890"/>
        <v>4463464.4753716998</v>
      </c>
      <c r="O1847" s="410" t="s">
        <v>2816</v>
      </c>
    </row>
    <row r="1848" spans="1:15" s="217" customFormat="1">
      <c r="A1848" s="217">
        <v>16</v>
      </c>
      <c r="B1848" s="10" t="s">
        <v>1278</v>
      </c>
      <c r="C1848" s="11" t="s">
        <v>902</v>
      </c>
      <c r="D1848" s="217" t="str">
        <f>IF(A1848=B1818,"New Revenue Adjustments",IF(AND(C1848=D1818,A1848&lt;B1818),"Attrition Necessary",0))</f>
        <v>Attrition Necessary</v>
      </c>
      <c r="E1848" s="522">
        <f t="shared" si="888"/>
        <v>6563918.3461348526</v>
      </c>
      <c r="F1848" s="522">
        <f t="shared" si="890"/>
        <v>6563918.3461348526</v>
      </c>
      <c r="G1848" s="522">
        <f t="shared" si="890"/>
        <v>6563918.3461348526</v>
      </c>
      <c r="H1848" s="522">
        <f t="shared" si="890"/>
        <v>6563918.3461348526</v>
      </c>
      <c r="I1848" s="522">
        <f t="shared" si="890"/>
        <v>6563918.3461348526</v>
      </c>
      <c r="J1848" s="522">
        <f t="shared" si="890"/>
        <v>6563918.3461348526</v>
      </c>
      <c r="K1848" s="522">
        <f t="shared" si="890"/>
        <v>6563918.3461348526</v>
      </c>
      <c r="L1848" s="522">
        <f t="shared" si="890"/>
        <v>6563918.3461348526</v>
      </c>
      <c r="M1848" s="522">
        <f t="shared" si="890"/>
        <v>6563918.3461348526</v>
      </c>
      <c r="N1848" s="522">
        <f t="shared" si="890"/>
        <v>6563918.3461348526</v>
      </c>
      <c r="O1848" s="410" t="s">
        <v>2817</v>
      </c>
    </row>
    <row r="1849" spans="1:15" s="217" customFormat="1">
      <c r="A1849" s="217">
        <v>17</v>
      </c>
      <c r="B1849" s="10" t="s">
        <v>1279</v>
      </c>
      <c r="C1849" s="11" t="s">
        <v>899</v>
      </c>
      <c r="D1849" s="217">
        <f>IF(A1849=B1818,"New Revenue Adjustments",IF(AND(C1849=D1818,A1849&lt;B1818),"Attrition Necessary",0))</f>
        <v>0</v>
      </c>
      <c r="E1849" s="522">
        <f t="shared" si="888"/>
        <v>2947725.8314961996</v>
      </c>
      <c r="F1849" s="522">
        <f t="shared" si="890"/>
        <v>2947725.8314961996</v>
      </c>
      <c r="G1849" s="522">
        <f t="shared" si="890"/>
        <v>2947725.8314961996</v>
      </c>
      <c r="H1849" s="522">
        <f t="shared" si="890"/>
        <v>2947725.8314961996</v>
      </c>
      <c r="I1849" s="522">
        <f t="shared" si="890"/>
        <v>2947725.8314961996</v>
      </c>
      <c r="J1849" s="522">
        <f t="shared" si="890"/>
        <v>2947725.8314961996</v>
      </c>
      <c r="K1849" s="522">
        <f t="shared" si="890"/>
        <v>2947725.8314961996</v>
      </c>
      <c r="L1849" s="522">
        <f t="shared" si="890"/>
        <v>2947725.8314961996</v>
      </c>
      <c r="M1849" s="522">
        <f t="shared" si="890"/>
        <v>2947725.8314961996</v>
      </c>
      <c r="N1849" s="522">
        <f t="shared" si="890"/>
        <v>2947725.8314961996</v>
      </c>
      <c r="O1849" s="410" t="s">
        <v>2818</v>
      </c>
    </row>
    <row r="1850" spans="1:15" s="217" customFormat="1">
      <c r="A1850" s="217">
        <v>18</v>
      </c>
      <c r="B1850" s="10" t="s">
        <v>1279</v>
      </c>
      <c r="C1850" s="11" t="s">
        <v>900</v>
      </c>
      <c r="D1850" s="217">
        <f>IF(A1850=B1818,"New Revenue Adjustments",IF(AND(C1850=D1818,A1850&lt;B1818),"Attrition Necessary",0))</f>
        <v>0</v>
      </c>
      <c r="E1850" s="522">
        <f t="shared" si="888"/>
        <v>3602776.0162731321</v>
      </c>
      <c r="F1850" s="522">
        <f t="shared" si="890"/>
        <v>3602776.0162731321</v>
      </c>
      <c r="G1850" s="522">
        <f t="shared" si="890"/>
        <v>3602776.0162731321</v>
      </c>
      <c r="H1850" s="522">
        <f t="shared" si="890"/>
        <v>3602776.0162731321</v>
      </c>
      <c r="I1850" s="522">
        <f t="shared" si="890"/>
        <v>3602776.0162731321</v>
      </c>
      <c r="J1850" s="522">
        <f t="shared" si="890"/>
        <v>3602776.0162731321</v>
      </c>
      <c r="K1850" s="522">
        <f t="shared" si="890"/>
        <v>3602776.0162731321</v>
      </c>
      <c r="L1850" s="522">
        <f t="shared" si="890"/>
        <v>3602776.0162731321</v>
      </c>
      <c r="M1850" s="522">
        <f t="shared" si="890"/>
        <v>3602776.0162731321</v>
      </c>
      <c r="N1850" s="522">
        <f t="shared" si="890"/>
        <v>3602776.0162731321</v>
      </c>
      <c r="O1850" s="410" t="s">
        <v>2819</v>
      </c>
    </row>
    <row r="1851" spans="1:15" s="217" customFormat="1">
      <c r="A1851" s="217">
        <v>19</v>
      </c>
      <c r="B1851" s="10" t="s">
        <v>1279</v>
      </c>
      <c r="C1851" s="11" t="s">
        <v>901</v>
      </c>
      <c r="D1851" s="217">
        <f>IF(A1851=B1818,"New Revenue Adjustments",IF(AND(C1851=D1818,A1851&lt;B1818),"Attrition Necessary",0))</f>
        <v>0</v>
      </c>
      <c r="E1851" s="522">
        <f t="shared" si="888"/>
        <v>5567926.5706039332</v>
      </c>
      <c r="F1851" s="522">
        <f t="shared" si="890"/>
        <v>5567926.5706039332</v>
      </c>
      <c r="G1851" s="522">
        <f t="shared" si="890"/>
        <v>5567926.5706039332</v>
      </c>
      <c r="H1851" s="522">
        <f t="shared" si="890"/>
        <v>5567926.5706039332</v>
      </c>
      <c r="I1851" s="522">
        <f t="shared" si="890"/>
        <v>5567926.5706039332</v>
      </c>
      <c r="J1851" s="522">
        <f t="shared" si="890"/>
        <v>5567926.5706039332</v>
      </c>
      <c r="K1851" s="522">
        <f t="shared" si="890"/>
        <v>5567926.5706039332</v>
      </c>
      <c r="L1851" s="522">
        <f t="shared" si="890"/>
        <v>5567926.5706039332</v>
      </c>
      <c r="M1851" s="522">
        <f t="shared" si="890"/>
        <v>5567926.5706039332</v>
      </c>
      <c r="N1851" s="522">
        <f t="shared" si="890"/>
        <v>5567926.5706039332</v>
      </c>
      <c r="O1851" s="410" t="s">
        <v>2820</v>
      </c>
    </row>
    <row r="1852" spans="1:15" s="217" customFormat="1">
      <c r="A1852" s="217">
        <v>20</v>
      </c>
      <c r="B1852" s="10" t="s">
        <v>1279</v>
      </c>
      <c r="C1852" s="11" t="s">
        <v>902</v>
      </c>
      <c r="D1852" s="217" t="str">
        <f>IF(A1852=B1818,"New Revenue Adjustments",IF(AND(C1852=D1818,A1852&lt;B1818),"Attrition Necessary",0))</f>
        <v>Attrition Necessary</v>
      </c>
      <c r="E1852" s="522">
        <f t="shared" si="888"/>
        <v>8188127.309711664</v>
      </c>
      <c r="F1852" s="522">
        <f t="shared" si="890"/>
        <v>8188127.309711664</v>
      </c>
      <c r="G1852" s="522">
        <f t="shared" si="890"/>
        <v>8188127.309711664</v>
      </c>
      <c r="H1852" s="522">
        <f t="shared" si="890"/>
        <v>8188127.309711664</v>
      </c>
      <c r="I1852" s="522">
        <f t="shared" si="890"/>
        <v>8188127.309711664</v>
      </c>
      <c r="J1852" s="522">
        <f t="shared" si="890"/>
        <v>8188127.309711664</v>
      </c>
      <c r="K1852" s="522">
        <f t="shared" si="890"/>
        <v>8188127.309711664</v>
      </c>
      <c r="L1852" s="522">
        <f t="shared" si="890"/>
        <v>8188127.309711664</v>
      </c>
      <c r="M1852" s="522">
        <f t="shared" si="890"/>
        <v>8188127.309711664</v>
      </c>
      <c r="N1852" s="522">
        <f t="shared" si="890"/>
        <v>8188127.309711664</v>
      </c>
      <c r="O1852" s="410" t="s">
        <v>2821</v>
      </c>
    </row>
    <row r="1853" spans="1:15" s="217" customFormat="1">
      <c r="A1853" s="217">
        <v>21</v>
      </c>
      <c r="B1853" s="10" t="s">
        <v>2052</v>
      </c>
      <c r="C1853" s="11" t="s">
        <v>899</v>
      </c>
      <c r="D1853" s="217">
        <f>IF(A1853=B1818,"New Revenue Adjustments",IF(AND(C1853=D1818,A1853&lt;B1818),"Attrition Necessary",0))</f>
        <v>0</v>
      </c>
      <c r="E1853" s="522">
        <f t="shared" si="888"/>
        <v>3235870.8223470962</v>
      </c>
      <c r="F1853" s="522">
        <f t="shared" ref="F1853:N1864" si="891">IF($B$1818&gt;$A1853,INDEX(calcY5Q3RevFlow,$A1853,calcTeamNum)*(IF($D1853="Attrition Necessary",1-calcQ2AttritionDifference,1)*(IF($D1853="New Revenue Adjustments",1+calcY5Q4RevenueAdjustment,1))),INDEX(dataY5Q4Rev,$A1853,)*(IF($D1853="Attrition Necessary",1-calcQ2AttritionDifference,1))*(IF($D1853="New Revenue Adjustments",1+calcY5Q4RevenueAdjustment,1)))</f>
        <v>3235870.8223470962</v>
      </c>
      <c r="G1853" s="522">
        <f t="shared" si="891"/>
        <v>3235870.8223470962</v>
      </c>
      <c r="H1853" s="522">
        <f t="shared" si="891"/>
        <v>3235870.8223470962</v>
      </c>
      <c r="I1853" s="522">
        <f t="shared" si="891"/>
        <v>3235870.8223470962</v>
      </c>
      <c r="J1853" s="522">
        <f t="shared" si="891"/>
        <v>3235870.8223470962</v>
      </c>
      <c r="K1853" s="522">
        <f t="shared" si="891"/>
        <v>3235870.8223470962</v>
      </c>
      <c r="L1853" s="522">
        <f t="shared" si="891"/>
        <v>3235870.8223470962</v>
      </c>
      <c r="M1853" s="522">
        <f t="shared" si="891"/>
        <v>3235870.8223470962</v>
      </c>
      <c r="N1853" s="522">
        <f t="shared" si="891"/>
        <v>3235870.8223470962</v>
      </c>
      <c r="O1853" s="410" t="s">
        <v>2822</v>
      </c>
    </row>
    <row r="1854" spans="1:15" s="217" customFormat="1">
      <c r="A1854" s="217">
        <v>22</v>
      </c>
      <c r="B1854" s="10" t="s">
        <v>2052</v>
      </c>
      <c r="C1854" s="11" t="s">
        <v>900</v>
      </c>
      <c r="D1854" s="217">
        <f>IF(A1854=B1818,"New Revenue Adjustments",IF(AND(C1854=D1818,A1854&lt;B1818),"Attrition Necessary",0))</f>
        <v>0</v>
      </c>
      <c r="E1854" s="522">
        <f t="shared" si="888"/>
        <v>3954953.2273131162</v>
      </c>
      <c r="F1854" s="522">
        <f t="shared" si="891"/>
        <v>3954953.2273131162</v>
      </c>
      <c r="G1854" s="522">
        <f t="shared" si="891"/>
        <v>3954953.2273131162</v>
      </c>
      <c r="H1854" s="522">
        <f t="shared" si="891"/>
        <v>3954953.2273131162</v>
      </c>
      <c r="I1854" s="522">
        <f t="shared" si="891"/>
        <v>3954953.2273131162</v>
      </c>
      <c r="J1854" s="522">
        <f t="shared" si="891"/>
        <v>3954953.2273131162</v>
      </c>
      <c r="K1854" s="522">
        <f t="shared" si="891"/>
        <v>3954953.2273131162</v>
      </c>
      <c r="L1854" s="522">
        <f t="shared" si="891"/>
        <v>3954953.2273131162</v>
      </c>
      <c r="M1854" s="522">
        <f t="shared" si="891"/>
        <v>3954953.2273131162</v>
      </c>
      <c r="N1854" s="522">
        <f t="shared" si="891"/>
        <v>3954953.2273131162</v>
      </c>
      <c r="O1854" s="410" t="s">
        <v>2823</v>
      </c>
    </row>
    <row r="1855" spans="1:15" s="217" customFormat="1">
      <c r="A1855" s="217">
        <v>23</v>
      </c>
      <c r="B1855" s="10" t="s">
        <v>2052</v>
      </c>
      <c r="C1855" s="11" t="s">
        <v>901</v>
      </c>
      <c r="D1855" s="217">
        <f>IF(A1855=B1818,"New Revenue Adjustments",IF(AND(C1855=D1818,A1855&lt;B1818),"Attrition Necessary",0))</f>
        <v>0</v>
      </c>
      <c r="E1855" s="522">
        <f t="shared" si="888"/>
        <v>6112200.4422111819</v>
      </c>
      <c r="F1855" s="522">
        <f t="shared" si="891"/>
        <v>6112200.4422111819</v>
      </c>
      <c r="G1855" s="522">
        <f t="shared" si="891"/>
        <v>6112200.4422111819</v>
      </c>
      <c r="H1855" s="522">
        <f t="shared" si="891"/>
        <v>6112200.4422111819</v>
      </c>
      <c r="I1855" s="522">
        <f t="shared" si="891"/>
        <v>6112200.4422111819</v>
      </c>
      <c r="J1855" s="522">
        <f t="shared" si="891"/>
        <v>6112200.4422111819</v>
      </c>
      <c r="K1855" s="522">
        <f t="shared" si="891"/>
        <v>6112200.4422111819</v>
      </c>
      <c r="L1855" s="522">
        <f t="shared" si="891"/>
        <v>6112200.4422111819</v>
      </c>
      <c r="M1855" s="522">
        <f t="shared" si="891"/>
        <v>6112200.4422111819</v>
      </c>
      <c r="N1855" s="522">
        <f t="shared" si="891"/>
        <v>6112200.4422111819</v>
      </c>
      <c r="O1855" s="410" t="s">
        <v>2824</v>
      </c>
    </row>
    <row r="1856" spans="1:15" s="217" customFormat="1">
      <c r="A1856" s="217">
        <v>24</v>
      </c>
      <c r="B1856" s="10" t="s">
        <v>2052</v>
      </c>
      <c r="C1856" s="11" t="s">
        <v>902</v>
      </c>
      <c r="D1856" s="217" t="str">
        <f>IF(A1856=B1818,"New Revenue Adjustments",IF(AND(C1856=D1818,A1856&lt;B1818),"Attrition Necessary",0))</f>
        <v>Attrition Necessary</v>
      </c>
      <c r="E1856" s="522">
        <f t="shared" si="888"/>
        <v>8988530.0620752629</v>
      </c>
      <c r="F1856" s="522">
        <f t="shared" si="891"/>
        <v>8988530.0620752629</v>
      </c>
      <c r="G1856" s="522">
        <f t="shared" si="891"/>
        <v>8988530.0620752629</v>
      </c>
      <c r="H1856" s="522">
        <f t="shared" si="891"/>
        <v>8988530.0620752629</v>
      </c>
      <c r="I1856" s="522">
        <f t="shared" si="891"/>
        <v>8988530.0620752629</v>
      </c>
      <c r="J1856" s="522">
        <f t="shared" si="891"/>
        <v>8988530.0620752629</v>
      </c>
      <c r="K1856" s="522">
        <f t="shared" si="891"/>
        <v>8988530.0620752629</v>
      </c>
      <c r="L1856" s="522">
        <f t="shared" si="891"/>
        <v>8988530.0620752629</v>
      </c>
      <c r="M1856" s="522">
        <f t="shared" si="891"/>
        <v>8988530.0620752629</v>
      </c>
      <c r="N1856" s="522">
        <f t="shared" si="891"/>
        <v>8988530.0620752629</v>
      </c>
      <c r="O1856" s="410" t="s">
        <v>2825</v>
      </c>
    </row>
    <row r="1857" spans="1:15" s="217" customFormat="1">
      <c r="A1857" s="217">
        <v>25</v>
      </c>
      <c r="B1857" s="10" t="s">
        <v>2408</v>
      </c>
      <c r="C1857" s="11" t="s">
        <v>899</v>
      </c>
      <c r="D1857" s="217">
        <f>IF(A1857=B1818,"New Revenue Adjustments",IF(AND(C1857=D1818,A1857&lt;B1818),"Attrition Necessary",0))</f>
        <v>0</v>
      </c>
      <c r="E1857" s="522">
        <f t="shared" si="888"/>
        <v>3471451.0349469464</v>
      </c>
      <c r="F1857" s="522">
        <f t="shared" si="891"/>
        <v>3471451.0349469464</v>
      </c>
      <c r="G1857" s="522">
        <f t="shared" si="891"/>
        <v>3471451.0349469464</v>
      </c>
      <c r="H1857" s="522">
        <f t="shared" si="891"/>
        <v>3471451.0349469464</v>
      </c>
      <c r="I1857" s="522">
        <f t="shared" si="891"/>
        <v>3471451.0349469464</v>
      </c>
      <c r="J1857" s="522">
        <f t="shared" si="891"/>
        <v>3471451.0349469464</v>
      </c>
      <c r="K1857" s="522">
        <f t="shared" si="891"/>
        <v>3471451.0349469464</v>
      </c>
      <c r="L1857" s="522">
        <f t="shared" si="891"/>
        <v>3471451.0349469464</v>
      </c>
      <c r="M1857" s="522">
        <f t="shared" si="891"/>
        <v>3471451.0349469464</v>
      </c>
      <c r="N1857" s="522">
        <f t="shared" si="891"/>
        <v>3471451.0349469464</v>
      </c>
      <c r="O1857" s="410" t="s">
        <v>2826</v>
      </c>
    </row>
    <row r="1858" spans="1:15" s="217" customFormat="1">
      <c r="A1858" s="217">
        <v>26</v>
      </c>
      <c r="B1858" s="10" t="s">
        <v>2408</v>
      </c>
      <c r="C1858" s="11" t="s">
        <v>900</v>
      </c>
      <c r="D1858" s="217">
        <f>IF(A1858=B1818,"New Revenue Adjustments",IF(AND(C1858=D1818,A1858&lt;B1818),"Attrition Necessary",0))</f>
        <v>0</v>
      </c>
      <c r="E1858" s="522">
        <f t="shared" si="888"/>
        <v>4242884.5982684894</v>
      </c>
      <c r="F1858" s="522">
        <f t="shared" si="891"/>
        <v>4242884.5982684894</v>
      </c>
      <c r="G1858" s="522">
        <f t="shared" si="891"/>
        <v>4242884.5982684894</v>
      </c>
      <c r="H1858" s="522">
        <f t="shared" si="891"/>
        <v>4242884.5982684894</v>
      </c>
      <c r="I1858" s="522">
        <f t="shared" si="891"/>
        <v>4242884.5982684894</v>
      </c>
      <c r="J1858" s="522">
        <f t="shared" si="891"/>
        <v>4242884.5982684894</v>
      </c>
      <c r="K1858" s="522">
        <f t="shared" si="891"/>
        <v>4242884.5982684894</v>
      </c>
      <c r="L1858" s="522">
        <f t="shared" si="891"/>
        <v>4242884.5982684894</v>
      </c>
      <c r="M1858" s="522">
        <f t="shared" si="891"/>
        <v>4242884.5982684894</v>
      </c>
      <c r="N1858" s="522">
        <f t="shared" si="891"/>
        <v>4242884.5982684894</v>
      </c>
      <c r="O1858" s="410" t="s">
        <v>2827</v>
      </c>
    </row>
    <row r="1859" spans="1:15" s="217" customFormat="1">
      <c r="A1859" s="217">
        <v>27</v>
      </c>
      <c r="B1859" s="10" t="s">
        <v>2408</v>
      </c>
      <c r="C1859" s="11" t="s">
        <v>901</v>
      </c>
      <c r="D1859" s="217">
        <f>IF(A1859=B1818,"New Revenue Adjustments",IF(AND(C1859=D1818,A1859&lt;B1818),"Attrition Necessary",0))</f>
        <v>0</v>
      </c>
      <c r="E1859" s="522">
        <f t="shared" si="888"/>
        <v>6557185.2882331219</v>
      </c>
      <c r="F1859" s="522">
        <f t="shared" si="891"/>
        <v>6557185.2882331219</v>
      </c>
      <c r="G1859" s="522">
        <f t="shared" si="891"/>
        <v>6557185.2882331219</v>
      </c>
      <c r="H1859" s="522">
        <f t="shared" si="891"/>
        <v>6557185.2882331219</v>
      </c>
      <c r="I1859" s="522">
        <f t="shared" si="891"/>
        <v>6557185.2882331219</v>
      </c>
      <c r="J1859" s="522">
        <f t="shared" si="891"/>
        <v>6557185.2882331219</v>
      </c>
      <c r="K1859" s="522">
        <f t="shared" si="891"/>
        <v>6557185.2882331219</v>
      </c>
      <c r="L1859" s="522">
        <f t="shared" si="891"/>
        <v>6557185.2882331219</v>
      </c>
      <c r="M1859" s="522">
        <f t="shared" si="891"/>
        <v>6557185.2882331219</v>
      </c>
      <c r="N1859" s="522">
        <f t="shared" si="891"/>
        <v>6557185.2882331219</v>
      </c>
      <c r="O1859" s="410" t="s">
        <v>2828</v>
      </c>
    </row>
    <row r="1860" spans="1:15" s="217" customFormat="1">
      <c r="A1860" s="217">
        <v>28</v>
      </c>
      <c r="B1860" s="10" t="s">
        <v>2408</v>
      </c>
      <c r="C1860" s="11" t="s">
        <v>902</v>
      </c>
      <c r="D1860" s="217" t="str">
        <f>IF(A1860=B1818,"New Revenue Adjustments",IF(AND(C1860=D1818,A1860&lt;B1818),"Attrition Necessary",0))</f>
        <v>Attrition Necessary</v>
      </c>
      <c r="E1860" s="522">
        <f t="shared" si="888"/>
        <v>9642919.5415192936</v>
      </c>
      <c r="F1860" s="522">
        <f t="shared" si="891"/>
        <v>9642919.5415192936</v>
      </c>
      <c r="G1860" s="522">
        <f t="shared" si="891"/>
        <v>9642919.5415192936</v>
      </c>
      <c r="H1860" s="522">
        <f t="shared" si="891"/>
        <v>9642919.5415192936</v>
      </c>
      <c r="I1860" s="522">
        <f t="shared" si="891"/>
        <v>9642919.5415192936</v>
      </c>
      <c r="J1860" s="522">
        <f t="shared" si="891"/>
        <v>9642919.5415192936</v>
      </c>
      <c r="K1860" s="522">
        <f t="shared" si="891"/>
        <v>9642919.5415192936</v>
      </c>
      <c r="L1860" s="522">
        <f t="shared" si="891"/>
        <v>9642919.5415192936</v>
      </c>
      <c r="M1860" s="522">
        <f t="shared" si="891"/>
        <v>9642919.5415192936</v>
      </c>
      <c r="N1860" s="522">
        <f t="shared" si="891"/>
        <v>9642919.5415192936</v>
      </c>
      <c r="O1860" s="410" t="s">
        <v>2829</v>
      </c>
    </row>
    <row r="1861" spans="1:15" s="217" customFormat="1">
      <c r="A1861" s="217">
        <v>29</v>
      </c>
      <c r="B1861" s="10" t="s">
        <v>2413</v>
      </c>
      <c r="C1861" s="11" t="s">
        <v>899</v>
      </c>
      <c r="D1861" s="217">
        <f>IF(A1861=B1818,"New Revenue Adjustments",IF(AND(C1861=D1818,A1861&lt;B1818),"Attrition Necessary",0))</f>
        <v>0</v>
      </c>
      <c r="E1861" s="522">
        <f t="shared" si="888"/>
        <v>3637573.2421875005</v>
      </c>
      <c r="F1861" s="522">
        <f t="shared" si="891"/>
        <v>3637573.2421875005</v>
      </c>
      <c r="G1861" s="522">
        <f t="shared" si="891"/>
        <v>3637573.2421875005</v>
      </c>
      <c r="H1861" s="522">
        <f t="shared" si="891"/>
        <v>3637573.2421875005</v>
      </c>
      <c r="I1861" s="522">
        <f t="shared" si="891"/>
        <v>3637573.2421875005</v>
      </c>
      <c r="J1861" s="522">
        <f t="shared" si="891"/>
        <v>3637573.2421875005</v>
      </c>
      <c r="K1861" s="522">
        <f t="shared" si="891"/>
        <v>3637573.2421875005</v>
      </c>
      <c r="L1861" s="522">
        <f t="shared" si="891"/>
        <v>3637573.2421875005</v>
      </c>
      <c r="M1861" s="522">
        <f t="shared" si="891"/>
        <v>3637573.2421875005</v>
      </c>
      <c r="N1861" s="522">
        <f t="shared" si="891"/>
        <v>3637573.2421875005</v>
      </c>
      <c r="O1861" s="410" t="s">
        <v>2830</v>
      </c>
    </row>
    <row r="1862" spans="1:15" s="217" customFormat="1">
      <c r="A1862" s="217">
        <v>30</v>
      </c>
      <c r="B1862" s="10" t="s">
        <v>2413</v>
      </c>
      <c r="C1862" s="11" t="s">
        <v>900</v>
      </c>
      <c r="D1862" s="217">
        <f>IF(A1862=B1818,"New Revenue Adjustments",IF(AND(C1862=D1818,A1862&lt;B1818),"Attrition Necessary",0))</f>
        <v>0</v>
      </c>
      <c r="E1862" s="522">
        <f t="shared" si="888"/>
        <v>4445922.8515625</v>
      </c>
      <c r="F1862" s="522">
        <f t="shared" si="891"/>
        <v>4445922.8515625</v>
      </c>
      <c r="G1862" s="522">
        <f t="shared" si="891"/>
        <v>4445922.8515625</v>
      </c>
      <c r="H1862" s="522">
        <f t="shared" si="891"/>
        <v>4445922.8515625</v>
      </c>
      <c r="I1862" s="522">
        <f t="shared" si="891"/>
        <v>4445922.8515625</v>
      </c>
      <c r="J1862" s="522">
        <f t="shared" si="891"/>
        <v>4445922.8515625</v>
      </c>
      <c r="K1862" s="522">
        <f t="shared" si="891"/>
        <v>4445922.8515625</v>
      </c>
      <c r="L1862" s="522">
        <f t="shared" si="891"/>
        <v>4445922.8515625</v>
      </c>
      <c r="M1862" s="522">
        <f t="shared" si="891"/>
        <v>4445922.8515625</v>
      </c>
      <c r="N1862" s="522">
        <f t="shared" si="891"/>
        <v>4445922.8515625</v>
      </c>
      <c r="O1862" s="410" t="s">
        <v>2831</v>
      </c>
    </row>
    <row r="1863" spans="1:15" s="217" customFormat="1">
      <c r="A1863" s="217">
        <v>31</v>
      </c>
      <c r="B1863" s="10" t="s">
        <v>2413</v>
      </c>
      <c r="C1863" s="11" t="s">
        <v>901</v>
      </c>
      <c r="D1863" s="217">
        <f>IF(A1863=B1818,"New Revenue Adjustments",IF(AND(C1863=D1818,A1863&lt;B1818),"Attrition Necessary",0))</f>
        <v>0</v>
      </c>
      <c r="E1863" s="522">
        <f t="shared" si="888"/>
        <v>6870971.6796875019</v>
      </c>
      <c r="F1863" s="522">
        <f t="shared" si="891"/>
        <v>6870971.6796875019</v>
      </c>
      <c r="G1863" s="522">
        <f t="shared" si="891"/>
        <v>6870971.6796875019</v>
      </c>
      <c r="H1863" s="522">
        <f t="shared" si="891"/>
        <v>6870971.6796875019</v>
      </c>
      <c r="I1863" s="522">
        <f t="shared" si="891"/>
        <v>6870971.6796875019</v>
      </c>
      <c r="J1863" s="522">
        <f t="shared" si="891"/>
        <v>6870971.6796875019</v>
      </c>
      <c r="K1863" s="522">
        <f t="shared" si="891"/>
        <v>6870971.6796875019</v>
      </c>
      <c r="L1863" s="522">
        <f t="shared" si="891"/>
        <v>6870971.6796875019</v>
      </c>
      <c r="M1863" s="522">
        <f t="shared" si="891"/>
        <v>6870971.6796875019</v>
      </c>
      <c r="N1863" s="522">
        <f t="shared" si="891"/>
        <v>6870971.6796875019</v>
      </c>
      <c r="O1863" s="410" t="s">
        <v>2832</v>
      </c>
    </row>
    <row r="1864" spans="1:15" s="217" customFormat="1">
      <c r="A1864" s="217">
        <v>32</v>
      </c>
      <c r="B1864" s="10" t="s">
        <v>2413</v>
      </c>
      <c r="C1864" s="11" t="s">
        <v>902</v>
      </c>
      <c r="D1864" s="217" t="str">
        <f>IF(A1864=B1818,"New Revenue Adjustments",IF(AND(C1864=D1818,A1864&lt;B1818),"Attrition Necessary",0))</f>
        <v>New Revenue Adjustments</v>
      </c>
      <c r="E1864" s="522">
        <f t="shared" si="888"/>
        <v>10104370.1171875</v>
      </c>
      <c r="F1864" s="522">
        <f t="shared" si="891"/>
        <v>10104370.1171875</v>
      </c>
      <c r="G1864" s="522">
        <f t="shared" si="891"/>
        <v>10104370.1171875</v>
      </c>
      <c r="H1864" s="522">
        <f t="shared" si="891"/>
        <v>10104370.1171875</v>
      </c>
      <c r="I1864" s="522">
        <f t="shared" si="891"/>
        <v>10104370.1171875</v>
      </c>
      <c r="J1864" s="522">
        <f t="shared" si="891"/>
        <v>10104370.1171875</v>
      </c>
      <c r="K1864" s="522">
        <f t="shared" si="891"/>
        <v>10104370.1171875</v>
      </c>
      <c r="L1864" s="522">
        <f t="shared" si="891"/>
        <v>10104370.1171875</v>
      </c>
      <c r="M1864" s="522">
        <f t="shared" si="891"/>
        <v>10104370.1171875</v>
      </c>
      <c r="N1864" s="522">
        <f t="shared" si="891"/>
        <v>10104370.1171875</v>
      </c>
      <c r="O1864" s="410" t="s">
        <v>2833</v>
      </c>
    </row>
    <row r="1865" spans="1:15" s="217" customFormat="1">
      <c r="D1865" s="217" t="s">
        <v>910</v>
      </c>
      <c r="E1865" s="427">
        <f>SUM(E1833:E1864)</f>
        <v>136748787.67570418</v>
      </c>
      <c r="F1865" s="427">
        <f t="shared" ref="F1865" si="892">SUM(F1833:F1864)</f>
        <v>136748787.67570418</v>
      </c>
      <c r="G1865" s="427">
        <f t="shared" ref="G1865" si="893">SUM(G1833:G1864)</f>
        <v>136748787.67570418</v>
      </c>
      <c r="H1865" s="427">
        <f t="shared" ref="H1865" si="894">SUM(H1833:H1864)</f>
        <v>136748787.67570418</v>
      </c>
      <c r="I1865" s="427">
        <f t="shared" ref="I1865:N1865" si="895">SUM(I1833:I1864)</f>
        <v>136748787.67570418</v>
      </c>
      <c r="J1865" s="427">
        <f t="shared" si="895"/>
        <v>136748787.67570418</v>
      </c>
      <c r="K1865" s="427">
        <f t="shared" si="895"/>
        <v>136748787.67570418</v>
      </c>
      <c r="L1865" s="427">
        <f t="shared" si="895"/>
        <v>136748787.67570418</v>
      </c>
      <c r="M1865" s="427">
        <f t="shared" si="895"/>
        <v>136748787.67570418</v>
      </c>
      <c r="N1865" s="427">
        <f t="shared" si="895"/>
        <v>136748787.67570418</v>
      </c>
      <c r="O1865" s="217" t="s">
        <v>2834</v>
      </c>
    </row>
    <row r="1879" spans="1:17">
      <c r="A1879" s="69" t="s">
        <v>2095</v>
      </c>
    </row>
    <row r="1880" spans="1:17">
      <c r="C1880" s="69" t="s">
        <v>405</v>
      </c>
      <c r="D1880" s="69" t="s">
        <v>2101</v>
      </c>
      <c r="E1880" s="426">
        <f>SUM(Data!$H$276:$K$276)</f>
        <v>51666666.666666672</v>
      </c>
      <c r="F1880" s="426">
        <f>SUM(Data!$H$276:$K$276)</f>
        <v>51666666.666666672</v>
      </c>
      <c r="G1880" s="426">
        <f>SUM(Data!$H$276:$K$276)</f>
        <v>51666666.666666672</v>
      </c>
      <c r="H1880" s="426">
        <f>SUM(Data!$H$276:$K$276)</f>
        <v>51666666.666666672</v>
      </c>
      <c r="I1880" s="426">
        <f>SUM(Data!$H$276:$K$276)</f>
        <v>51666666.666666672</v>
      </c>
      <c r="J1880" s="426">
        <f>SUM(Data!$H$276:$K$276)</f>
        <v>51666666.666666672</v>
      </c>
      <c r="K1880" s="426">
        <f>SUM(Data!$H$276:$K$276)</f>
        <v>51666666.666666672</v>
      </c>
      <c r="L1880" s="426">
        <f>SUM(Data!$H$276:$K$276)</f>
        <v>51666666.666666672</v>
      </c>
      <c r="M1880" s="426">
        <f>SUM(Data!$H$276:$K$276)</f>
        <v>51666666.666666672</v>
      </c>
      <c r="N1880" s="426">
        <f>SUM(Data!$H$276:$K$276)</f>
        <v>51666666.666666672</v>
      </c>
      <c r="O1880" s="69" t="s">
        <v>2123</v>
      </c>
    </row>
    <row r="1881" spans="1:17">
      <c r="E1881" s="426"/>
    </row>
    <row r="1882" spans="1:17">
      <c r="C1882" s="69" t="s">
        <v>1278</v>
      </c>
      <c r="D1882" s="69" t="s">
        <v>899</v>
      </c>
      <c r="E1882" s="426">
        <f t="shared" ref="E1882:N1882" si="896">calcQ1RevenueY1Q1*4</f>
        <v>9375000</v>
      </c>
      <c r="F1882" s="426">
        <f t="shared" si="896"/>
        <v>9375000</v>
      </c>
      <c r="G1882" s="426">
        <f t="shared" si="896"/>
        <v>9375000</v>
      </c>
      <c r="H1882" s="426">
        <f t="shared" si="896"/>
        <v>9375000</v>
      </c>
      <c r="I1882" s="426">
        <f t="shared" si="896"/>
        <v>9375000</v>
      </c>
      <c r="J1882" s="426">
        <f t="shared" si="896"/>
        <v>9375000</v>
      </c>
      <c r="K1882" s="426">
        <f t="shared" si="896"/>
        <v>9375000</v>
      </c>
      <c r="L1882" s="426">
        <f t="shared" si="896"/>
        <v>9375000</v>
      </c>
      <c r="M1882" s="426">
        <f t="shared" si="896"/>
        <v>9375000</v>
      </c>
      <c r="N1882" s="426">
        <f t="shared" si="896"/>
        <v>9375000</v>
      </c>
      <c r="O1882" s="69" t="s">
        <v>2096</v>
      </c>
      <c r="Q1882" s="69">
        <v>9046875</v>
      </c>
    </row>
    <row r="1883" spans="1:17">
      <c r="C1883" s="69" t="s">
        <v>1278</v>
      </c>
      <c r="D1883" s="69" t="s">
        <v>900</v>
      </c>
      <c r="E1883" s="426">
        <f t="shared" ref="E1883:N1883" si="897">calcQ2RevenueY1Q2*4</f>
        <v>11458333.333333332</v>
      </c>
      <c r="F1883" s="426">
        <f t="shared" si="897"/>
        <v>11458333.333333332</v>
      </c>
      <c r="G1883" s="426">
        <f t="shared" si="897"/>
        <v>11458333.333333332</v>
      </c>
      <c r="H1883" s="426">
        <f t="shared" si="897"/>
        <v>11458333.333333332</v>
      </c>
      <c r="I1883" s="426">
        <f t="shared" si="897"/>
        <v>11458333.333333332</v>
      </c>
      <c r="J1883" s="426">
        <f t="shared" si="897"/>
        <v>11458333.333333332</v>
      </c>
      <c r="K1883" s="426">
        <f t="shared" si="897"/>
        <v>11458333.333333332</v>
      </c>
      <c r="L1883" s="426">
        <f t="shared" si="897"/>
        <v>11458333.333333332</v>
      </c>
      <c r="M1883" s="426">
        <f t="shared" si="897"/>
        <v>11458333.333333332</v>
      </c>
      <c r="N1883" s="426">
        <f t="shared" si="897"/>
        <v>11458333.333333332</v>
      </c>
      <c r="O1883" s="69" t="s">
        <v>2097</v>
      </c>
      <c r="Q1883" s="69">
        <v>11057291.666666664</v>
      </c>
    </row>
    <row r="1884" spans="1:17">
      <c r="C1884" s="69" t="s">
        <v>1278</v>
      </c>
      <c r="D1884" s="69" t="s">
        <v>901</v>
      </c>
      <c r="E1884" s="426">
        <f t="shared" ref="E1884:N1884" si="898">calcQ3RevenueY1Q3*4</f>
        <v>17708333.333333336</v>
      </c>
      <c r="F1884" s="426">
        <f t="shared" si="898"/>
        <v>17708333.333333336</v>
      </c>
      <c r="G1884" s="426">
        <f t="shared" si="898"/>
        <v>17708333.333333336</v>
      </c>
      <c r="H1884" s="426">
        <f t="shared" si="898"/>
        <v>17708333.333333336</v>
      </c>
      <c r="I1884" s="426">
        <f t="shared" si="898"/>
        <v>17708333.333333336</v>
      </c>
      <c r="J1884" s="426">
        <f t="shared" si="898"/>
        <v>17708333.333333336</v>
      </c>
      <c r="K1884" s="426">
        <f t="shared" si="898"/>
        <v>17708333.333333336</v>
      </c>
      <c r="L1884" s="426">
        <f t="shared" si="898"/>
        <v>17708333.333333336</v>
      </c>
      <c r="M1884" s="426">
        <f t="shared" si="898"/>
        <v>17708333.333333336</v>
      </c>
      <c r="N1884" s="426">
        <f t="shared" si="898"/>
        <v>17708333.333333336</v>
      </c>
      <c r="O1884" s="69" t="s">
        <v>2098</v>
      </c>
      <c r="Q1884" s="69">
        <v>17088541.666666668</v>
      </c>
    </row>
    <row r="1885" spans="1:17">
      <c r="C1885" s="69" t="s">
        <v>1278</v>
      </c>
      <c r="D1885" s="69" t="s">
        <v>902</v>
      </c>
      <c r="E1885" s="426">
        <f t="shared" ref="E1885:N1885" si="899">calcQ4RevenueY1Q4*4</f>
        <v>26041666.666666664</v>
      </c>
      <c r="F1885" s="426">
        <f t="shared" si="899"/>
        <v>26041666.666666664</v>
      </c>
      <c r="G1885" s="426">
        <f t="shared" si="899"/>
        <v>26041666.666666664</v>
      </c>
      <c r="H1885" s="426">
        <f t="shared" si="899"/>
        <v>26041666.666666664</v>
      </c>
      <c r="I1885" s="426">
        <f t="shared" si="899"/>
        <v>26041666.666666664</v>
      </c>
      <c r="J1885" s="426">
        <f t="shared" si="899"/>
        <v>26041666.666666664</v>
      </c>
      <c r="K1885" s="426">
        <f t="shared" si="899"/>
        <v>26041666.666666664</v>
      </c>
      <c r="L1885" s="426">
        <f t="shared" si="899"/>
        <v>26041666.666666664</v>
      </c>
      <c r="M1885" s="426">
        <f t="shared" si="899"/>
        <v>26041666.666666664</v>
      </c>
      <c r="N1885" s="426">
        <f t="shared" si="899"/>
        <v>26041666.666666664</v>
      </c>
      <c r="O1885" s="69" t="s">
        <v>2099</v>
      </c>
      <c r="Q1885" s="69">
        <v>25130208.333333328</v>
      </c>
    </row>
    <row r="1886" spans="1:17">
      <c r="D1886" s="69" t="s">
        <v>2101</v>
      </c>
      <c r="E1886" s="426">
        <f>SUM(E1882:E1885)</f>
        <v>64583333.333333336</v>
      </c>
      <c r="F1886" s="426">
        <f t="shared" ref="F1886:I1886" si="900">SUM(F1882:F1885)</f>
        <v>64583333.333333336</v>
      </c>
      <c r="G1886" s="426">
        <f t="shared" si="900"/>
        <v>64583333.333333336</v>
      </c>
      <c r="H1886" s="426">
        <f t="shared" si="900"/>
        <v>64583333.333333336</v>
      </c>
      <c r="I1886" s="426">
        <f t="shared" si="900"/>
        <v>64583333.333333336</v>
      </c>
      <c r="J1886" s="426">
        <f t="shared" ref="J1886:N1886" si="901">SUM(J1882:J1885)</f>
        <v>64583333.333333336</v>
      </c>
      <c r="K1886" s="426">
        <f t="shared" si="901"/>
        <v>64583333.333333336</v>
      </c>
      <c r="L1886" s="426">
        <f t="shared" si="901"/>
        <v>64583333.333333336</v>
      </c>
      <c r="M1886" s="426">
        <f t="shared" si="901"/>
        <v>64583333.333333336</v>
      </c>
      <c r="N1886" s="426">
        <f t="shared" si="901"/>
        <v>64583333.333333336</v>
      </c>
      <c r="O1886" s="69" t="s">
        <v>2100</v>
      </c>
      <c r="Q1886" s="69">
        <v>62322916.666666657</v>
      </c>
    </row>
    <row r="1887" spans="1:17">
      <c r="I1887" s="218">
        <f>I1886/Q1886-1</f>
        <v>3.62694300518136E-2</v>
      </c>
      <c r="J1887" s="218" t="e">
        <f t="shared" ref="J1887:N1887" si="902">J1886/R1886-1</f>
        <v>#DIV/0!</v>
      </c>
      <c r="K1887" s="218" t="e">
        <f t="shared" si="902"/>
        <v>#DIV/0!</v>
      </c>
      <c r="L1887" s="218" t="e">
        <f t="shared" si="902"/>
        <v>#DIV/0!</v>
      </c>
      <c r="M1887" s="218" t="e">
        <f t="shared" si="902"/>
        <v>#DIV/0!</v>
      </c>
      <c r="N1887" s="218" t="e">
        <f t="shared" si="902"/>
        <v>#DIV/0!</v>
      </c>
    </row>
    <row r="1888" spans="1:17">
      <c r="C1888" s="69" t="s">
        <v>1279</v>
      </c>
      <c r="D1888" s="69" t="s">
        <v>899</v>
      </c>
      <c r="E1888" s="426">
        <f t="shared" ref="E1888:N1888" si="903">calcY2Q1RevenueY2Q1*4</f>
        <v>11718750</v>
      </c>
      <c r="F1888" s="426">
        <f t="shared" si="903"/>
        <v>11718750</v>
      </c>
      <c r="G1888" s="426">
        <f t="shared" si="903"/>
        <v>11718750</v>
      </c>
      <c r="H1888" s="426">
        <f t="shared" si="903"/>
        <v>11718750</v>
      </c>
      <c r="I1888" s="426">
        <f t="shared" si="903"/>
        <v>11718750</v>
      </c>
      <c r="J1888" s="426">
        <f t="shared" si="903"/>
        <v>11718750</v>
      </c>
      <c r="K1888" s="426">
        <f t="shared" si="903"/>
        <v>11718750</v>
      </c>
      <c r="L1888" s="426">
        <f t="shared" si="903"/>
        <v>11718750</v>
      </c>
      <c r="M1888" s="426">
        <f t="shared" si="903"/>
        <v>11718750</v>
      </c>
      <c r="N1888" s="426">
        <f t="shared" si="903"/>
        <v>11718750</v>
      </c>
      <c r="O1888" s="69" t="s">
        <v>2102</v>
      </c>
      <c r="Q1888" s="69">
        <v>11308593.75</v>
      </c>
    </row>
    <row r="1889" spans="3:17">
      <c r="C1889" s="69" t="s">
        <v>1279</v>
      </c>
      <c r="D1889" s="69" t="s">
        <v>900</v>
      </c>
      <c r="E1889" s="426">
        <f t="shared" ref="E1889:N1889" si="904">calcY2Q2RevenueY2Q2*4</f>
        <v>14322916.666666664</v>
      </c>
      <c r="F1889" s="426">
        <f t="shared" si="904"/>
        <v>14322916.666666664</v>
      </c>
      <c r="G1889" s="426">
        <f t="shared" si="904"/>
        <v>14322916.666666664</v>
      </c>
      <c r="H1889" s="426">
        <f t="shared" si="904"/>
        <v>14322916.666666664</v>
      </c>
      <c r="I1889" s="426">
        <f t="shared" si="904"/>
        <v>14322916.666666664</v>
      </c>
      <c r="J1889" s="426">
        <f t="shared" si="904"/>
        <v>14322916.666666664</v>
      </c>
      <c r="K1889" s="426">
        <f t="shared" si="904"/>
        <v>14322916.666666664</v>
      </c>
      <c r="L1889" s="426">
        <f t="shared" si="904"/>
        <v>14322916.666666664</v>
      </c>
      <c r="M1889" s="426">
        <f t="shared" si="904"/>
        <v>14322916.666666664</v>
      </c>
      <c r="N1889" s="426">
        <f t="shared" si="904"/>
        <v>14322916.666666664</v>
      </c>
      <c r="O1889" s="69" t="s">
        <v>2103</v>
      </c>
      <c r="Q1889" s="69">
        <v>13821614.58333333</v>
      </c>
    </row>
    <row r="1890" spans="3:17">
      <c r="C1890" s="69" t="s">
        <v>1279</v>
      </c>
      <c r="D1890" s="69" t="s">
        <v>901</v>
      </c>
      <c r="E1890" s="426">
        <f t="shared" ref="E1890:N1890" si="905">calcY2Q3RevenueY2Q3*4</f>
        <v>22135416.666666672</v>
      </c>
      <c r="F1890" s="426">
        <f t="shared" si="905"/>
        <v>22135416.666666672</v>
      </c>
      <c r="G1890" s="426">
        <f t="shared" si="905"/>
        <v>22135416.666666672</v>
      </c>
      <c r="H1890" s="426">
        <f t="shared" si="905"/>
        <v>22135416.666666672</v>
      </c>
      <c r="I1890" s="426">
        <f t="shared" si="905"/>
        <v>22135416.666666672</v>
      </c>
      <c r="J1890" s="426">
        <f t="shared" si="905"/>
        <v>22135416.666666672</v>
      </c>
      <c r="K1890" s="426">
        <f t="shared" si="905"/>
        <v>22135416.666666672</v>
      </c>
      <c r="L1890" s="426">
        <f t="shared" si="905"/>
        <v>22135416.666666672</v>
      </c>
      <c r="M1890" s="426">
        <f t="shared" si="905"/>
        <v>22135416.666666672</v>
      </c>
      <c r="N1890" s="426">
        <f t="shared" si="905"/>
        <v>22135416.666666672</v>
      </c>
      <c r="O1890" s="69" t="s">
        <v>2104</v>
      </c>
      <c r="Q1890" s="69">
        <v>21360677.083333336</v>
      </c>
    </row>
    <row r="1891" spans="3:17">
      <c r="C1891" s="69" t="s">
        <v>1279</v>
      </c>
      <c r="D1891" s="69" t="s">
        <v>902</v>
      </c>
      <c r="E1891" s="426">
        <f t="shared" ref="E1891:N1891" si="906">calcY2Q4RevenueY2Q4*4</f>
        <v>32552083.333333328</v>
      </c>
      <c r="F1891" s="426">
        <f t="shared" si="906"/>
        <v>32552083.333333328</v>
      </c>
      <c r="G1891" s="426">
        <f t="shared" si="906"/>
        <v>32552083.333333328</v>
      </c>
      <c r="H1891" s="426">
        <f t="shared" si="906"/>
        <v>32552083.333333328</v>
      </c>
      <c r="I1891" s="426">
        <f t="shared" si="906"/>
        <v>32552083.333333328</v>
      </c>
      <c r="J1891" s="426">
        <f t="shared" si="906"/>
        <v>32552083.333333328</v>
      </c>
      <c r="K1891" s="426">
        <f t="shared" si="906"/>
        <v>32552083.333333328</v>
      </c>
      <c r="L1891" s="426">
        <f t="shared" si="906"/>
        <v>32552083.333333328</v>
      </c>
      <c r="M1891" s="426">
        <f t="shared" si="906"/>
        <v>32552083.333333328</v>
      </c>
      <c r="N1891" s="426">
        <f t="shared" si="906"/>
        <v>32552083.333333328</v>
      </c>
      <c r="O1891" s="69" t="s">
        <v>2105</v>
      </c>
      <c r="Q1891" s="69">
        <v>31412760.41666666</v>
      </c>
    </row>
    <row r="1892" spans="3:17">
      <c r="D1892" s="69" t="s">
        <v>2101</v>
      </c>
      <c r="E1892" s="426">
        <f>SUM(E1888:E1891)</f>
        <v>80729166.666666657</v>
      </c>
      <c r="F1892" s="426">
        <f t="shared" ref="F1892" si="907">SUM(F1888:F1891)</f>
        <v>80729166.666666657</v>
      </c>
      <c r="G1892" s="426">
        <f t="shared" ref="G1892" si="908">SUM(G1888:G1891)</f>
        <v>80729166.666666657</v>
      </c>
      <c r="H1892" s="426">
        <f t="shared" ref="H1892" si="909">SUM(H1888:H1891)</f>
        <v>80729166.666666657</v>
      </c>
      <c r="I1892" s="426">
        <f t="shared" ref="I1892:N1892" si="910">SUM(I1888:I1891)</f>
        <v>80729166.666666657</v>
      </c>
      <c r="J1892" s="426">
        <f t="shared" si="910"/>
        <v>80729166.666666657</v>
      </c>
      <c r="K1892" s="426">
        <f t="shared" si="910"/>
        <v>80729166.666666657</v>
      </c>
      <c r="L1892" s="426">
        <f t="shared" si="910"/>
        <v>80729166.666666657</v>
      </c>
      <c r="M1892" s="426">
        <f t="shared" si="910"/>
        <v>80729166.666666657</v>
      </c>
      <c r="N1892" s="426">
        <f t="shared" si="910"/>
        <v>80729166.666666657</v>
      </c>
      <c r="O1892" s="69" t="s">
        <v>2106</v>
      </c>
      <c r="Q1892" s="69">
        <v>77903645.833333299</v>
      </c>
    </row>
    <row r="1893" spans="3:17">
      <c r="I1893" s="218">
        <f>I1892/Q1892-1</f>
        <v>3.6269430051813822E-2</v>
      </c>
      <c r="J1893" s="218" t="e">
        <f t="shared" ref="J1893:N1893" si="911">J1892/R1892-1</f>
        <v>#DIV/0!</v>
      </c>
      <c r="K1893" s="218" t="e">
        <f t="shared" si="911"/>
        <v>#DIV/0!</v>
      </c>
      <c r="L1893" s="218" t="e">
        <f t="shared" si="911"/>
        <v>#DIV/0!</v>
      </c>
      <c r="M1893" s="218" t="e">
        <f t="shared" si="911"/>
        <v>#DIV/0!</v>
      </c>
      <c r="N1893" s="218" t="e">
        <f t="shared" si="911"/>
        <v>#DIV/0!</v>
      </c>
    </row>
    <row r="1895" spans="3:17">
      <c r="C1895" s="69" t="s">
        <v>2052</v>
      </c>
      <c r="D1895" s="69" t="s">
        <v>899</v>
      </c>
      <c r="E1895" s="426">
        <f t="shared" ref="E1895:N1895" si="912">calcY3Q1RevenueY3Q1*4</f>
        <v>12890625.000000002</v>
      </c>
      <c r="F1895" s="426">
        <f t="shared" si="912"/>
        <v>12890625.000000002</v>
      </c>
      <c r="G1895" s="426">
        <f t="shared" si="912"/>
        <v>12890625.000000002</v>
      </c>
      <c r="H1895" s="426">
        <f t="shared" si="912"/>
        <v>12890625.000000002</v>
      </c>
      <c r="I1895" s="426">
        <f t="shared" si="912"/>
        <v>12890625.000000002</v>
      </c>
      <c r="J1895" s="426">
        <f t="shared" si="912"/>
        <v>12890625.000000002</v>
      </c>
      <c r="K1895" s="426">
        <f t="shared" si="912"/>
        <v>12890625.000000002</v>
      </c>
      <c r="L1895" s="426">
        <f t="shared" si="912"/>
        <v>12890625.000000002</v>
      </c>
      <c r="M1895" s="426">
        <f t="shared" si="912"/>
        <v>12890625.000000002</v>
      </c>
      <c r="N1895" s="426">
        <f t="shared" si="912"/>
        <v>12890625.000000002</v>
      </c>
      <c r="O1895" s="69" t="s">
        <v>2549</v>
      </c>
      <c r="Q1895" s="69">
        <v>11308593.75</v>
      </c>
    </row>
    <row r="1896" spans="3:17">
      <c r="C1896" s="69" t="s">
        <v>2052</v>
      </c>
      <c r="D1896" s="69" t="s">
        <v>900</v>
      </c>
      <c r="E1896" s="426">
        <f t="shared" ref="E1896:N1896" si="913">calcY3Q2RevenueY3Q2*4</f>
        <v>15755208.333333332</v>
      </c>
      <c r="F1896" s="426">
        <f t="shared" si="913"/>
        <v>15755208.333333332</v>
      </c>
      <c r="G1896" s="426">
        <f t="shared" si="913"/>
        <v>15755208.333333332</v>
      </c>
      <c r="H1896" s="426">
        <f t="shared" si="913"/>
        <v>15755208.333333332</v>
      </c>
      <c r="I1896" s="426">
        <f t="shared" si="913"/>
        <v>15755208.333333332</v>
      </c>
      <c r="J1896" s="426">
        <f t="shared" si="913"/>
        <v>15755208.333333332</v>
      </c>
      <c r="K1896" s="426">
        <f t="shared" si="913"/>
        <v>15755208.333333332</v>
      </c>
      <c r="L1896" s="426">
        <f t="shared" si="913"/>
        <v>15755208.333333332</v>
      </c>
      <c r="M1896" s="426">
        <f t="shared" si="913"/>
        <v>15755208.333333332</v>
      </c>
      <c r="N1896" s="426">
        <f t="shared" si="913"/>
        <v>15755208.333333332</v>
      </c>
      <c r="O1896" s="69" t="s">
        <v>2583</v>
      </c>
      <c r="Q1896" s="69">
        <v>13821614.58333333</v>
      </c>
    </row>
    <row r="1897" spans="3:17">
      <c r="C1897" s="69" t="s">
        <v>2052</v>
      </c>
      <c r="D1897" s="69" t="s">
        <v>901</v>
      </c>
      <c r="E1897" s="426">
        <f t="shared" ref="E1897:N1897" si="914">calcY3Q3RevenueY3Q3*4</f>
        <v>24348958.33333334</v>
      </c>
      <c r="F1897" s="426">
        <f t="shared" si="914"/>
        <v>24348958.33333334</v>
      </c>
      <c r="G1897" s="426">
        <f t="shared" si="914"/>
        <v>24348958.33333334</v>
      </c>
      <c r="H1897" s="426">
        <f t="shared" si="914"/>
        <v>24348958.33333334</v>
      </c>
      <c r="I1897" s="426">
        <f t="shared" si="914"/>
        <v>24348958.33333334</v>
      </c>
      <c r="J1897" s="426">
        <f t="shared" si="914"/>
        <v>24348958.33333334</v>
      </c>
      <c r="K1897" s="426">
        <f t="shared" si="914"/>
        <v>24348958.33333334</v>
      </c>
      <c r="L1897" s="426">
        <f t="shared" si="914"/>
        <v>24348958.33333334</v>
      </c>
      <c r="M1897" s="426">
        <f t="shared" si="914"/>
        <v>24348958.33333334</v>
      </c>
      <c r="N1897" s="426">
        <f t="shared" si="914"/>
        <v>24348958.33333334</v>
      </c>
      <c r="O1897" s="69" t="s">
        <v>2616</v>
      </c>
      <c r="Q1897" s="69">
        <v>21360677.083333336</v>
      </c>
    </row>
    <row r="1898" spans="3:17">
      <c r="C1898" s="69" t="s">
        <v>2052</v>
      </c>
      <c r="D1898" s="69" t="s">
        <v>902</v>
      </c>
      <c r="E1898" s="426">
        <f t="shared" ref="E1898:N1898" si="915">calcY3Q4RevenueY3Q4*4</f>
        <v>35807291.666666664</v>
      </c>
      <c r="F1898" s="426">
        <f t="shared" si="915"/>
        <v>35807291.666666664</v>
      </c>
      <c r="G1898" s="426">
        <f t="shared" si="915"/>
        <v>35807291.666666664</v>
      </c>
      <c r="H1898" s="426">
        <f t="shared" si="915"/>
        <v>35807291.666666664</v>
      </c>
      <c r="I1898" s="426">
        <f t="shared" si="915"/>
        <v>35807291.666666664</v>
      </c>
      <c r="J1898" s="426">
        <f t="shared" si="915"/>
        <v>35807291.666666664</v>
      </c>
      <c r="K1898" s="426">
        <f t="shared" si="915"/>
        <v>35807291.666666664</v>
      </c>
      <c r="L1898" s="426">
        <f t="shared" si="915"/>
        <v>35807291.666666664</v>
      </c>
      <c r="M1898" s="426">
        <f t="shared" si="915"/>
        <v>35807291.666666664</v>
      </c>
      <c r="N1898" s="426">
        <f t="shared" si="915"/>
        <v>35807291.666666664</v>
      </c>
      <c r="O1898" s="69" t="s">
        <v>2648</v>
      </c>
      <c r="Q1898" s="69">
        <v>31412760.41666666</v>
      </c>
    </row>
    <row r="1899" spans="3:17">
      <c r="D1899" s="69" t="s">
        <v>2101</v>
      </c>
      <c r="E1899" s="426">
        <f>SUM(E1895:E1898)</f>
        <v>88802083.333333343</v>
      </c>
      <c r="F1899" s="426">
        <f t="shared" ref="F1899:I1899" si="916">SUM(F1895:F1898)</f>
        <v>88802083.333333343</v>
      </c>
      <c r="G1899" s="426">
        <f t="shared" si="916"/>
        <v>88802083.333333343</v>
      </c>
      <c r="H1899" s="426">
        <f t="shared" si="916"/>
        <v>88802083.333333343</v>
      </c>
      <c r="I1899" s="426">
        <f t="shared" si="916"/>
        <v>88802083.333333343</v>
      </c>
      <c r="J1899" s="426">
        <f t="shared" ref="J1899:N1899" si="917">SUM(J1895:J1898)</f>
        <v>88802083.333333343</v>
      </c>
      <c r="K1899" s="426">
        <f t="shared" si="917"/>
        <v>88802083.333333343</v>
      </c>
      <c r="L1899" s="426">
        <f t="shared" si="917"/>
        <v>88802083.333333343</v>
      </c>
      <c r="M1899" s="426">
        <f t="shared" si="917"/>
        <v>88802083.333333343</v>
      </c>
      <c r="N1899" s="426">
        <f t="shared" si="917"/>
        <v>88802083.333333343</v>
      </c>
      <c r="O1899" s="69" t="s">
        <v>2649</v>
      </c>
      <c r="Q1899" s="69">
        <v>77903645.833333328</v>
      </c>
    </row>
    <row r="1900" spans="3:17">
      <c r="I1900" s="218">
        <f>I1899/Q1899-1</f>
        <v>0.13989637305699509</v>
      </c>
      <c r="J1900" s="218" t="e">
        <f t="shared" ref="J1900:N1900" si="918">J1899/R1899-1</f>
        <v>#DIV/0!</v>
      </c>
      <c r="K1900" s="218" t="e">
        <f t="shared" si="918"/>
        <v>#DIV/0!</v>
      </c>
      <c r="L1900" s="218" t="e">
        <f t="shared" si="918"/>
        <v>#DIV/0!</v>
      </c>
      <c r="M1900" s="218" t="e">
        <f t="shared" si="918"/>
        <v>#DIV/0!</v>
      </c>
      <c r="N1900" s="218" t="e">
        <f t="shared" si="918"/>
        <v>#DIV/0!</v>
      </c>
    </row>
    <row r="1901" spans="3:17">
      <c r="C1901" s="69" t="s">
        <v>2408</v>
      </c>
      <c r="D1901" s="69" t="s">
        <v>899</v>
      </c>
      <c r="E1901" s="426">
        <f t="shared" ref="E1901:N1901" si="919">calcY4Q1RevenueY4Q1*4</f>
        <v>13857421.875000002</v>
      </c>
      <c r="F1901" s="426">
        <f t="shared" si="919"/>
        <v>13857421.875000002</v>
      </c>
      <c r="G1901" s="426">
        <f t="shared" si="919"/>
        <v>13857421.875000002</v>
      </c>
      <c r="H1901" s="426">
        <f t="shared" si="919"/>
        <v>13857421.875000002</v>
      </c>
      <c r="I1901" s="426">
        <f t="shared" si="919"/>
        <v>13857421.875000002</v>
      </c>
      <c r="J1901" s="426">
        <f t="shared" si="919"/>
        <v>13857421.875000002</v>
      </c>
      <c r="K1901" s="426">
        <f t="shared" si="919"/>
        <v>13857421.875000002</v>
      </c>
      <c r="L1901" s="426">
        <f t="shared" si="919"/>
        <v>13857421.875000002</v>
      </c>
      <c r="M1901" s="426">
        <f t="shared" si="919"/>
        <v>13857421.875000002</v>
      </c>
      <c r="N1901" s="426">
        <f t="shared" si="919"/>
        <v>13857421.875000002</v>
      </c>
      <c r="O1901" s="69" t="s">
        <v>2940</v>
      </c>
      <c r="Q1901" s="69">
        <v>11308593.75</v>
      </c>
    </row>
    <row r="1902" spans="3:17">
      <c r="C1902" s="69" t="s">
        <v>2408</v>
      </c>
      <c r="D1902" s="69" t="s">
        <v>900</v>
      </c>
      <c r="E1902" s="426">
        <f t="shared" ref="E1902:N1902" si="920">calcY4Q2RevenueY4Q2*4</f>
        <v>16936848.958333332</v>
      </c>
      <c r="F1902" s="426">
        <f t="shared" si="920"/>
        <v>16936848.958333332</v>
      </c>
      <c r="G1902" s="426">
        <f t="shared" si="920"/>
        <v>16936848.958333332</v>
      </c>
      <c r="H1902" s="426">
        <f t="shared" si="920"/>
        <v>16936848.958333332</v>
      </c>
      <c r="I1902" s="426">
        <f t="shared" si="920"/>
        <v>16936848.958333332</v>
      </c>
      <c r="J1902" s="426">
        <f t="shared" si="920"/>
        <v>16936848.958333332</v>
      </c>
      <c r="K1902" s="426">
        <f t="shared" si="920"/>
        <v>16936848.958333332</v>
      </c>
      <c r="L1902" s="426">
        <f t="shared" si="920"/>
        <v>16936848.958333332</v>
      </c>
      <c r="M1902" s="426">
        <f t="shared" si="920"/>
        <v>16936848.958333332</v>
      </c>
      <c r="N1902" s="426">
        <f t="shared" si="920"/>
        <v>16936848.958333332</v>
      </c>
      <c r="O1902" s="69" t="s">
        <v>2941</v>
      </c>
      <c r="Q1902" s="69">
        <v>13821614.58333333</v>
      </c>
    </row>
    <row r="1903" spans="3:17">
      <c r="C1903" s="69" t="s">
        <v>2408</v>
      </c>
      <c r="D1903" s="69" t="s">
        <v>901</v>
      </c>
      <c r="E1903" s="426">
        <f t="shared" ref="E1903:N1903" si="921">calcY4Q3RevenueY4Q3*4</f>
        <v>26175130.20833334</v>
      </c>
      <c r="F1903" s="426">
        <f t="shared" si="921"/>
        <v>26175130.20833334</v>
      </c>
      <c r="G1903" s="426">
        <f t="shared" si="921"/>
        <v>26175130.20833334</v>
      </c>
      <c r="H1903" s="426">
        <f t="shared" si="921"/>
        <v>26175130.20833334</v>
      </c>
      <c r="I1903" s="426">
        <f t="shared" si="921"/>
        <v>26175130.20833334</v>
      </c>
      <c r="J1903" s="426">
        <f t="shared" si="921"/>
        <v>26175130.20833334</v>
      </c>
      <c r="K1903" s="426">
        <f t="shared" si="921"/>
        <v>26175130.20833334</v>
      </c>
      <c r="L1903" s="426">
        <f t="shared" si="921"/>
        <v>26175130.20833334</v>
      </c>
      <c r="M1903" s="426">
        <f t="shared" si="921"/>
        <v>26175130.20833334</v>
      </c>
      <c r="N1903" s="426">
        <f t="shared" si="921"/>
        <v>26175130.20833334</v>
      </c>
      <c r="O1903" s="69" t="s">
        <v>2942</v>
      </c>
      <c r="Q1903" s="69">
        <v>21360677.083333336</v>
      </c>
    </row>
    <row r="1904" spans="3:17">
      <c r="C1904" s="69" t="s">
        <v>2408</v>
      </c>
      <c r="D1904" s="69" t="s">
        <v>902</v>
      </c>
      <c r="E1904" s="426">
        <f t="shared" ref="E1904:N1904" si="922">calcY4Q4RevenueY4Q4*4</f>
        <v>38492838.541666664</v>
      </c>
      <c r="F1904" s="426">
        <f t="shared" si="922"/>
        <v>38492838.541666664</v>
      </c>
      <c r="G1904" s="426">
        <f t="shared" si="922"/>
        <v>38492838.541666664</v>
      </c>
      <c r="H1904" s="426">
        <f t="shared" si="922"/>
        <v>38492838.541666664</v>
      </c>
      <c r="I1904" s="426">
        <f t="shared" si="922"/>
        <v>38492838.541666664</v>
      </c>
      <c r="J1904" s="426">
        <f t="shared" si="922"/>
        <v>38492838.541666664</v>
      </c>
      <c r="K1904" s="426">
        <f t="shared" si="922"/>
        <v>38492838.541666664</v>
      </c>
      <c r="L1904" s="426">
        <f t="shared" si="922"/>
        <v>38492838.541666664</v>
      </c>
      <c r="M1904" s="426">
        <f t="shared" si="922"/>
        <v>38492838.541666664</v>
      </c>
      <c r="N1904" s="426">
        <f t="shared" si="922"/>
        <v>38492838.541666664</v>
      </c>
      <c r="O1904" s="69" t="s">
        <v>2943</v>
      </c>
      <c r="Q1904" s="69">
        <v>31412760.41666666</v>
      </c>
    </row>
    <row r="1905" spans="3:17">
      <c r="D1905" s="69" t="s">
        <v>2101</v>
      </c>
      <c r="E1905" s="426">
        <f>SUM(E1901:E1904)</f>
        <v>95462239.583333343</v>
      </c>
      <c r="F1905" s="426">
        <f t="shared" ref="F1905:I1905" si="923">SUM(F1901:F1904)</f>
        <v>95462239.583333343</v>
      </c>
      <c r="G1905" s="426">
        <f t="shared" si="923"/>
        <v>95462239.583333343</v>
      </c>
      <c r="H1905" s="426">
        <f t="shared" si="923"/>
        <v>95462239.583333343</v>
      </c>
      <c r="I1905" s="426">
        <f t="shared" si="923"/>
        <v>95462239.583333343</v>
      </c>
      <c r="J1905" s="426">
        <f t="shared" ref="J1905:N1905" si="924">SUM(J1901:J1904)</f>
        <v>95462239.583333343</v>
      </c>
      <c r="K1905" s="426">
        <f t="shared" si="924"/>
        <v>95462239.583333343</v>
      </c>
      <c r="L1905" s="426">
        <f t="shared" si="924"/>
        <v>95462239.583333343</v>
      </c>
      <c r="M1905" s="426">
        <f t="shared" si="924"/>
        <v>95462239.583333343</v>
      </c>
      <c r="N1905" s="426">
        <f t="shared" si="924"/>
        <v>95462239.583333343</v>
      </c>
      <c r="O1905" s="69" t="s">
        <v>2944</v>
      </c>
      <c r="Q1905" s="69">
        <v>77903645.833333328</v>
      </c>
    </row>
    <row r="1906" spans="3:17">
      <c r="I1906" s="218">
        <f>I1905/Q1905-1</f>
        <v>0.22538860103626956</v>
      </c>
      <c r="J1906" s="218" t="e">
        <f t="shared" ref="J1906:N1906" si="925">J1905/R1905-1</f>
        <v>#DIV/0!</v>
      </c>
      <c r="K1906" s="218" t="e">
        <f t="shared" si="925"/>
        <v>#DIV/0!</v>
      </c>
      <c r="L1906" s="218" t="e">
        <f t="shared" si="925"/>
        <v>#DIV/0!</v>
      </c>
      <c r="M1906" s="218" t="e">
        <f t="shared" si="925"/>
        <v>#DIV/0!</v>
      </c>
      <c r="N1906" s="218" t="e">
        <f t="shared" si="925"/>
        <v>#DIV/0!</v>
      </c>
    </row>
    <row r="1907" spans="3:17">
      <c r="C1907" s="69" t="s">
        <v>2413</v>
      </c>
      <c r="D1907" s="69" t="s">
        <v>899</v>
      </c>
      <c r="E1907" s="426">
        <f t="shared" ref="E1907:N1907" si="926">calcY5Q1RevenueY5Q1*4</f>
        <v>14550292.968750002</v>
      </c>
      <c r="F1907" s="426">
        <f t="shared" si="926"/>
        <v>14550292.968750002</v>
      </c>
      <c r="G1907" s="426">
        <f t="shared" si="926"/>
        <v>14550292.968750002</v>
      </c>
      <c r="H1907" s="426">
        <f t="shared" si="926"/>
        <v>14550292.968750002</v>
      </c>
      <c r="I1907" s="426">
        <f t="shared" si="926"/>
        <v>14550292.968750002</v>
      </c>
      <c r="J1907" s="426">
        <f t="shared" si="926"/>
        <v>14550292.968750002</v>
      </c>
      <c r="K1907" s="426">
        <f t="shared" si="926"/>
        <v>14550292.968750002</v>
      </c>
      <c r="L1907" s="426">
        <f t="shared" si="926"/>
        <v>14550292.968750002</v>
      </c>
      <c r="M1907" s="426">
        <f t="shared" si="926"/>
        <v>14550292.968750002</v>
      </c>
      <c r="N1907" s="426">
        <f t="shared" si="926"/>
        <v>14550292.968750002</v>
      </c>
      <c r="O1907" s="69" t="s">
        <v>2945</v>
      </c>
      <c r="Q1907" s="69">
        <v>11308593.75</v>
      </c>
    </row>
    <row r="1908" spans="3:17">
      <c r="C1908" s="69" t="s">
        <v>2413</v>
      </c>
      <c r="D1908" s="69" t="s">
        <v>900</v>
      </c>
      <c r="E1908" s="426">
        <f t="shared" ref="E1908:N1908" si="927">calcY5Q2RevenueY5Q2*4</f>
        <v>17783691.40625</v>
      </c>
      <c r="F1908" s="426">
        <f t="shared" si="927"/>
        <v>17783691.40625</v>
      </c>
      <c r="G1908" s="426">
        <f t="shared" si="927"/>
        <v>17783691.40625</v>
      </c>
      <c r="H1908" s="426">
        <f t="shared" si="927"/>
        <v>17783691.40625</v>
      </c>
      <c r="I1908" s="426">
        <f t="shared" si="927"/>
        <v>17783691.40625</v>
      </c>
      <c r="J1908" s="426">
        <f t="shared" si="927"/>
        <v>17783691.40625</v>
      </c>
      <c r="K1908" s="426">
        <f t="shared" si="927"/>
        <v>17783691.40625</v>
      </c>
      <c r="L1908" s="426">
        <f t="shared" si="927"/>
        <v>17783691.40625</v>
      </c>
      <c r="M1908" s="426">
        <f t="shared" si="927"/>
        <v>17783691.40625</v>
      </c>
      <c r="N1908" s="426">
        <f t="shared" si="927"/>
        <v>17783691.40625</v>
      </c>
      <c r="O1908" s="69" t="s">
        <v>2946</v>
      </c>
      <c r="Q1908" s="69">
        <v>13821614.58333333</v>
      </c>
    </row>
    <row r="1909" spans="3:17">
      <c r="C1909" s="69" t="s">
        <v>2413</v>
      </c>
      <c r="D1909" s="69" t="s">
        <v>901</v>
      </c>
      <c r="E1909" s="426">
        <f t="shared" ref="E1909:N1909" si="928">calcY5Q3RevenueY5Q3*4</f>
        <v>27483886.718750007</v>
      </c>
      <c r="F1909" s="426">
        <f t="shared" si="928"/>
        <v>27483886.718750007</v>
      </c>
      <c r="G1909" s="426">
        <f t="shared" si="928"/>
        <v>27483886.718750007</v>
      </c>
      <c r="H1909" s="426">
        <f t="shared" si="928"/>
        <v>27483886.718750007</v>
      </c>
      <c r="I1909" s="426">
        <f t="shared" si="928"/>
        <v>27483886.718750007</v>
      </c>
      <c r="J1909" s="426">
        <f t="shared" si="928"/>
        <v>27483886.718750007</v>
      </c>
      <c r="K1909" s="426">
        <f t="shared" si="928"/>
        <v>27483886.718750007</v>
      </c>
      <c r="L1909" s="426">
        <f t="shared" si="928"/>
        <v>27483886.718750007</v>
      </c>
      <c r="M1909" s="426">
        <f t="shared" si="928"/>
        <v>27483886.718750007</v>
      </c>
      <c r="N1909" s="426">
        <f t="shared" si="928"/>
        <v>27483886.718750007</v>
      </c>
      <c r="O1909" s="69" t="s">
        <v>2947</v>
      </c>
      <c r="Q1909" s="69">
        <v>21360677.083333336</v>
      </c>
    </row>
    <row r="1910" spans="3:17">
      <c r="C1910" s="69" t="s">
        <v>2413</v>
      </c>
      <c r="D1910" s="69" t="s">
        <v>902</v>
      </c>
      <c r="E1910" s="426">
        <f t="shared" ref="E1910:N1910" si="929">calcY5Q4RevenueY5Q4*4</f>
        <v>40417480.46875</v>
      </c>
      <c r="F1910" s="426">
        <f t="shared" si="929"/>
        <v>40417480.46875</v>
      </c>
      <c r="G1910" s="426">
        <f t="shared" si="929"/>
        <v>40417480.46875</v>
      </c>
      <c r="H1910" s="426">
        <f t="shared" si="929"/>
        <v>40417480.46875</v>
      </c>
      <c r="I1910" s="426">
        <f t="shared" si="929"/>
        <v>40417480.46875</v>
      </c>
      <c r="J1910" s="426">
        <f t="shared" si="929"/>
        <v>40417480.46875</v>
      </c>
      <c r="K1910" s="426">
        <f t="shared" si="929"/>
        <v>40417480.46875</v>
      </c>
      <c r="L1910" s="426">
        <f t="shared" si="929"/>
        <v>40417480.46875</v>
      </c>
      <c r="M1910" s="426">
        <f t="shared" si="929"/>
        <v>40417480.46875</v>
      </c>
      <c r="N1910" s="426">
        <f t="shared" si="929"/>
        <v>40417480.46875</v>
      </c>
      <c r="O1910" s="69" t="s">
        <v>2948</v>
      </c>
      <c r="Q1910" s="69">
        <v>31412760.41666666</v>
      </c>
    </row>
    <row r="1911" spans="3:17">
      <c r="D1911" s="69" t="s">
        <v>2101</v>
      </c>
      <c r="E1911" s="426">
        <f>SUM(E1907:E1910)</f>
        <v>100235351.5625</v>
      </c>
      <c r="F1911" s="426">
        <f t="shared" ref="F1911:I1911" si="930">SUM(F1907:F1910)</f>
        <v>100235351.5625</v>
      </c>
      <c r="G1911" s="426">
        <f t="shared" si="930"/>
        <v>100235351.5625</v>
      </c>
      <c r="H1911" s="426">
        <f t="shared" si="930"/>
        <v>100235351.5625</v>
      </c>
      <c r="I1911" s="426">
        <f t="shared" si="930"/>
        <v>100235351.5625</v>
      </c>
      <c r="J1911" s="426">
        <f t="shared" ref="J1911:N1911" si="931">SUM(J1907:J1910)</f>
        <v>100235351.5625</v>
      </c>
      <c r="K1911" s="426">
        <f t="shared" si="931"/>
        <v>100235351.5625</v>
      </c>
      <c r="L1911" s="426">
        <f t="shared" si="931"/>
        <v>100235351.5625</v>
      </c>
      <c r="M1911" s="426">
        <f t="shared" si="931"/>
        <v>100235351.5625</v>
      </c>
      <c r="N1911" s="426">
        <f t="shared" si="931"/>
        <v>100235351.5625</v>
      </c>
      <c r="O1911" s="69" t="s">
        <v>2949</v>
      </c>
      <c r="Q1911" s="69">
        <v>77903645.833333328</v>
      </c>
    </row>
    <row r="1912" spans="3:17">
      <c r="I1912" s="218">
        <f>I1911/Q1911-1</f>
        <v>0.28665803108808308</v>
      </c>
      <c r="J1912" s="218" t="e">
        <f t="shared" ref="J1912:N1912" si="932">J1911/R1911-1</f>
        <v>#DIV/0!</v>
      </c>
      <c r="K1912" s="218" t="e">
        <f t="shared" si="932"/>
        <v>#DIV/0!</v>
      </c>
      <c r="L1912" s="218" t="e">
        <f t="shared" si="932"/>
        <v>#DIV/0!</v>
      </c>
      <c r="M1912" s="218" t="e">
        <f t="shared" si="932"/>
        <v>#DIV/0!</v>
      </c>
      <c r="N1912" s="218" t="e">
        <f t="shared" si="932"/>
        <v>#DIV/0!</v>
      </c>
    </row>
  </sheetData>
  <hyperlinks>
    <hyperlink ref="O373" r:id="rId1" display="calcRealEsateCostY@"/>
    <hyperlink ref="O462" r:id="rId2" display="calcFullOrg62ExpY@"/>
    <hyperlink ref="O498" r:id="rId3" display="calcFullStackExpY@"/>
    <hyperlink ref="O569" r:id="rId4" display="calcFullStackExpY@"/>
    <hyperlink ref="O534" r:id="rId5" display="calcFullStackExpY@"/>
    <hyperlink ref="O605" r:id="rId6" display="calcFullStackExpY@"/>
  </hyperlinks>
  <pageMargins left="0.7" right="0.7" top="0.75" bottom="0.75" header="0.3" footer="0.3"/>
  <pageSetup orientation="portrait" r:id="rId7"/>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6"/>
  </sheetPr>
  <dimension ref="A2:T75"/>
  <sheetViews>
    <sheetView workbookViewId="0">
      <selection activeCell="D9" sqref="D9"/>
    </sheetView>
  </sheetViews>
  <sheetFormatPr defaultRowHeight="13.8"/>
  <cols>
    <col min="1" max="2" width="4.08984375" customWidth="1"/>
    <col min="4" max="4" width="18.90625" customWidth="1"/>
    <col min="5" max="10" width="12.6328125" customWidth="1"/>
    <col min="11" max="14" width="12.6328125" hidden="1" customWidth="1"/>
  </cols>
  <sheetData>
    <row r="2" spans="1:14" s="108" customFormat="1">
      <c r="A2" s="108" t="s">
        <v>3603</v>
      </c>
      <c r="E2" s="108" t="str">
        <f t="shared" ref="E2:N2" si="0">decTeamName</f>
        <v>Snowflake</v>
      </c>
      <c r="F2" s="108" t="str">
        <f t="shared" si="0"/>
        <v>Snowflake</v>
      </c>
      <c r="G2" s="108" t="str">
        <f t="shared" si="0"/>
        <v>Snowflake</v>
      </c>
      <c r="H2" s="108" t="str">
        <f t="shared" si="0"/>
        <v>Snowflake</v>
      </c>
      <c r="I2" s="108" t="str">
        <f t="shared" si="0"/>
        <v>Snowflake</v>
      </c>
      <c r="J2" s="108" t="str">
        <f t="shared" si="0"/>
        <v>Snowflake</v>
      </c>
      <c r="K2" s="108" t="str">
        <f t="shared" si="0"/>
        <v>Snowflake</v>
      </c>
      <c r="L2" s="108" t="str">
        <f t="shared" si="0"/>
        <v>Snowflake</v>
      </c>
      <c r="M2" s="108" t="str">
        <f t="shared" si="0"/>
        <v>Snowflake</v>
      </c>
      <c r="N2" s="108" t="str">
        <f t="shared" si="0"/>
        <v>Snowflake</v>
      </c>
    </row>
    <row r="3" spans="1:14" s="69" customFormat="1">
      <c r="C3" s="217" t="s">
        <v>3602</v>
      </c>
    </row>
    <row r="4" spans="1:14" s="217" customFormat="1">
      <c r="C4" s="217" t="s">
        <v>121</v>
      </c>
      <c r="D4" s="217" t="s">
        <v>41</v>
      </c>
      <c r="E4" s="217" t="s">
        <v>2067</v>
      </c>
      <c r="F4" s="217" t="s">
        <v>3659</v>
      </c>
      <c r="G4" s="217" t="s">
        <v>2153</v>
      </c>
      <c r="H4" s="217" t="s">
        <v>3658</v>
      </c>
      <c r="I4" s="217" t="s">
        <v>1153</v>
      </c>
      <c r="J4" s="217" t="s">
        <v>3037</v>
      </c>
    </row>
    <row r="5" spans="1:14" s="69" customFormat="1">
      <c r="A5" s="69" t="b">
        <f t="shared" ref="A5:A14" si="1">xxNumOfTeams&gt;B5-1</f>
        <v>1</v>
      </c>
      <c r="B5" s="69">
        <v>1</v>
      </c>
      <c r="C5" s="69">
        <f>SMALL(League_Rank,Analysis!$B5)</f>
        <v>1</v>
      </c>
      <c r="D5" s="69" t="str">
        <f>INDEX(Feedback!$E$174:$N$174,,MATCH($C5,Feedback!$E$180:$N$180,0))</f>
        <v>Snowflake (1)</v>
      </c>
      <c r="E5" s="674">
        <f>INDEX(League_TotalScore,,MATCH($D5,League!$E$31:$N$31,0))</f>
        <v>100.00015</v>
      </c>
      <c r="F5" s="811">
        <f>INDEX(Feedback!$E$249:$N$249,,MATCH($D5,Feedback!$E$248:$N$248,0))</f>
        <v>498050988.59179169</v>
      </c>
      <c r="G5" s="812">
        <f>INDEX(Feedback!$E$250:$N$250,,MATCH($D5,Feedback!$E$248:$N$248,0))</f>
        <v>50</v>
      </c>
      <c r="H5" s="812">
        <f>INDEX(Feedback!$E$251:$N$251,,MATCH($D5,Feedback!$E$248:$N$248,0))</f>
        <v>50</v>
      </c>
      <c r="I5" s="812">
        <f>INDEX(Feedback!$E$252:$N$252,,MATCH($D5,Feedback!$E$248:$N$248,0))</f>
        <v>50</v>
      </c>
      <c r="J5" s="813">
        <f>INDEX(Feedback!$E$253:$N$253,,MATCH($D5,Feedback!$E$248:$N$248,0))</f>
        <v>-0.18999999999999992</v>
      </c>
    </row>
    <row r="6" spans="1:14" s="69" customFormat="1">
      <c r="A6" s="69" t="b">
        <f t="shared" si="1"/>
        <v>1</v>
      </c>
      <c r="B6" s="69">
        <v>2</v>
      </c>
      <c r="C6" s="69">
        <f>SMALL(League_Rank,Analysis!$B6)</f>
        <v>2</v>
      </c>
      <c r="D6" s="69" t="str">
        <f>INDEX(Feedback!$E$174:$N$174,,MATCH($C6,Feedback!$E$180:$N$180,0))</f>
        <v>Snowflake (2)</v>
      </c>
      <c r="E6" s="674">
        <f>INDEX(League_TotalScore,,MATCH($D6,League!$E$31:$N$31,0))</f>
        <v>100.000015</v>
      </c>
      <c r="F6" s="811">
        <f>INDEX(Feedback!$E$249:$N$249,,MATCH($D6,Feedback!$E$248:$N$248,0))</f>
        <v>498050988.59179169</v>
      </c>
      <c r="G6" s="812">
        <f>INDEX(Feedback!$E$250:$N$250,,MATCH($D6,Feedback!$E$248:$N$248,0))</f>
        <v>50</v>
      </c>
      <c r="H6" s="812">
        <f>INDEX(Feedback!$E$251:$N$251,,MATCH($D6,Feedback!$E$248:$N$248,0))</f>
        <v>50</v>
      </c>
      <c r="I6" s="812">
        <f>INDEX(Feedback!$E$252:$N$252,,MATCH($D6,Feedback!$E$248:$N$248,0))</f>
        <v>50</v>
      </c>
      <c r="J6" s="813">
        <f>INDEX(Feedback!$E$253:$N$253,,MATCH($D6,Feedback!$E$248:$N$248,0))</f>
        <v>-0.18999999999999992</v>
      </c>
    </row>
    <row r="7" spans="1:14" s="69" customFormat="1">
      <c r="A7" s="69" t="b">
        <f t="shared" si="1"/>
        <v>1</v>
      </c>
      <c r="B7" s="69">
        <v>3</v>
      </c>
      <c r="C7" s="69">
        <f>SMALL(League_Rank,Analysis!$B7)</f>
        <v>3</v>
      </c>
      <c r="D7" s="69" t="str">
        <f>INDEX(Feedback!$E$174:$N$174,,MATCH($C7,Feedback!$E$180:$N$180,0))</f>
        <v>Snowflake (3)</v>
      </c>
      <c r="E7" s="674">
        <f>INDEX(League_TotalScore,,MATCH($D7,League!$E$31:$N$31,0))</f>
        <v>100.0000005</v>
      </c>
      <c r="F7" s="811">
        <f>INDEX(Feedback!$E$249:$N$249,,MATCH($D7,Feedback!$E$248:$N$248,0))</f>
        <v>498050988.59179169</v>
      </c>
      <c r="G7" s="812">
        <f>INDEX(Feedback!$E$250:$N$250,,MATCH($D7,Feedback!$E$248:$N$248,0))</f>
        <v>50</v>
      </c>
      <c r="H7" s="812">
        <f>INDEX(Feedback!$E$251:$N$251,,MATCH($D7,Feedback!$E$248:$N$248,0))</f>
        <v>50</v>
      </c>
      <c r="I7" s="812">
        <f>INDEX(Feedback!$E$252:$N$252,,MATCH($D7,Feedback!$E$248:$N$248,0))</f>
        <v>50</v>
      </c>
      <c r="J7" s="813">
        <f>INDEX(Feedback!$E$253:$N$253,,MATCH($D7,Feedback!$E$248:$N$248,0))</f>
        <v>-0.18999999999999992</v>
      </c>
    </row>
    <row r="8" spans="1:14" s="69" customFormat="1">
      <c r="A8" s="69" t="b">
        <f t="shared" si="1"/>
        <v>1</v>
      </c>
      <c r="B8" s="69">
        <v>4</v>
      </c>
      <c r="C8" s="69">
        <f>SMALL(League_Rank,Analysis!$B8)</f>
        <v>4</v>
      </c>
      <c r="D8" s="69" t="str">
        <f>INDEX(Feedback!$E$174:$N$174,,MATCH($C8,Feedback!$E$180:$N$180,0))</f>
        <v>Snowflake (4)</v>
      </c>
      <c r="E8" s="674">
        <f>INDEX(League_TotalScore,,MATCH($D8,League!$E$31:$N$31,0))</f>
        <v>99.999990050000008</v>
      </c>
      <c r="F8" s="811">
        <f>INDEX(Feedback!$E$249:$N$249,,MATCH($D8,Feedback!$E$248:$N$248,0))</f>
        <v>498050988.59179169</v>
      </c>
      <c r="G8" s="812">
        <f>INDEX(Feedback!$E$250:$N$250,,MATCH($D8,Feedback!$E$248:$N$248,0))</f>
        <v>50</v>
      </c>
      <c r="H8" s="812">
        <f>INDEX(Feedback!$E$251:$N$251,,MATCH($D8,Feedback!$E$248:$N$248,0))</f>
        <v>50</v>
      </c>
      <c r="I8" s="812">
        <f>INDEX(Feedback!$E$252:$N$252,,MATCH($D8,Feedback!$E$248:$N$248,0))</f>
        <v>50</v>
      </c>
      <c r="J8" s="813">
        <f>INDEX(Feedback!$E$253:$N$253,,MATCH($D8,Feedback!$E$248:$N$248,0))</f>
        <v>-0.18999999999999992</v>
      </c>
    </row>
    <row r="9" spans="1:14" s="69" customFormat="1">
      <c r="A9" s="69" t="b">
        <f t="shared" si="1"/>
        <v>1</v>
      </c>
      <c r="B9" s="69">
        <v>5</v>
      </c>
      <c r="C9" s="69">
        <f>SMALL(League_Rank,Analysis!$B9)</f>
        <v>5</v>
      </c>
      <c r="D9" s="69" t="str">
        <f>INDEX(Feedback!$E$174:$N$174,,MATCH($C9,Feedback!$E$180:$N$180,0))</f>
        <v>Snowflake (5)</v>
      </c>
      <c r="E9" s="674">
        <f>INDEX(League_TotalScore,,MATCH($D9,League!$E$31:$N$31,0))</f>
        <v>99.999980004999998</v>
      </c>
      <c r="F9" s="811">
        <f>INDEX(Feedback!$E$249:$N$249,,MATCH($D9,Feedback!$E$248:$N$248,0))</f>
        <v>498050988.59179169</v>
      </c>
      <c r="G9" s="812">
        <f>INDEX(Feedback!$E$250:$N$250,,MATCH($D9,Feedback!$E$248:$N$248,0))</f>
        <v>50</v>
      </c>
      <c r="H9" s="812">
        <f>INDEX(Feedback!$E$251:$N$251,,MATCH($D9,Feedback!$E$248:$N$248,0))</f>
        <v>50</v>
      </c>
      <c r="I9" s="812">
        <f>INDEX(Feedback!$E$252:$N$252,,MATCH($D9,Feedback!$E$248:$N$248,0))</f>
        <v>50</v>
      </c>
      <c r="J9" s="813">
        <f>INDEX(Feedback!$E$253:$N$253,,MATCH($D9,Feedback!$E$248:$N$248,0))</f>
        <v>-0.18999999999999992</v>
      </c>
    </row>
    <row r="10" spans="1:14" s="69" customFormat="1">
      <c r="A10" s="69" t="b">
        <f t="shared" si="1"/>
        <v>1</v>
      </c>
      <c r="B10" s="69">
        <v>6</v>
      </c>
      <c r="C10" s="69">
        <f>SMALL(League_Rank,Analysis!$B10)</f>
        <v>6</v>
      </c>
      <c r="D10" s="69" t="str">
        <f>INDEX(Feedback!$E$174:$N$174,,MATCH($C10,Feedback!$E$180:$N$180,0))</f>
        <v>Snowflake (6)</v>
      </c>
      <c r="E10" s="674">
        <f>INDEX(League_TotalScore,,MATCH($D10,League!$E$31:$N$31,0))</f>
        <v>99.999970004999952</v>
      </c>
      <c r="F10" s="811">
        <f>INDEX(Feedback!$E$249:$N$249,,MATCH($D10,Feedback!$E$248:$N$248,0))</f>
        <v>498050988.59179169</v>
      </c>
      <c r="G10" s="812">
        <f>INDEX(Feedback!$E$250:$N$250,,MATCH($D10,Feedback!$E$248:$N$248,0))</f>
        <v>50</v>
      </c>
      <c r="H10" s="812">
        <f>INDEX(Feedback!$E$251:$N$251,,MATCH($D10,Feedback!$E$248:$N$248,0))</f>
        <v>50</v>
      </c>
      <c r="I10" s="812">
        <f>INDEX(Feedback!$E$252:$N$252,,MATCH($D10,Feedback!$E$248:$N$248,0))</f>
        <v>50</v>
      </c>
      <c r="J10" s="813">
        <f>INDEX(Feedback!$E$253:$N$253,,MATCH($D10,Feedback!$E$248:$N$248,0))</f>
        <v>-0.18999999999999992</v>
      </c>
    </row>
    <row r="11" spans="1:14" s="69" customFormat="1">
      <c r="A11" s="69" t="b">
        <f t="shared" si="1"/>
        <v>0</v>
      </c>
      <c r="B11" s="69">
        <v>7</v>
      </c>
      <c r="C11" s="69">
        <f>SMALL(League_Rank,Analysis!$B11)</f>
        <v>7</v>
      </c>
      <c r="D11" s="69" t="str">
        <f>INDEX(Feedback!$E$174:$N$174,,MATCH($C11,Feedback!$E$180:$N$180,0))</f>
        <v>Snowflake (7)</v>
      </c>
      <c r="E11" s="674">
        <f>INDEX(League_TotalScore,,MATCH($D11,League!$E$31:$N$31,0))</f>
        <v>-3.9995000100000004E-5</v>
      </c>
      <c r="F11" s="811">
        <f>INDEX(Feedback!$E$249:$N$249,,MATCH($D11,Feedback!$E$248:$N$248,0))</f>
        <v>498050988.59179169</v>
      </c>
      <c r="G11" s="812">
        <f>INDEX(Feedback!$E$250:$N$250,,MATCH($D11,Feedback!$E$248:$N$248,0))</f>
        <v>50</v>
      </c>
      <c r="H11" s="812">
        <f>INDEX(Feedback!$E$251:$N$251,,MATCH($D11,Feedback!$E$248:$N$248,0))</f>
        <v>50</v>
      </c>
      <c r="I11" s="812">
        <f>INDEX(Feedback!$E$252:$N$252,,MATCH($D11,Feedback!$E$248:$N$248,0))</f>
        <v>50</v>
      </c>
      <c r="K11" s="813">
        <f>INDEX(Feedback!$E$253:$N$253,,MATCH($D11,Feedback!$E$248:$N$248,0))</f>
        <v>-0.18999999999999992</v>
      </c>
    </row>
    <row r="12" spans="1:14" s="69" customFormat="1">
      <c r="A12" s="69" t="b">
        <f t="shared" si="1"/>
        <v>0</v>
      </c>
      <c r="B12" s="69">
        <v>8</v>
      </c>
      <c r="C12" s="69">
        <f>SMALL(League_Rank,Analysis!$B12)</f>
        <v>8</v>
      </c>
      <c r="D12" s="69" t="str">
        <f>INDEX(Feedback!$E$174:$N$174,,MATCH($C12,Feedback!$E$180:$N$180,0))</f>
        <v>Snowflake (8)</v>
      </c>
      <c r="E12" s="674">
        <f>INDEX(League_TotalScore,,MATCH($D12,League!$E$31:$N$31,0))</f>
        <v>-4.9995000150000006E-5</v>
      </c>
      <c r="F12" s="811">
        <f>INDEX(Feedback!$E$249:$N$249,,MATCH($D12,Feedback!$E$248:$N$248,0))</f>
        <v>498050988.59179169</v>
      </c>
      <c r="G12" s="812">
        <f>INDEX(Feedback!$E$250:$N$250,,MATCH($D12,Feedback!$E$248:$N$248,0))</f>
        <v>50</v>
      </c>
      <c r="H12" s="812">
        <f>INDEX(Feedback!$E$251:$N$251,,MATCH($D12,Feedback!$E$248:$N$248,0))</f>
        <v>50</v>
      </c>
      <c r="I12" s="812">
        <f>INDEX(Feedback!$E$252:$N$252,,MATCH($D12,Feedback!$E$248:$N$248,0))</f>
        <v>50</v>
      </c>
      <c r="K12" s="813">
        <f>INDEX(Feedback!$E$253:$N$253,,MATCH($D12,Feedback!$E$248:$N$248,0))</f>
        <v>-0.18999999999999992</v>
      </c>
    </row>
    <row r="13" spans="1:14" s="69" customFormat="1">
      <c r="A13" s="69" t="b">
        <f t="shared" si="1"/>
        <v>0</v>
      </c>
      <c r="B13" s="69">
        <v>9</v>
      </c>
      <c r="C13" s="69">
        <f>SMALL(League_Rank,Analysis!$B13)</f>
        <v>9</v>
      </c>
      <c r="D13" s="69" t="str">
        <f>INDEX(Feedback!$E$174:$N$174,,MATCH($C13,Feedback!$E$180:$N$180,0))</f>
        <v>Snowflake (9)</v>
      </c>
      <c r="E13" s="674">
        <f>INDEX(League_TotalScore,,MATCH($D13,League!$E$31:$N$31,0))</f>
        <v>-5.9995000200000001E-5</v>
      </c>
      <c r="F13" s="811">
        <f>INDEX(Feedback!$E$249:$N$249,,MATCH($D13,Feedback!$E$248:$N$248,0))</f>
        <v>498050988.59179169</v>
      </c>
      <c r="G13" s="812">
        <f>INDEX(Feedback!$E$250:$N$250,,MATCH($D13,Feedback!$E$248:$N$248,0))</f>
        <v>50</v>
      </c>
      <c r="H13" s="812">
        <f>INDEX(Feedback!$E$251:$N$251,,MATCH($D13,Feedback!$E$248:$N$248,0))</f>
        <v>50</v>
      </c>
      <c r="I13" s="812">
        <f>INDEX(Feedback!$E$252:$N$252,,MATCH($D13,Feedback!$E$248:$N$248,0))</f>
        <v>50</v>
      </c>
      <c r="K13" s="813">
        <f>INDEX(Feedback!$E$253:$N$253,,MATCH($D13,Feedback!$E$248:$N$248,0))</f>
        <v>-0.18999999999999992</v>
      </c>
    </row>
    <row r="14" spans="1:14" s="69" customFormat="1">
      <c r="A14" s="69" t="b">
        <f t="shared" si="1"/>
        <v>0</v>
      </c>
      <c r="B14" s="69">
        <v>10</v>
      </c>
      <c r="C14" s="69">
        <f>SMALL(League_Rank,Analysis!$B14)</f>
        <v>10</v>
      </c>
      <c r="D14" s="69" t="str">
        <f>INDEX(Feedback!$E$174:$N$174,,MATCH($C14,Feedback!$E$180:$N$180,0))</f>
        <v>Snowflake (10)</v>
      </c>
      <c r="E14" s="674">
        <f>INDEX(League_TotalScore,,MATCH($D14,League!$E$31:$N$31,0))</f>
        <v>-6.9995000250000009E-5</v>
      </c>
      <c r="F14" s="811">
        <f>INDEX(Feedback!$E$249:$N$249,,MATCH($D14,Feedback!$E$248:$N$248,0))</f>
        <v>498050988.59179169</v>
      </c>
      <c r="G14" s="812">
        <f>INDEX(Feedback!$E$250:$N$250,,MATCH($D14,Feedback!$E$248:$N$248,0))</f>
        <v>50</v>
      </c>
      <c r="H14" s="812">
        <f>INDEX(Feedback!$E$251:$N$251,,MATCH($D14,Feedback!$E$248:$N$248,0))</f>
        <v>50</v>
      </c>
      <c r="I14" s="812">
        <f>INDEX(Feedback!$E$252:$N$252,,MATCH($D14,Feedback!$E$248:$N$248,0))</f>
        <v>50</v>
      </c>
      <c r="K14" s="813">
        <f>INDEX(Feedback!$E$253:$N$253,,MATCH($D14,Feedback!$E$248:$N$248,0))</f>
        <v>-0.18999999999999992</v>
      </c>
    </row>
    <row r="15" spans="1:14" s="69" customFormat="1">
      <c r="C15" s="217"/>
    </row>
    <row r="16" spans="1:14" s="69" customFormat="1">
      <c r="C16" s="217"/>
    </row>
    <row r="17" spans="3:18" s="69" customFormat="1">
      <c r="C17" s="217"/>
    </row>
    <row r="18" spans="3:18" s="69" customFormat="1">
      <c r="C18" s="217" t="s">
        <v>470</v>
      </c>
    </row>
    <row r="19" spans="3:18" s="69" customFormat="1">
      <c r="D19" s="69" t="s">
        <v>486</v>
      </c>
      <c r="E19" s="504">
        <f t="shared" ref="E19:N19" si="2">obalESAT</f>
        <v>50</v>
      </c>
      <c r="F19" s="504">
        <f t="shared" si="2"/>
        <v>50</v>
      </c>
      <c r="G19" s="504">
        <f t="shared" si="2"/>
        <v>50</v>
      </c>
      <c r="H19" s="504">
        <f t="shared" si="2"/>
        <v>50</v>
      </c>
      <c r="I19" s="504">
        <f t="shared" si="2"/>
        <v>50</v>
      </c>
      <c r="J19" s="504">
        <f t="shared" si="2"/>
        <v>50</v>
      </c>
      <c r="K19" s="504">
        <f t="shared" si="2"/>
        <v>50</v>
      </c>
      <c r="L19" s="504">
        <f t="shared" si="2"/>
        <v>50</v>
      </c>
      <c r="M19" s="504">
        <f t="shared" si="2"/>
        <v>50</v>
      </c>
      <c r="N19" s="504">
        <f t="shared" si="2"/>
        <v>50</v>
      </c>
    </row>
    <row r="20" spans="3:18" s="69" customFormat="1">
      <c r="D20" s="69" t="s">
        <v>1116</v>
      </c>
      <c r="E20" s="504">
        <f t="shared" ref="E20:N20" si="3">calcEEKeyHarm</f>
        <v>0</v>
      </c>
      <c r="F20" s="504">
        <f t="shared" si="3"/>
        <v>0</v>
      </c>
      <c r="G20" s="504">
        <f t="shared" si="3"/>
        <v>0</v>
      </c>
      <c r="H20" s="504">
        <f t="shared" si="3"/>
        <v>0</v>
      </c>
      <c r="I20" s="504">
        <f t="shared" si="3"/>
        <v>0</v>
      </c>
      <c r="J20" s="504">
        <f t="shared" si="3"/>
        <v>0</v>
      </c>
      <c r="K20" s="504">
        <f t="shared" si="3"/>
        <v>0</v>
      </c>
      <c r="L20" s="504">
        <f t="shared" si="3"/>
        <v>0</v>
      </c>
      <c r="M20" s="504">
        <f t="shared" si="3"/>
        <v>0</v>
      </c>
      <c r="N20" s="504">
        <f t="shared" si="3"/>
        <v>0</v>
      </c>
    </row>
    <row r="21" spans="3:18" s="69" customFormat="1">
      <c r="D21" s="69" t="s">
        <v>1116</v>
      </c>
      <c r="E21" s="504">
        <f t="shared" ref="E21:N21" si="4">calcEENonKeyHarm</f>
        <v>0</v>
      </c>
      <c r="F21" s="504">
        <f t="shared" si="4"/>
        <v>0</v>
      </c>
      <c r="G21" s="504">
        <f t="shared" si="4"/>
        <v>0</v>
      </c>
      <c r="H21" s="504">
        <f t="shared" si="4"/>
        <v>0</v>
      </c>
      <c r="I21" s="504">
        <f t="shared" si="4"/>
        <v>0</v>
      </c>
      <c r="J21" s="504">
        <f t="shared" si="4"/>
        <v>0</v>
      </c>
      <c r="K21" s="504">
        <f t="shared" si="4"/>
        <v>0</v>
      </c>
      <c r="L21" s="504">
        <f t="shared" si="4"/>
        <v>0</v>
      </c>
      <c r="M21" s="504">
        <f t="shared" si="4"/>
        <v>0</v>
      </c>
      <c r="N21" s="504">
        <f t="shared" si="4"/>
        <v>0</v>
      </c>
    </row>
    <row r="22" spans="3:18" s="69" customFormat="1">
      <c r="D22" s="69" t="s">
        <v>408</v>
      </c>
      <c r="E22" s="512">
        <f t="shared" ref="E22:N22" si="5">calcEEKeyHarmTime</f>
        <v>0</v>
      </c>
      <c r="F22" s="512">
        <f t="shared" si="5"/>
        <v>0</v>
      </c>
      <c r="G22" s="512">
        <f t="shared" si="5"/>
        <v>0</v>
      </c>
      <c r="H22" s="512">
        <f t="shared" si="5"/>
        <v>0</v>
      </c>
      <c r="I22" s="512">
        <f t="shared" si="5"/>
        <v>0</v>
      </c>
      <c r="J22" s="512">
        <f t="shared" si="5"/>
        <v>0</v>
      </c>
      <c r="K22" s="512">
        <f t="shared" si="5"/>
        <v>0</v>
      </c>
      <c r="L22" s="512">
        <f t="shared" si="5"/>
        <v>0</v>
      </c>
      <c r="M22" s="512">
        <f t="shared" si="5"/>
        <v>0</v>
      </c>
      <c r="N22" s="512">
        <f t="shared" si="5"/>
        <v>0</v>
      </c>
    </row>
    <row r="23" spans="3:18" s="69" customFormat="1">
      <c r="D23" s="69" t="s">
        <v>408</v>
      </c>
      <c r="E23" s="512">
        <f t="shared" ref="E23:N23" si="6">calcEENonKeyHarmTime</f>
        <v>0</v>
      </c>
      <c r="F23" s="512">
        <f t="shared" si="6"/>
        <v>0</v>
      </c>
      <c r="G23" s="512">
        <f t="shared" si="6"/>
        <v>0</v>
      </c>
      <c r="H23" s="512">
        <f t="shared" si="6"/>
        <v>0</v>
      </c>
      <c r="I23" s="512">
        <f t="shared" si="6"/>
        <v>0</v>
      </c>
      <c r="J23" s="512">
        <f t="shared" si="6"/>
        <v>0</v>
      </c>
      <c r="K23" s="512">
        <f t="shared" si="6"/>
        <v>0</v>
      </c>
      <c r="L23" s="512">
        <f t="shared" si="6"/>
        <v>0</v>
      </c>
      <c r="M23" s="512">
        <f t="shared" si="6"/>
        <v>0</v>
      </c>
      <c r="N23" s="512">
        <f t="shared" si="6"/>
        <v>0</v>
      </c>
    </row>
    <row r="24" spans="3:18" s="69" customFormat="1">
      <c r="D24" s="69" t="s">
        <v>1648</v>
      </c>
      <c r="E24" s="512">
        <f t="shared" ref="E24:N24" si="7">calcEEEmpIT</f>
        <v>0</v>
      </c>
      <c r="F24" s="512">
        <f t="shared" si="7"/>
        <v>0</v>
      </c>
      <c r="G24" s="512">
        <f t="shared" si="7"/>
        <v>0</v>
      </c>
      <c r="H24" s="512">
        <f t="shared" si="7"/>
        <v>0</v>
      </c>
      <c r="I24" s="512">
        <f t="shared" si="7"/>
        <v>0</v>
      </c>
      <c r="J24" s="512">
        <f t="shared" si="7"/>
        <v>0</v>
      </c>
      <c r="K24" s="512">
        <f t="shared" si="7"/>
        <v>0</v>
      </c>
      <c r="L24" s="512">
        <f t="shared" si="7"/>
        <v>0</v>
      </c>
      <c r="M24" s="512">
        <f t="shared" si="7"/>
        <v>0</v>
      </c>
      <c r="N24" s="512">
        <f t="shared" si="7"/>
        <v>0</v>
      </c>
    </row>
    <row r="25" spans="3:18" s="69" customFormat="1">
      <c r="D25" s="69" t="s">
        <v>3051</v>
      </c>
      <c r="E25" s="512">
        <f t="shared" ref="E25:N25" si="8">calcEEBackOfficeTimeline</f>
        <v>0</v>
      </c>
      <c r="F25" s="512">
        <f t="shared" si="8"/>
        <v>0</v>
      </c>
      <c r="G25" s="512">
        <f t="shared" si="8"/>
        <v>0</v>
      </c>
      <c r="H25" s="512">
        <f t="shared" si="8"/>
        <v>0</v>
      </c>
      <c r="I25" s="512">
        <f t="shared" si="8"/>
        <v>0</v>
      </c>
      <c r="J25" s="512">
        <f t="shared" si="8"/>
        <v>0</v>
      </c>
      <c r="K25" s="512">
        <f t="shared" si="8"/>
        <v>0</v>
      </c>
      <c r="L25" s="512">
        <f t="shared" si="8"/>
        <v>0</v>
      </c>
      <c r="M25" s="512">
        <f t="shared" si="8"/>
        <v>0</v>
      </c>
      <c r="N25" s="512">
        <f t="shared" si="8"/>
        <v>0</v>
      </c>
    </row>
    <row r="26" spans="3:18" s="69" customFormat="1">
      <c r="D26" s="69" t="s">
        <v>1649</v>
      </c>
      <c r="E26" s="504">
        <f t="shared" ref="E26:N26" si="9">calcEEExternalSales</f>
        <v>0</v>
      </c>
      <c r="F26" s="504">
        <f t="shared" si="9"/>
        <v>0</v>
      </c>
      <c r="G26" s="504">
        <f t="shared" si="9"/>
        <v>0</v>
      </c>
      <c r="H26" s="504">
        <f t="shared" si="9"/>
        <v>0</v>
      </c>
      <c r="I26" s="504">
        <f t="shared" si="9"/>
        <v>0</v>
      </c>
      <c r="J26" s="504">
        <f t="shared" si="9"/>
        <v>0</v>
      </c>
      <c r="K26" s="504">
        <f t="shared" si="9"/>
        <v>0</v>
      </c>
      <c r="L26" s="504">
        <f t="shared" si="9"/>
        <v>0</v>
      </c>
      <c r="M26" s="504">
        <f t="shared" si="9"/>
        <v>0</v>
      </c>
      <c r="N26" s="504">
        <f t="shared" si="9"/>
        <v>0</v>
      </c>
    </row>
    <row r="27" spans="3:18" s="69" customFormat="1">
      <c r="D27" s="69" t="s">
        <v>1154</v>
      </c>
      <c r="E27" s="512">
        <f t="shared" ref="E27:N27" si="10">calcEERealEstate</f>
        <v>0</v>
      </c>
      <c r="F27" s="512">
        <f t="shared" si="10"/>
        <v>0</v>
      </c>
      <c r="G27" s="512">
        <f t="shared" si="10"/>
        <v>0</v>
      </c>
      <c r="H27" s="512">
        <f t="shared" si="10"/>
        <v>0</v>
      </c>
      <c r="I27" s="512">
        <f t="shared" si="10"/>
        <v>0</v>
      </c>
      <c r="J27" s="512">
        <f t="shared" si="10"/>
        <v>0</v>
      </c>
      <c r="K27" s="512">
        <f t="shared" si="10"/>
        <v>0</v>
      </c>
      <c r="L27" s="512">
        <f t="shared" si="10"/>
        <v>0</v>
      </c>
      <c r="M27" s="512">
        <f t="shared" si="10"/>
        <v>0</v>
      </c>
      <c r="N27" s="512">
        <f t="shared" si="10"/>
        <v>0</v>
      </c>
      <c r="P27" s="69">
        <v>1.5</v>
      </c>
      <c r="Q27" s="69">
        <v>-1</v>
      </c>
      <c r="R27" s="69">
        <v>0</v>
      </c>
    </row>
    <row r="28" spans="3:18" s="69" customFormat="1">
      <c r="D28" s="69" t="s">
        <v>1663</v>
      </c>
      <c r="E28" s="512">
        <f t="shared" ref="E28:N28" si="11">calcEESiteInfra</f>
        <v>0</v>
      </c>
      <c r="F28" s="512">
        <f t="shared" si="11"/>
        <v>0</v>
      </c>
      <c r="G28" s="512">
        <f t="shared" si="11"/>
        <v>0</v>
      </c>
      <c r="H28" s="512">
        <f t="shared" si="11"/>
        <v>0</v>
      </c>
      <c r="I28" s="512">
        <f t="shared" si="11"/>
        <v>0</v>
      </c>
      <c r="J28" s="512">
        <f t="shared" si="11"/>
        <v>0</v>
      </c>
      <c r="K28" s="512">
        <f t="shared" si="11"/>
        <v>0</v>
      </c>
      <c r="L28" s="512">
        <f t="shared" si="11"/>
        <v>0</v>
      </c>
      <c r="M28" s="512">
        <f t="shared" si="11"/>
        <v>0</v>
      </c>
      <c r="N28" s="512">
        <f t="shared" si="11"/>
        <v>0</v>
      </c>
      <c r="P28" s="69">
        <v>-2</v>
      </c>
      <c r="Q28" s="69">
        <v>2</v>
      </c>
      <c r="R28" s="69">
        <v>0</v>
      </c>
    </row>
    <row r="29" spans="3:18" s="69" customFormat="1">
      <c r="D29" s="69" t="s">
        <v>1962</v>
      </c>
      <c r="E29" s="512">
        <f t="shared" ref="E29:N29" si="12">calcEEStack</f>
        <v>0</v>
      </c>
      <c r="F29" s="512">
        <f t="shared" si="12"/>
        <v>0</v>
      </c>
      <c r="G29" s="512">
        <f t="shared" si="12"/>
        <v>0</v>
      </c>
      <c r="H29" s="512">
        <f t="shared" si="12"/>
        <v>0</v>
      </c>
      <c r="I29" s="512">
        <f t="shared" si="12"/>
        <v>0</v>
      </c>
      <c r="J29" s="512">
        <f t="shared" si="12"/>
        <v>0</v>
      </c>
      <c r="K29" s="512">
        <f t="shared" si="12"/>
        <v>0</v>
      </c>
      <c r="L29" s="512">
        <f t="shared" si="12"/>
        <v>0</v>
      </c>
      <c r="M29" s="512">
        <f t="shared" si="12"/>
        <v>0</v>
      </c>
      <c r="N29" s="512">
        <f t="shared" si="12"/>
        <v>0</v>
      </c>
    </row>
    <row r="30" spans="3:18" s="69" customFormat="1">
      <c r="D30" s="69" t="s">
        <v>1151</v>
      </c>
      <c r="E30" s="504">
        <f t="shared" ref="E30:N30" si="13">calcEEOrg62</f>
        <v>0</v>
      </c>
      <c r="F30" s="504">
        <f t="shared" si="13"/>
        <v>0</v>
      </c>
      <c r="G30" s="504">
        <f t="shared" si="13"/>
        <v>0</v>
      </c>
      <c r="H30" s="504">
        <f t="shared" si="13"/>
        <v>0</v>
      </c>
      <c r="I30" s="504">
        <f t="shared" si="13"/>
        <v>0</v>
      </c>
      <c r="J30" s="504">
        <f t="shared" si="13"/>
        <v>0</v>
      </c>
      <c r="K30" s="504">
        <f t="shared" si="13"/>
        <v>0</v>
      </c>
      <c r="L30" s="504">
        <f t="shared" si="13"/>
        <v>0</v>
      </c>
      <c r="M30" s="504">
        <f t="shared" si="13"/>
        <v>0</v>
      </c>
      <c r="N30" s="504">
        <f t="shared" si="13"/>
        <v>0</v>
      </c>
    </row>
    <row r="31" spans="3:18" s="69" customFormat="1">
      <c r="D31" s="69" t="s">
        <v>1944</v>
      </c>
      <c r="E31" s="512">
        <f t="shared" ref="E31:N31" si="14">calcEERiskMitP0</f>
        <v>0</v>
      </c>
      <c r="F31" s="512">
        <f t="shared" si="14"/>
        <v>0</v>
      </c>
      <c r="G31" s="512">
        <f t="shared" si="14"/>
        <v>0</v>
      </c>
      <c r="H31" s="512">
        <f t="shared" si="14"/>
        <v>0</v>
      </c>
      <c r="I31" s="512">
        <f t="shared" si="14"/>
        <v>0</v>
      </c>
      <c r="J31" s="512">
        <f t="shared" si="14"/>
        <v>0</v>
      </c>
      <c r="K31" s="512">
        <f t="shared" si="14"/>
        <v>0</v>
      </c>
      <c r="L31" s="512">
        <f t="shared" si="14"/>
        <v>0</v>
      </c>
      <c r="M31" s="512">
        <f t="shared" si="14"/>
        <v>0</v>
      </c>
      <c r="N31" s="512">
        <f t="shared" si="14"/>
        <v>0</v>
      </c>
    </row>
    <row r="32" spans="3:18" s="69" customFormat="1">
      <c r="D32" s="69" t="s">
        <v>1951</v>
      </c>
      <c r="E32" s="512">
        <f t="shared" ref="E32:N32" si="15">calcEERiskMitP1</f>
        <v>0</v>
      </c>
      <c r="F32" s="512">
        <f t="shared" si="15"/>
        <v>0</v>
      </c>
      <c r="G32" s="512">
        <f t="shared" si="15"/>
        <v>0</v>
      </c>
      <c r="H32" s="512">
        <f t="shared" si="15"/>
        <v>0</v>
      </c>
      <c r="I32" s="512">
        <f t="shared" si="15"/>
        <v>0</v>
      </c>
      <c r="J32" s="512">
        <f t="shared" si="15"/>
        <v>0</v>
      </c>
      <c r="K32" s="512">
        <f t="shared" si="15"/>
        <v>0</v>
      </c>
      <c r="L32" s="512">
        <f t="shared" si="15"/>
        <v>0</v>
      </c>
      <c r="M32" s="512">
        <f t="shared" si="15"/>
        <v>0</v>
      </c>
      <c r="N32" s="512">
        <f t="shared" si="15"/>
        <v>0</v>
      </c>
    </row>
    <row r="33" spans="3:14" s="69" customFormat="1">
      <c r="D33" s="69" t="s">
        <v>2087</v>
      </c>
      <c r="E33" s="512">
        <f t="shared" ref="E33:N33" si="16">calcEERiskMitP2</f>
        <v>0</v>
      </c>
      <c r="F33" s="512">
        <f t="shared" si="16"/>
        <v>0</v>
      </c>
      <c r="G33" s="512">
        <f t="shared" si="16"/>
        <v>0</v>
      </c>
      <c r="H33" s="512">
        <f t="shared" si="16"/>
        <v>0</v>
      </c>
      <c r="I33" s="512">
        <f t="shared" si="16"/>
        <v>0</v>
      </c>
      <c r="J33" s="512">
        <f t="shared" si="16"/>
        <v>0</v>
      </c>
      <c r="K33" s="512">
        <f t="shared" si="16"/>
        <v>0</v>
      </c>
      <c r="L33" s="512">
        <f t="shared" si="16"/>
        <v>0</v>
      </c>
      <c r="M33" s="512">
        <f t="shared" si="16"/>
        <v>0</v>
      </c>
      <c r="N33" s="512">
        <f t="shared" si="16"/>
        <v>0</v>
      </c>
    </row>
    <row r="34" spans="3:14" s="69" customFormat="1">
      <c r="D34" s="69" t="s">
        <v>1655</v>
      </c>
      <c r="E34" s="512">
        <f t="shared" ref="E34:N34" si="17">calcEEEvents</f>
        <v>0</v>
      </c>
      <c r="F34" s="512">
        <f t="shared" si="17"/>
        <v>0</v>
      </c>
      <c r="G34" s="512">
        <f t="shared" si="17"/>
        <v>0</v>
      </c>
      <c r="H34" s="512">
        <f t="shared" si="17"/>
        <v>0</v>
      </c>
      <c r="I34" s="512">
        <f t="shared" si="17"/>
        <v>0</v>
      </c>
      <c r="J34" s="512">
        <f t="shared" si="17"/>
        <v>0</v>
      </c>
      <c r="K34" s="512">
        <f t="shared" si="17"/>
        <v>0</v>
      </c>
      <c r="L34" s="512">
        <f t="shared" si="17"/>
        <v>0</v>
      </c>
      <c r="M34" s="512">
        <f t="shared" si="17"/>
        <v>0</v>
      </c>
      <c r="N34" s="512">
        <f t="shared" si="17"/>
        <v>0</v>
      </c>
    </row>
    <row r="35" spans="3:14" s="69" customFormat="1" ht="6" customHeight="1">
      <c r="E35" s="510"/>
      <c r="F35" s="510"/>
      <c r="G35" s="510"/>
      <c r="H35" s="510"/>
      <c r="I35" s="510"/>
      <c r="J35" s="510"/>
      <c r="K35" s="510"/>
      <c r="L35" s="510"/>
      <c r="M35" s="510"/>
      <c r="N35" s="510"/>
    </row>
    <row r="36" spans="3:14" s="217" customFormat="1">
      <c r="D36" s="217" t="s">
        <v>487</v>
      </c>
      <c r="E36" s="502">
        <f t="shared" ref="E36:N36" si="18">calcESATBeforeTheoretical</f>
        <v>50</v>
      </c>
      <c r="F36" s="502">
        <f t="shared" si="18"/>
        <v>50</v>
      </c>
      <c r="G36" s="502">
        <f t="shared" si="18"/>
        <v>50</v>
      </c>
      <c r="H36" s="502">
        <f t="shared" si="18"/>
        <v>50</v>
      </c>
      <c r="I36" s="502">
        <f t="shared" si="18"/>
        <v>50</v>
      </c>
      <c r="J36" s="502">
        <f t="shared" si="18"/>
        <v>50</v>
      </c>
      <c r="K36" s="502">
        <f t="shared" si="18"/>
        <v>50</v>
      </c>
      <c r="L36" s="502">
        <f t="shared" si="18"/>
        <v>50</v>
      </c>
      <c r="M36" s="502">
        <f t="shared" si="18"/>
        <v>50</v>
      </c>
      <c r="N36" s="502">
        <f t="shared" si="18"/>
        <v>50</v>
      </c>
    </row>
    <row r="37" spans="3:14" s="217" customFormat="1">
      <c r="D37" s="217" t="s">
        <v>3035</v>
      </c>
      <c r="E37" s="502">
        <f t="shared" ref="E37:N37" si="19">calcEEEvents_1</f>
        <v>0</v>
      </c>
      <c r="F37" s="502">
        <f t="shared" si="19"/>
        <v>0</v>
      </c>
      <c r="G37" s="502">
        <f t="shared" si="19"/>
        <v>0</v>
      </c>
      <c r="H37" s="502">
        <f t="shared" si="19"/>
        <v>0</v>
      </c>
      <c r="I37" s="502">
        <f t="shared" si="19"/>
        <v>0</v>
      </c>
      <c r="J37" s="502">
        <f t="shared" si="19"/>
        <v>0</v>
      </c>
      <c r="K37" s="502">
        <f t="shared" si="19"/>
        <v>0</v>
      </c>
      <c r="L37" s="502">
        <f t="shared" si="19"/>
        <v>0</v>
      </c>
      <c r="M37" s="502">
        <f t="shared" si="19"/>
        <v>0</v>
      </c>
      <c r="N37" s="502">
        <f t="shared" si="19"/>
        <v>0</v>
      </c>
    </row>
    <row r="38" spans="3:14" s="217" customFormat="1">
      <c r="E38" s="502">
        <f t="shared" ref="E38:N38" si="20">calcESAT</f>
        <v>50</v>
      </c>
      <c r="F38" s="502">
        <f t="shared" si="20"/>
        <v>50</v>
      </c>
      <c r="G38" s="502">
        <f t="shared" si="20"/>
        <v>50</v>
      </c>
      <c r="H38" s="502">
        <f t="shared" si="20"/>
        <v>50</v>
      </c>
      <c r="I38" s="502">
        <f t="shared" si="20"/>
        <v>50</v>
      </c>
      <c r="J38" s="502">
        <f t="shared" si="20"/>
        <v>50</v>
      </c>
      <c r="K38" s="502">
        <f t="shared" si="20"/>
        <v>50</v>
      </c>
      <c r="L38" s="502">
        <f t="shared" si="20"/>
        <v>50</v>
      </c>
      <c r="M38" s="502">
        <f t="shared" si="20"/>
        <v>50</v>
      </c>
      <c r="N38" s="502">
        <f t="shared" si="20"/>
        <v>50</v>
      </c>
    </row>
    <row r="39" spans="3:14" s="217" customFormat="1">
      <c r="E39" s="502"/>
      <c r="F39" s="502"/>
      <c r="G39" s="502"/>
      <c r="H39" s="502"/>
      <c r="I39" s="502"/>
      <c r="J39" s="502"/>
      <c r="K39" s="502"/>
      <c r="L39" s="502"/>
      <c r="M39" s="502"/>
      <c r="N39" s="502"/>
    </row>
    <row r="40" spans="3:14" s="69" customFormat="1"/>
    <row r="41" spans="3:14" s="69" customFormat="1">
      <c r="C41" s="217"/>
      <c r="D41" s="69" t="s">
        <v>2156</v>
      </c>
      <c r="E41" s="454"/>
      <c r="F41" s="454"/>
      <c r="G41" s="454"/>
      <c r="H41" s="454"/>
      <c r="I41" s="454"/>
      <c r="J41" s="454"/>
      <c r="K41" s="454"/>
      <c r="L41" s="454"/>
      <c r="M41" s="454"/>
      <c r="N41" s="454"/>
    </row>
    <row r="42" spans="3:14" s="69" customFormat="1">
      <c r="D42" s="69" t="s">
        <v>2157</v>
      </c>
      <c r="E42" s="454"/>
      <c r="F42" s="454"/>
      <c r="G42" s="454"/>
      <c r="H42" s="454"/>
      <c r="I42" s="454"/>
      <c r="J42" s="454"/>
      <c r="K42" s="454"/>
      <c r="L42" s="454"/>
      <c r="M42" s="454"/>
      <c r="N42" s="454"/>
    </row>
    <row r="43" spans="3:14" s="69" customFormat="1">
      <c r="E43" s="454"/>
    </row>
    <row r="44" spans="3:14" s="69" customFormat="1">
      <c r="E44" s="454"/>
    </row>
    <row r="45" spans="3:14" s="69" customFormat="1">
      <c r="C45" s="217" t="s">
        <v>406</v>
      </c>
    </row>
    <row r="46" spans="3:14" s="69" customFormat="1">
      <c r="D46" s="69" t="s">
        <v>486</v>
      </c>
      <c r="E46" s="504">
        <f t="shared" ref="E46:N46" si="21">obalNPS</f>
        <v>50</v>
      </c>
      <c r="F46" s="504">
        <f t="shared" si="21"/>
        <v>50</v>
      </c>
      <c r="G46" s="504">
        <f t="shared" si="21"/>
        <v>50</v>
      </c>
      <c r="H46" s="504">
        <f t="shared" si="21"/>
        <v>50</v>
      </c>
      <c r="I46" s="504">
        <f t="shared" si="21"/>
        <v>50</v>
      </c>
      <c r="J46" s="504">
        <f t="shared" si="21"/>
        <v>50</v>
      </c>
      <c r="K46" s="504">
        <f t="shared" si="21"/>
        <v>50</v>
      </c>
      <c r="L46" s="504">
        <f t="shared" si="21"/>
        <v>50</v>
      </c>
      <c r="M46" s="504">
        <f t="shared" si="21"/>
        <v>50</v>
      </c>
      <c r="N46" s="504">
        <f t="shared" si="21"/>
        <v>50</v>
      </c>
    </row>
    <row r="47" spans="3:14" s="69" customFormat="1">
      <c r="D47" s="69" t="s">
        <v>1962</v>
      </c>
      <c r="E47" s="512">
        <f t="shared" ref="E47:N47" si="22">calcNPSStackFocus</f>
        <v>0</v>
      </c>
      <c r="F47" s="512">
        <f t="shared" si="22"/>
        <v>0</v>
      </c>
      <c r="G47" s="512">
        <f t="shared" si="22"/>
        <v>0</v>
      </c>
      <c r="H47" s="512">
        <f t="shared" si="22"/>
        <v>0</v>
      </c>
      <c r="I47" s="512">
        <f t="shared" si="22"/>
        <v>0</v>
      </c>
      <c r="J47" s="512">
        <f t="shared" si="22"/>
        <v>0</v>
      </c>
      <c r="K47" s="512">
        <f t="shared" si="22"/>
        <v>0</v>
      </c>
      <c r="L47" s="512">
        <f t="shared" si="22"/>
        <v>0</v>
      </c>
      <c r="M47" s="512">
        <f t="shared" si="22"/>
        <v>0</v>
      </c>
      <c r="N47" s="512">
        <f t="shared" si="22"/>
        <v>0</v>
      </c>
    </row>
    <row r="48" spans="3:14" s="69" customFormat="1">
      <c r="D48" s="69" t="s">
        <v>1649</v>
      </c>
      <c r="E48" s="504">
        <f t="shared" ref="E48:N48" si="23">calcNPSExternalSales</f>
        <v>0</v>
      </c>
      <c r="F48" s="504">
        <f t="shared" si="23"/>
        <v>0</v>
      </c>
      <c r="G48" s="504">
        <f t="shared" si="23"/>
        <v>0</v>
      </c>
      <c r="H48" s="504">
        <f t="shared" si="23"/>
        <v>0</v>
      </c>
      <c r="I48" s="504">
        <f t="shared" si="23"/>
        <v>0</v>
      </c>
      <c r="J48" s="504">
        <f t="shared" si="23"/>
        <v>0</v>
      </c>
      <c r="K48" s="504">
        <f t="shared" si="23"/>
        <v>0</v>
      </c>
      <c r="L48" s="504">
        <f t="shared" si="23"/>
        <v>0</v>
      </c>
      <c r="M48" s="504">
        <f t="shared" si="23"/>
        <v>0</v>
      </c>
      <c r="N48" s="504">
        <f t="shared" si="23"/>
        <v>0</v>
      </c>
    </row>
    <row r="49" spans="3:20" s="69" customFormat="1">
      <c r="D49" s="69" t="s">
        <v>2284</v>
      </c>
      <c r="E49" s="504">
        <f t="shared" ref="E49:N49" si="24">calcNPSCSGPostSales</f>
        <v>0</v>
      </c>
      <c r="F49" s="504">
        <f t="shared" si="24"/>
        <v>0</v>
      </c>
      <c r="G49" s="504">
        <f t="shared" si="24"/>
        <v>0</v>
      </c>
      <c r="H49" s="504">
        <f t="shared" si="24"/>
        <v>0</v>
      </c>
      <c r="I49" s="504">
        <f t="shared" si="24"/>
        <v>0</v>
      </c>
      <c r="J49" s="504">
        <f t="shared" si="24"/>
        <v>0</v>
      </c>
      <c r="K49" s="504">
        <f t="shared" si="24"/>
        <v>0</v>
      </c>
      <c r="L49" s="504">
        <f t="shared" si="24"/>
        <v>0</v>
      </c>
      <c r="M49" s="504">
        <f t="shared" si="24"/>
        <v>0</v>
      </c>
      <c r="N49" s="504">
        <f t="shared" si="24"/>
        <v>0</v>
      </c>
    </row>
    <row r="50" spans="3:20" s="69" customFormat="1">
      <c r="D50" s="69" t="s">
        <v>3079</v>
      </c>
      <c r="E50" s="504">
        <f t="shared" ref="E50:N50" si="25">calcNPSBrandIntegration</f>
        <v>0</v>
      </c>
      <c r="F50" s="504">
        <f t="shared" si="25"/>
        <v>0</v>
      </c>
      <c r="G50" s="504">
        <f t="shared" si="25"/>
        <v>0</v>
      </c>
      <c r="H50" s="504">
        <f t="shared" si="25"/>
        <v>0</v>
      </c>
      <c r="I50" s="504">
        <f t="shared" si="25"/>
        <v>0</v>
      </c>
      <c r="J50" s="504">
        <f t="shared" si="25"/>
        <v>0</v>
      </c>
      <c r="K50" s="504">
        <f t="shared" si="25"/>
        <v>0</v>
      </c>
      <c r="L50" s="504">
        <f t="shared" si="25"/>
        <v>0</v>
      </c>
      <c r="M50" s="504">
        <f t="shared" si="25"/>
        <v>0</v>
      </c>
      <c r="N50" s="504">
        <f t="shared" si="25"/>
        <v>0</v>
      </c>
    </row>
    <row r="51" spans="3:20" s="69" customFormat="1">
      <c r="D51" s="69" t="s">
        <v>1151</v>
      </c>
      <c r="E51" s="504">
        <f t="shared" ref="E51:N51" si="26">calcNPSOrg62</f>
        <v>0</v>
      </c>
      <c r="F51" s="504">
        <f t="shared" si="26"/>
        <v>0</v>
      </c>
      <c r="G51" s="504">
        <f t="shared" si="26"/>
        <v>0</v>
      </c>
      <c r="H51" s="504">
        <f t="shared" si="26"/>
        <v>0</v>
      </c>
      <c r="I51" s="504">
        <f t="shared" si="26"/>
        <v>0</v>
      </c>
      <c r="J51" s="504">
        <f t="shared" si="26"/>
        <v>0</v>
      </c>
      <c r="K51" s="504">
        <f t="shared" si="26"/>
        <v>0</v>
      </c>
      <c r="L51" s="504">
        <f t="shared" si="26"/>
        <v>0</v>
      </c>
      <c r="M51" s="504">
        <f t="shared" si="26"/>
        <v>0</v>
      </c>
      <c r="N51" s="504">
        <f t="shared" si="26"/>
        <v>0</v>
      </c>
    </row>
    <row r="52" spans="3:20" s="69" customFormat="1">
      <c r="D52" s="69" t="s">
        <v>1655</v>
      </c>
      <c r="E52" s="504">
        <f t="shared" ref="E52:N52" si="27">calcNPSEvents</f>
        <v>0</v>
      </c>
      <c r="F52" s="504">
        <f t="shared" si="27"/>
        <v>0</v>
      </c>
      <c r="G52" s="504">
        <f t="shared" si="27"/>
        <v>0</v>
      </c>
      <c r="H52" s="504">
        <f t="shared" si="27"/>
        <v>0</v>
      </c>
      <c r="I52" s="504">
        <f t="shared" si="27"/>
        <v>0</v>
      </c>
      <c r="J52" s="504">
        <f t="shared" si="27"/>
        <v>0</v>
      </c>
      <c r="K52" s="504">
        <f t="shared" si="27"/>
        <v>0</v>
      </c>
      <c r="L52" s="504">
        <f t="shared" si="27"/>
        <v>0</v>
      </c>
      <c r="M52" s="504">
        <f t="shared" si="27"/>
        <v>0</v>
      </c>
      <c r="N52" s="504">
        <f t="shared" si="27"/>
        <v>0</v>
      </c>
    </row>
    <row r="53" spans="3:20" s="69" customFormat="1" ht="6" customHeight="1">
      <c r="E53" s="216"/>
      <c r="F53" s="216"/>
      <c r="G53" s="216"/>
      <c r="H53" s="216"/>
      <c r="I53" s="216"/>
      <c r="J53" s="216"/>
      <c r="K53" s="216"/>
      <c r="L53" s="216"/>
      <c r="M53" s="216"/>
      <c r="N53" s="216"/>
    </row>
    <row r="54" spans="3:20" s="217" customFormat="1">
      <c r="D54" s="217" t="s">
        <v>487</v>
      </c>
      <c r="E54" s="502">
        <f t="shared" ref="E54:N54" si="28">calcNPS</f>
        <v>50</v>
      </c>
      <c r="F54" s="502">
        <f t="shared" si="28"/>
        <v>50</v>
      </c>
      <c r="G54" s="502">
        <f t="shared" si="28"/>
        <v>50</v>
      </c>
      <c r="H54" s="502">
        <f t="shared" si="28"/>
        <v>50</v>
      </c>
      <c r="I54" s="502">
        <f t="shared" si="28"/>
        <v>50</v>
      </c>
      <c r="J54" s="502">
        <f t="shared" si="28"/>
        <v>50</v>
      </c>
      <c r="K54" s="502">
        <f t="shared" si="28"/>
        <v>50</v>
      </c>
      <c r="L54" s="502">
        <f t="shared" si="28"/>
        <v>50</v>
      </c>
      <c r="M54" s="502">
        <f t="shared" si="28"/>
        <v>50</v>
      </c>
      <c r="N54" s="502">
        <f t="shared" si="28"/>
        <v>50</v>
      </c>
    </row>
    <row r="55" spans="3:20" s="69" customFormat="1"/>
    <row r="56" spans="3:20" s="69" customFormat="1"/>
    <row r="57" spans="3:20" s="69" customFormat="1">
      <c r="C57" s="217" t="s">
        <v>2032</v>
      </c>
    </row>
    <row r="58" spans="3:20" s="69" customFormat="1">
      <c r="D58" s="69" t="s">
        <v>486</v>
      </c>
      <c r="E58" s="218"/>
      <c r="F58" s="218"/>
      <c r="G58" s="218"/>
      <c r="H58" s="218"/>
      <c r="I58" s="218"/>
      <c r="J58" s="218"/>
      <c r="K58" s="218"/>
      <c r="L58" s="218"/>
      <c r="M58" s="218"/>
      <c r="N58" s="218"/>
      <c r="P58" s="217"/>
      <c r="Q58" s="217"/>
      <c r="R58" s="217"/>
      <c r="S58" s="217"/>
      <c r="T58" s="217"/>
    </row>
    <row r="59" spans="3:20" s="69" customFormat="1">
      <c r="D59" s="69" t="s">
        <v>2179</v>
      </c>
      <c r="E59" s="218">
        <f t="shared" ref="E59:N59" si="29">calcExecVelocOrg62</f>
        <v>0</v>
      </c>
      <c r="F59" s="218">
        <f t="shared" si="29"/>
        <v>0</v>
      </c>
      <c r="G59" s="218">
        <f t="shared" si="29"/>
        <v>0</v>
      </c>
      <c r="H59" s="218">
        <f t="shared" si="29"/>
        <v>0</v>
      </c>
      <c r="I59" s="218">
        <f t="shared" si="29"/>
        <v>0</v>
      </c>
      <c r="J59" s="218">
        <f t="shared" si="29"/>
        <v>0</v>
      </c>
      <c r="K59" s="218">
        <f t="shared" si="29"/>
        <v>0</v>
      </c>
      <c r="L59" s="218">
        <f t="shared" si="29"/>
        <v>0</v>
      </c>
      <c r="M59" s="218">
        <f t="shared" si="29"/>
        <v>0</v>
      </c>
      <c r="N59" s="218">
        <f t="shared" si="29"/>
        <v>0</v>
      </c>
      <c r="P59" s="482"/>
      <c r="Q59" s="482"/>
      <c r="R59" s="482"/>
      <c r="S59" s="482"/>
      <c r="T59" s="482"/>
    </row>
    <row r="60" spans="3:20" s="69" customFormat="1">
      <c r="D60" s="69" t="s">
        <v>408</v>
      </c>
      <c r="E60" s="218">
        <f t="shared" ref="E60:N60" si="30">calcExecVelocHarmTimeline</f>
        <v>0</v>
      </c>
      <c r="F60" s="218">
        <f t="shared" si="30"/>
        <v>0</v>
      </c>
      <c r="G60" s="218">
        <f t="shared" si="30"/>
        <v>0</v>
      </c>
      <c r="H60" s="218">
        <f t="shared" si="30"/>
        <v>0</v>
      </c>
      <c r="I60" s="218">
        <f t="shared" si="30"/>
        <v>0</v>
      </c>
      <c r="J60" s="218">
        <f t="shared" si="30"/>
        <v>0</v>
      </c>
      <c r="K60" s="218">
        <f t="shared" si="30"/>
        <v>0</v>
      </c>
      <c r="L60" s="218">
        <f t="shared" si="30"/>
        <v>0</v>
      </c>
      <c r="M60" s="218">
        <f t="shared" si="30"/>
        <v>0</v>
      </c>
      <c r="N60" s="218">
        <f t="shared" si="30"/>
        <v>0</v>
      </c>
    </row>
    <row r="61" spans="3:20" s="476" customFormat="1">
      <c r="D61" s="476" t="s">
        <v>1657</v>
      </c>
      <c r="E61" s="814">
        <f t="shared" ref="E61:N61" si="31">calcExecVelocEmpIntegration</f>
        <v>0</v>
      </c>
      <c r="F61" s="814">
        <f t="shared" si="31"/>
        <v>0</v>
      </c>
      <c r="G61" s="814">
        <f t="shared" si="31"/>
        <v>0</v>
      </c>
      <c r="H61" s="814">
        <f t="shared" si="31"/>
        <v>0</v>
      </c>
      <c r="I61" s="814">
        <f t="shared" si="31"/>
        <v>0</v>
      </c>
      <c r="J61" s="814">
        <f t="shared" si="31"/>
        <v>0</v>
      </c>
      <c r="K61" s="814">
        <f t="shared" si="31"/>
        <v>0</v>
      </c>
      <c r="L61" s="814">
        <f t="shared" si="31"/>
        <v>0</v>
      </c>
      <c r="M61" s="814">
        <f t="shared" si="31"/>
        <v>0</v>
      </c>
      <c r="N61" s="814">
        <f t="shared" si="31"/>
        <v>0</v>
      </c>
    </row>
    <row r="62" spans="3:20" s="476" customFormat="1">
      <c r="D62" s="476" t="s">
        <v>3051</v>
      </c>
      <c r="E62" s="814">
        <f t="shared" ref="E62:N62" si="32">calcExecVelocITTimeline</f>
        <v>0</v>
      </c>
      <c r="F62" s="814">
        <f t="shared" si="32"/>
        <v>0</v>
      </c>
      <c r="G62" s="814">
        <f t="shared" si="32"/>
        <v>0</v>
      </c>
      <c r="H62" s="814">
        <f t="shared" si="32"/>
        <v>0</v>
      </c>
      <c r="I62" s="814">
        <f t="shared" si="32"/>
        <v>0</v>
      </c>
      <c r="J62" s="814">
        <f t="shared" si="32"/>
        <v>0</v>
      </c>
      <c r="K62" s="814">
        <f t="shared" si="32"/>
        <v>0</v>
      </c>
      <c r="L62" s="814">
        <f t="shared" si="32"/>
        <v>0</v>
      </c>
      <c r="M62" s="814">
        <f t="shared" si="32"/>
        <v>0</v>
      </c>
      <c r="N62" s="814">
        <f t="shared" si="32"/>
        <v>0</v>
      </c>
    </row>
    <row r="63" spans="3:20" s="476" customFormat="1">
      <c r="D63" s="476" t="s">
        <v>1969</v>
      </c>
      <c r="E63" s="814">
        <f t="shared" ref="E63:N63" si="33">calcExecVelocTrustTimeline</f>
        <v>0</v>
      </c>
      <c r="F63" s="814">
        <f t="shared" si="33"/>
        <v>0</v>
      </c>
      <c r="G63" s="814">
        <f t="shared" si="33"/>
        <v>0</v>
      </c>
      <c r="H63" s="814">
        <f t="shared" si="33"/>
        <v>0</v>
      </c>
      <c r="I63" s="814">
        <f t="shared" si="33"/>
        <v>0</v>
      </c>
      <c r="J63" s="814">
        <f t="shared" si="33"/>
        <v>0</v>
      </c>
      <c r="K63" s="814">
        <f t="shared" si="33"/>
        <v>0</v>
      </c>
      <c r="L63" s="814">
        <f t="shared" si="33"/>
        <v>0</v>
      </c>
      <c r="M63" s="814">
        <f t="shared" si="33"/>
        <v>0</v>
      </c>
      <c r="N63" s="814">
        <f t="shared" si="33"/>
        <v>0</v>
      </c>
    </row>
    <row r="64" spans="3:20" s="476" customFormat="1">
      <c r="D64" s="476" t="s">
        <v>1967</v>
      </c>
      <c r="E64" s="814">
        <f t="shared" ref="E64:N64" si="34">calcExecVelocProductTimeline</f>
        <v>0</v>
      </c>
      <c r="F64" s="814">
        <f t="shared" si="34"/>
        <v>0</v>
      </c>
      <c r="G64" s="814">
        <f t="shared" si="34"/>
        <v>0</v>
      </c>
      <c r="H64" s="814">
        <f t="shared" si="34"/>
        <v>0</v>
      </c>
      <c r="I64" s="814">
        <f t="shared" si="34"/>
        <v>0</v>
      </c>
      <c r="J64" s="814">
        <f t="shared" si="34"/>
        <v>0</v>
      </c>
      <c r="K64" s="814">
        <f t="shared" si="34"/>
        <v>0</v>
      </c>
      <c r="L64" s="814">
        <f t="shared" si="34"/>
        <v>0</v>
      </c>
      <c r="M64" s="814">
        <f t="shared" si="34"/>
        <v>0</v>
      </c>
      <c r="N64" s="814">
        <f t="shared" si="34"/>
        <v>0</v>
      </c>
    </row>
    <row r="65" spans="4:19" s="476" customFormat="1">
      <c r="D65" s="476" t="s">
        <v>1944</v>
      </c>
      <c r="E65" s="815">
        <f t="shared" ref="E65:N65" si="35">calcExecVelocRiskMitP0</f>
        <v>0</v>
      </c>
      <c r="F65" s="815">
        <f t="shared" si="35"/>
        <v>0</v>
      </c>
      <c r="G65" s="815">
        <f t="shared" si="35"/>
        <v>0</v>
      </c>
      <c r="H65" s="815">
        <f t="shared" si="35"/>
        <v>0</v>
      </c>
      <c r="I65" s="815">
        <f t="shared" si="35"/>
        <v>0</v>
      </c>
      <c r="J65" s="815">
        <f t="shared" si="35"/>
        <v>0</v>
      </c>
      <c r="K65" s="815">
        <f t="shared" si="35"/>
        <v>0</v>
      </c>
      <c r="L65" s="815">
        <f t="shared" si="35"/>
        <v>0</v>
      </c>
      <c r="M65" s="815">
        <f t="shared" si="35"/>
        <v>0</v>
      </c>
      <c r="N65" s="815">
        <f t="shared" si="35"/>
        <v>0</v>
      </c>
    </row>
    <row r="66" spans="4:19" s="476" customFormat="1">
      <c r="D66" s="476" t="s">
        <v>1951</v>
      </c>
      <c r="E66" s="815">
        <f t="shared" ref="E66:N66" si="36">calcExecVelocRiskMitP1</f>
        <v>0</v>
      </c>
      <c r="F66" s="815">
        <f t="shared" si="36"/>
        <v>0</v>
      </c>
      <c r="G66" s="815">
        <f t="shared" si="36"/>
        <v>0</v>
      </c>
      <c r="H66" s="815">
        <f t="shared" si="36"/>
        <v>0</v>
      </c>
      <c r="I66" s="815">
        <f t="shared" si="36"/>
        <v>0</v>
      </c>
      <c r="J66" s="815">
        <f t="shared" si="36"/>
        <v>0</v>
      </c>
      <c r="K66" s="815">
        <f t="shared" si="36"/>
        <v>0</v>
      </c>
      <c r="L66" s="815">
        <f t="shared" si="36"/>
        <v>0</v>
      </c>
      <c r="M66" s="815">
        <f t="shared" si="36"/>
        <v>0</v>
      </c>
      <c r="N66" s="815">
        <f t="shared" si="36"/>
        <v>0</v>
      </c>
    </row>
    <row r="67" spans="4:19" s="476" customFormat="1">
      <c r="D67" s="476" t="s">
        <v>2087</v>
      </c>
      <c r="E67" s="815">
        <f t="shared" ref="E67:N67" si="37">calcExecVelocRiskMitP2</f>
        <v>0</v>
      </c>
      <c r="F67" s="815">
        <f t="shared" si="37"/>
        <v>0</v>
      </c>
      <c r="G67" s="815">
        <f t="shared" si="37"/>
        <v>0</v>
      </c>
      <c r="H67" s="815">
        <f t="shared" si="37"/>
        <v>0</v>
      </c>
      <c r="I67" s="815">
        <f t="shared" si="37"/>
        <v>0</v>
      </c>
      <c r="J67" s="815">
        <f t="shared" si="37"/>
        <v>0</v>
      </c>
      <c r="K67" s="815">
        <f t="shared" si="37"/>
        <v>0</v>
      </c>
      <c r="L67" s="815">
        <f t="shared" si="37"/>
        <v>0</v>
      </c>
      <c r="M67" s="815">
        <f t="shared" si="37"/>
        <v>0</v>
      </c>
      <c r="N67" s="815">
        <f t="shared" si="37"/>
        <v>0</v>
      </c>
    </row>
    <row r="68" spans="4:19" s="476" customFormat="1">
      <c r="D68" s="476" t="s">
        <v>1154</v>
      </c>
      <c r="E68" s="816">
        <f t="shared" ref="E68:N68" si="38">calcExecVelocRE</f>
        <v>0</v>
      </c>
      <c r="F68" s="816">
        <f t="shared" si="38"/>
        <v>0</v>
      </c>
      <c r="G68" s="816">
        <f t="shared" si="38"/>
        <v>0</v>
      </c>
      <c r="H68" s="816">
        <f t="shared" si="38"/>
        <v>0</v>
      </c>
      <c r="I68" s="816">
        <f t="shared" si="38"/>
        <v>0</v>
      </c>
      <c r="J68" s="816">
        <f t="shared" si="38"/>
        <v>0</v>
      </c>
      <c r="K68" s="816">
        <f t="shared" si="38"/>
        <v>0</v>
      </c>
      <c r="L68" s="816">
        <f t="shared" si="38"/>
        <v>0</v>
      </c>
      <c r="M68" s="816">
        <f t="shared" si="38"/>
        <v>0</v>
      </c>
      <c r="N68" s="816">
        <f t="shared" si="38"/>
        <v>0</v>
      </c>
      <c r="Q68" s="817">
        <v>0.05</v>
      </c>
      <c r="R68" s="817">
        <v>-0.05</v>
      </c>
      <c r="S68" s="817">
        <v>0</v>
      </c>
    </row>
    <row r="69" spans="4:19" s="476" customFormat="1">
      <c r="D69" s="476" t="s">
        <v>2282</v>
      </c>
      <c r="E69" s="816">
        <f t="shared" ref="E69:N69" si="39">calcExecVelocCSG</f>
        <v>0</v>
      </c>
      <c r="F69" s="816">
        <f t="shared" si="39"/>
        <v>0</v>
      </c>
      <c r="G69" s="816">
        <f t="shared" si="39"/>
        <v>0</v>
      </c>
      <c r="H69" s="816">
        <f t="shared" si="39"/>
        <v>0</v>
      </c>
      <c r="I69" s="816">
        <f t="shared" si="39"/>
        <v>0</v>
      </c>
      <c r="J69" s="816">
        <f t="shared" si="39"/>
        <v>0</v>
      </c>
      <c r="K69" s="816">
        <f t="shared" si="39"/>
        <v>0</v>
      </c>
      <c r="L69" s="816">
        <f t="shared" si="39"/>
        <v>0</v>
      </c>
      <c r="M69" s="816">
        <f t="shared" si="39"/>
        <v>0</v>
      </c>
      <c r="N69" s="816">
        <f t="shared" si="39"/>
        <v>0</v>
      </c>
      <c r="Q69" s="817"/>
      <c r="R69" s="817"/>
      <c r="S69" s="817"/>
    </row>
    <row r="70" spans="4:19" s="476" customFormat="1">
      <c r="D70" s="476" t="s">
        <v>3079</v>
      </c>
      <c r="E70" s="816">
        <f t="shared" ref="E70:N70" si="40">calcExecVelocBrandIntegration</f>
        <v>0</v>
      </c>
      <c r="F70" s="816">
        <f t="shared" si="40"/>
        <v>0</v>
      </c>
      <c r="G70" s="816">
        <f t="shared" si="40"/>
        <v>0</v>
      </c>
      <c r="H70" s="816">
        <f t="shared" si="40"/>
        <v>0</v>
      </c>
      <c r="I70" s="816">
        <f t="shared" si="40"/>
        <v>0</v>
      </c>
      <c r="J70" s="816">
        <f t="shared" si="40"/>
        <v>0</v>
      </c>
      <c r="K70" s="816">
        <f t="shared" si="40"/>
        <v>0</v>
      </c>
      <c r="L70" s="816">
        <f t="shared" si="40"/>
        <v>0</v>
      </c>
      <c r="M70" s="816">
        <f t="shared" si="40"/>
        <v>0</v>
      </c>
      <c r="N70" s="816">
        <f t="shared" si="40"/>
        <v>0</v>
      </c>
    </row>
    <row r="71" spans="4:19" s="476" customFormat="1">
      <c r="D71" s="476" t="s">
        <v>2277</v>
      </c>
      <c r="E71" s="816">
        <f t="shared" ref="E71:N71" si="41">calcExecVelocLeadPass</f>
        <v>0</v>
      </c>
      <c r="F71" s="816">
        <f t="shared" si="41"/>
        <v>0</v>
      </c>
      <c r="G71" s="816">
        <f t="shared" si="41"/>
        <v>0</v>
      </c>
      <c r="H71" s="816">
        <f t="shared" si="41"/>
        <v>0</v>
      </c>
      <c r="I71" s="816">
        <f t="shared" si="41"/>
        <v>0</v>
      </c>
      <c r="J71" s="816">
        <f t="shared" si="41"/>
        <v>0</v>
      </c>
      <c r="K71" s="816">
        <f t="shared" si="41"/>
        <v>0</v>
      </c>
      <c r="L71" s="816">
        <f t="shared" si="41"/>
        <v>0</v>
      </c>
      <c r="M71" s="816">
        <f t="shared" si="41"/>
        <v>0</v>
      </c>
      <c r="N71" s="816">
        <f t="shared" si="41"/>
        <v>0</v>
      </c>
      <c r="Q71" s="817"/>
      <c r="R71" s="817"/>
      <c r="S71" s="817"/>
    </row>
    <row r="72" spans="4:19" s="476" customFormat="1">
      <c r="D72" s="476" t="s">
        <v>974</v>
      </c>
      <c r="E72" s="816">
        <f t="shared" ref="E72:N72" si="42">calcExecVelocTimeline</f>
        <v>0</v>
      </c>
      <c r="F72" s="816">
        <f t="shared" si="42"/>
        <v>0</v>
      </c>
      <c r="G72" s="816">
        <f t="shared" si="42"/>
        <v>0</v>
      </c>
      <c r="H72" s="816">
        <f t="shared" si="42"/>
        <v>0</v>
      </c>
      <c r="I72" s="816">
        <f t="shared" si="42"/>
        <v>0</v>
      </c>
      <c r="J72" s="816">
        <f t="shared" si="42"/>
        <v>0</v>
      </c>
      <c r="K72" s="816">
        <f t="shared" si="42"/>
        <v>0</v>
      </c>
      <c r="L72" s="816">
        <f t="shared" si="42"/>
        <v>0</v>
      </c>
      <c r="M72" s="816">
        <f t="shared" si="42"/>
        <v>0</v>
      </c>
      <c r="N72" s="816">
        <f t="shared" si="42"/>
        <v>0</v>
      </c>
      <c r="Q72" s="817"/>
      <c r="R72" s="817"/>
      <c r="S72" s="817"/>
    </row>
    <row r="73" spans="4:19" s="476" customFormat="1">
      <c r="D73" s="476" t="s">
        <v>1655</v>
      </c>
      <c r="E73" s="816">
        <f t="shared" ref="E73:N73" si="43">calcExecVelocEvents</f>
        <v>0</v>
      </c>
      <c r="F73" s="816">
        <f t="shared" si="43"/>
        <v>0</v>
      </c>
      <c r="G73" s="816">
        <f t="shared" si="43"/>
        <v>0</v>
      </c>
      <c r="H73" s="816">
        <f t="shared" si="43"/>
        <v>0</v>
      </c>
      <c r="I73" s="816">
        <f t="shared" si="43"/>
        <v>0</v>
      </c>
      <c r="J73" s="816">
        <f t="shared" si="43"/>
        <v>0</v>
      </c>
      <c r="K73" s="816">
        <f t="shared" si="43"/>
        <v>0</v>
      </c>
      <c r="L73" s="816">
        <f t="shared" si="43"/>
        <v>0</v>
      </c>
      <c r="M73" s="816">
        <f t="shared" si="43"/>
        <v>0</v>
      </c>
      <c r="N73" s="816">
        <f t="shared" si="43"/>
        <v>0</v>
      </c>
    </row>
    <row r="74" spans="4:19" s="69" customFormat="1" ht="6" customHeight="1">
      <c r="E74" s="216"/>
      <c r="F74" s="216"/>
      <c r="G74" s="216"/>
      <c r="H74" s="216"/>
      <c r="I74" s="216"/>
      <c r="J74" s="216"/>
      <c r="K74" s="216"/>
      <c r="L74" s="216"/>
      <c r="M74" s="216"/>
      <c r="N74" s="216"/>
    </row>
    <row r="75" spans="4:19" s="217" customFormat="1">
      <c r="D75" s="217" t="s">
        <v>487</v>
      </c>
      <c r="E75" s="411">
        <f t="shared" ref="E75:N75" si="44">calcExecutionVelocity</f>
        <v>0.5</v>
      </c>
      <c r="F75" s="411">
        <f t="shared" si="44"/>
        <v>0.5</v>
      </c>
      <c r="G75" s="411">
        <f t="shared" si="44"/>
        <v>0.5</v>
      </c>
      <c r="H75" s="411">
        <f t="shared" si="44"/>
        <v>0.5</v>
      </c>
      <c r="I75" s="411">
        <f t="shared" si="44"/>
        <v>0.5</v>
      </c>
      <c r="J75" s="411">
        <f t="shared" si="44"/>
        <v>0.5</v>
      </c>
      <c r="K75" s="411">
        <f t="shared" si="44"/>
        <v>0.5</v>
      </c>
      <c r="L75" s="411">
        <f t="shared" si="44"/>
        <v>0.5</v>
      </c>
      <c r="M75" s="411">
        <f t="shared" si="44"/>
        <v>0.5</v>
      </c>
      <c r="N75" s="411">
        <f t="shared" si="44"/>
        <v>0.5</v>
      </c>
    </row>
  </sheetData>
  <conditionalFormatting sqref="E20:N33">
    <cfRule type="colorScale" priority="8">
      <colorScale>
        <cfvo type="min"/>
        <cfvo type="percentile" val="50"/>
        <cfvo type="max"/>
        <color rgb="FFF8696B"/>
        <color rgb="FFFCFCFF"/>
        <color rgb="FF63BE7B"/>
      </colorScale>
    </cfRule>
  </conditionalFormatting>
  <conditionalFormatting sqref="F5:F14">
    <cfRule type="colorScale" priority="7">
      <colorScale>
        <cfvo type="min"/>
        <cfvo type="percentile" val="50"/>
        <cfvo type="max"/>
        <color rgb="FFF8696B"/>
        <color rgb="FFFCFCFF"/>
        <color rgb="FF63BE7B"/>
      </colorScale>
    </cfRule>
  </conditionalFormatting>
  <conditionalFormatting sqref="G5:G14">
    <cfRule type="colorScale" priority="6">
      <colorScale>
        <cfvo type="min"/>
        <cfvo type="percentile" val="50"/>
        <cfvo type="max"/>
        <color rgb="FFF8696B"/>
        <color rgb="FFFCFCFF"/>
        <color rgb="FF63BE7B"/>
      </colorScale>
    </cfRule>
  </conditionalFormatting>
  <conditionalFormatting sqref="H5:H14">
    <cfRule type="colorScale" priority="5">
      <colorScale>
        <cfvo type="min"/>
        <cfvo type="percentile" val="50"/>
        <cfvo type="max"/>
        <color rgb="FFF8696B"/>
        <color rgb="FFFCFCFF"/>
        <color rgb="FF63BE7B"/>
      </colorScale>
    </cfRule>
  </conditionalFormatting>
  <conditionalFormatting sqref="I5:I14">
    <cfRule type="colorScale" priority="4">
      <colorScale>
        <cfvo type="min"/>
        <cfvo type="percentile" val="50"/>
        <cfvo type="max"/>
        <color rgb="FFF8696B"/>
        <color rgb="FFFCFCFF"/>
        <color rgb="FF63BE7B"/>
      </colorScale>
    </cfRule>
  </conditionalFormatting>
  <conditionalFormatting sqref="K11:K14 J5:J10">
    <cfRule type="colorScale" priority="3">
      <colorScale>
        <cfvo type="min"/>
        <cfvo type="percentile" val="50"/>
        <cfvo type="max"/>
        <color rgb="FFF8696B"/>
        <color rgb="FFFCFCFF"/>
        <color rgb="FF63BE7B"/>
      </colorScale>
    </cfRule>
  </conditionalFormatting>
  <conditionalFormatting sqref="E47:N52">
    <cfRule type="colorScale" priority="2">
      <colorScale>
        <cfvo type="min"/>
        <cfvo type="percentile" val="50"/>
        <cfvo type="max"/>
        <color rgb="FFF8696B"/>
        <color rgb="FFFCFCFF"/>
        <color rgb="FF63BE7B"/>
      </colorScale>
    </cfRule>
  </conditionalFormatting>
  <conditionalFormatting sqref="E59:N73">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sheetPr>
  <dimension ref="A1:AE375"/>
  <sheetViews>
    <sheetView tabSelected="1" topLeftCell="A359" zoomScale="80" zoomScaleNormal="80" workbookViewId="0">
      <selection activeCell="H374" sqref="H374"/>
    </sheetView>
  </sheetViews>
  <sheetFormatPr defaultColWidth="8.81640625" defaultRowHeight="13.8"/>
  <cols>
    <col min="1" max="2" width="2.7265625" style="10" customWidth="1"/>
    <col min="3" max="3" width="24.7265625" style="11" customWidth="1"/>
    <col min="4" max="4" width="24.08984375" style="10" customWidth="1"/>
    <col min="5" max="5" width="19.6328125" style="10" bestFit="1" customWidth="1"/>
    <col min="6" max="6" width="15.26953125" style="10" customWidth="1"/>
    <col min="7" max="7" width="16.08984375" style="10" bestFit="1" customWidth="1"/>
    <col min="8" max="8" width="16.81640625" style="10" bestFit="1" customWidth="1"/>
    <col min="9" max="9" width="15.453125" style="10" bestFit="1" customWidth="1"/>
    <col min="10" max="10" width="19.26953125" style="10" customWidth="1"/>
    <col min="11" max="11" width="16" style="10" bestFit="1" customWidth="1"/>
    <col min="12" max="14" width="14.453125" style="10" bestFit="1" customWidth="1"/>
    <col min="15" max="15" width="16" style="10" bestFit="1" customWidth="1"/>
    <col min="16" max="18" width="14.453125" style="10" bestFit="1" customWidth="1"/>
    <col min="19" max="19" width="16" style="10" bestFit="1" customWidth="1"/>
    <col min="20" max="22" width="12.453125" style="10" customWidth="1"/>
    <col min="23" max="23" width="15.81640625" style="10" customWidth="1"/>
    <col min="24" max="31" width="12.453125" style="10" customWidth="1"/>
    <col min="32" max="16384" width="8.81640625" style="10"/>
  </cols>
  <sheetData>
    <row r="1" spans="1:11" s="15" customFormat="1">
      <c r="A1" s="14" t="s">
        <v>233</v>
      </c>
      <c r="C1" s="14"/>
    </row>
    <row r="4" spans="1:11">
      <c r="B4" s="11" t="s">
        <v>243</v>
      </c>
      <c r="D4" s="13">
        <v>5</v>
      </c>
      <c r="E4" s="10" t="s">
        <v>244</v>
      </c>
    </row>
    <row r="6" spans="1:11" s="201" customFormat="1">
      <c r="A6" s="109" t="s">
        <v>417</v>
      </c>
    </row>
    <row r="7" spans="1:11">
      <c r="H7" s="10" t="s">
        <v>509</v>
      </c>
    </row>
    <row r="8" spans="1:11" s="11" customFormat="1">
      <c r="C8" s="109" t="s">
        <v>418</v>
      </c>
      <c r="D8" s="220" t="s">
        <v>1665</v>
      </c>
      <c r="E8" s="828">
        <v>0</v>
      </c>
      <c r="F8" s="222"/>
      <c r="G8" s="222"/>
      <c r="H8" s="232">
        <v>1</v>
      </c>
      <c r="I8" s="231" t="s">
        <v>1252</v>
      </c>
      <c r="J8" s="222"/>
      <c r="K8" s="222"/>
    </row>
    <row r="9" spans="1:11" s="11" customFormat="1">
      <c r="D9" s="220" t="s">
        <v>590</v>
      </c>
      <c r="E9" s="828">
        <v>1000000</v>
      </c>
      <c r="F9" s="222"/>
      <c r="G9" s="222"/>
      <c r="H9" s="232">
        <v>2</v>
      </c>
      <c r="I9" s="231" t="s">
        <v>510</v>
      </c>
      <c r="J9" s="222"/>
      <c r="K9" s="222"/>
    </row>
    <row r="10" spans="1:11" s="11" customFormat="1">
      <c r="D10" s="220" t="s">
        <v>591</v>
      </c>
      <c r="E10" s="828">
        <v>0</v>
      </c>
      <c r="F10" s="223"/>
      <c r="G10" s="222"/>
      <c r="H10" s="232">
        <v>3</v>
      </c>
      <c r="I10" s="231" t="s">
        <v>511</v>
      </c>
      <c r="J10" s="222"/>
      <c r="K10" s="222"/>
    </row>
    <row r="11" spans="1:11" s="11" customFormat="1">
      <c r="D11" s="221" t="s">
        <v>419</v>
      </c>
      <c r="E11" s="109" t="s">
        <v>3749</v>
      </c>
      <c r="F11" s="223"/>
      <c r="G11" s="222"/>
      <c r="H11" s="232">
        <v>4</v>
      </c>
      <c r="I11" s="231" t="s">
        <v>2253</v>
      </c>
      <c r="J11" s="222"/>
      <c r="K11" s="223"/>
    </row>
    <row r="12" spans="1:11">
      <c r="H12" s="11"/>
    </row>
    <row r="14" spans="1:11">
      <c r="C14" s="109" t="s">
        <v>427</v>
      </c>
      <c r="H14" s="670" t="s">
        <v>1275</v>
      </c>
    </row>
    <row r="15" spans="1:11" s="201" customFormat="1">
      <c r="C15" s="109" t="s">
        <v>420</v>
      </c>
      <c r="D15" s="201" t="s">
        <v>405</v>
      </c>
      <c r="H15" s="200" t="s">
        <v>3050</v>
      </c>
    </row>
    <row r="16" spans="1:11">
      <c r="C16" s="11" t="s">
        <v>140</v>
      </c>
      <c r="D16" s="75">
        <v>125000000</v>
      </c>
      <c r="H16" s="200" t="s">
        <v>1942</v>
      </c>
    </row>
    <row r="17" spans="3:8">
      <c r="C17" s="11" t="s">
        <v>421</v>
      </c>
      <c r="D17" s="202">
        <f>D16*E17</f>
        <v>25000000</v>
      </c>
      <c r="E17" s="200">
        <v>0.2</v>
      </c>
      <c r="H17" s="458" t="s">
        <v>470</v>
      </c>
    </row>
    <row r="18" spans="3:8">
      <c r="C18" s="11" t="s">
        <v>239</v>
      </c>
      <c r="D18" s="202">
        <f>D16-D17</f>
        <v>100000000</v>
      </c>
      <c r="H18" s="200" t="s">
        <v>965</v>
      </c>
    </row>
    <row r="19" spans="3:8">
      <c r="C19" s="11" t="s">
        <v>422</v>
      </c>
      <c r="H19" s="200" t="s">
        <v>1153</v>
      </c>
    </row>
    <row r="20" spans="3:8">
      <c r="C20" s="11" t="s">
        <v>423</v>
      </c>
      <c r="D20" s="75">
        <f>D$16*E20</f>
        <v>50000000</v>
      </c>
      <c r="E20" s="200">
        <v>0.4</v>
      </c>
      <c r="H20" s="10" t="s">
        <v>1277</v>
      </c>
    </row>
    <row r="21" spans="3:8">
      <c r="C21" s="11" t="s">
        <v>424</v>
      </c>
      <c r="D21" s="75">
        <f t="shared" ref="D21:D22" si="0">D$16*E21</f>
        <v>37500000</v>
      </c>
      <c r="E21" s="200">
        <v>0.3</v>
      </c>
    </row>
    <row r="22" spans="3:8">
      <c r="C22" s="11" t="s">
        <v>403</v>
      </c>
      <c r="D22" s="202">
        <f t="shared" si="0"/>
        <v>18750000</v>
      </c>
      <c r="E22" s="200">
        <v>0.15</v>
      </c>
    </row>
    <row r="23" spans="3:8" s="201" customFormat="1">
      <c r="C23" s="109" t="s">
        <v>425</v>
      </c>
      <c r="D23" s="203">
        <f>SUM(D20:D22)</f>
        <v>106250000</v>
      </c>
    </row>
    <row r="25" spans="3:8">
      <c r="C25" s="11" t="s">
        <v>426</v>
      </c>
      <c r="D25" s="75">
        <f>D18-D23</f>
        <v>-6250000</v>
      </c>
    </row>
    <row r="26" spans="3:8">
      <c r="C26" s="11" t="s">
        <v>438</v>
      </c>
      <c r="D26" s="204">
        <f>D25/D16</f>
        <v>-0.05</v>
      </c>
    </row>
    <row r="27" spans="3:8">
      <c r="C27" s="11" t="s">
        <v>437</v>
      </c>
      <c r="D27" s="205">
        <f>E27*D16</f>
        <v>37500000</v>
      </c>
      <c r="E27" s="200">
        <v>0.3</v>
      </c>
    </row>
    <row r="28" spans="3:8" s="201" customFormat="1">
      <c r="C28" s="109" t="s">
        <v>426</v>
      </c>
      <c r="D28" s="203">
        <f>D25-D27</f>
        <v>-43750000</v>
      </c>
    </row>
    <row r="29" spans="3:8">
      <c r="C29" s="109" t="s">
        <v>436</v>
      </c>
      <c r="D29" s="204">
        <f>D28/D16</f>
        <v>-0.35</v>
      </c>
    </row>
    <row r="31" spans="3:8">
      <c r="C31" s="11" t="s">
        <v>512</v>
      </c>
      <c r="D31" s="205">
        <v>40000000</v>
      </c>
      <c r="E31" s="10" t="s">
        <v>514</v>
      </c>
    </row>
    <row r="32" spans="3:8">
      <c r="C32" s="11" t="s">
        <v>467</v>
      </c>
      <c r="D32" s="75">
        <f>0.12*D16</f>
        <v>15000000</v>
      </c>
      <c r="E32" s="11" t="s">
        <v>689</v>
      </c>
    </row>
    <row r="33" spans="2:9">
      <c r="D33" s="75"/>
      <c r="E33" s="11"/>
    </row>
    <row r="34" spans="2:9">
      <c r="C34" s="11" t="s">
        <v>1293</v>
      </c>
      <c r="D34" s="224">
        <v>0.6</v>
      </c>
      <c r="E34" s="11" t="s">
        <v>1294</v>
      </c>
    </row>
    <row r="35" spans="2:9">
      <c r="D35" s="224">
        <f>1-dataKeyTalentProportion</f>
        <v>0.4</v>
      </c>
      <c r="E35" s="11" t="s">
        <v>1295</v>
      </c>
    </row>
    <row r="36" spans="2:9">
      <c r="D36" s="75"/>
      <c r="E36" s="11"/>
    </row>
    <row r="38" spans="2:9">
      <c r="D38" s="429">
        <v>1.05</v>
      </c>
      <c r="E38" s="429">
        <v>1.05</v>
      </c>
      <c r="F38" s="429">
        <v>1.05</v>
      </c>
    </row>
    <row r="39" spans="2:9">
      <c r="D39" s="429">
        <v>500000</v>
      </c>
      <c r="E39" s="429">
        <v>500000</v>
      </c>
      <c r="F39" s="429">
        <v>500000</v>
      </c>
    </row>
    <row r="40" spans="2:9">
      <c r="C40" s="11" t="s">
        <v>1005</v>
      </c>
      <c r="D40" s="10" t="s">
        <v>209</v>
      </c>
      <c r="E40" s="10" t="s">
        <v>210</v>
      </c>
      <c r="F40" s="10" t="s">
        <v>211</v>
      </c>
    </row>
    <row r="41" spans="2:9">
      <c r="C41" s="11">
        <v>0</v>
      </c>
      <c r="D41" s="433">
        <v>0</v>
      </c>
      <c r="E41" s="433">
        <v>0</v>
      </c>
      <c r="F41" s="433">
        <v>0</v>
      </c>
    </row>
    <row r="42" spans="2:9">
      <c r="C42" s="11">
        <v>1</v>
      </c>
      <c r="D42" s="433">
        <f>D39*D38</f>
        <v>525000</v>
      </c>
      <c r="E42" s="433">
        <f>D42</f>
        <v>525000</v>
      </c>
      <c r="F42" s="433">
        <f>E42</f>
        <v>525000</v>
      </c>
    </row>
    <row r="43" spans="2:9">
      <c r="B43" s="10">
        <v>6</v>
      </c>
      <c r="C43" s="11">
        <v>2</v>
      </c>
      <c r="D43" s="433">
        <f>(D$39*D$38*$B43)</f>
        <v>3150000</v>
      </c>
      <c r="E43" s="433">
        <f t="shared" ref="E43:F43" si="1">D43</f>
        <v>3150000</v>
      </c>
      <c r="F43" s="433">
        <f t="shared" si="1"/>
        <v>3150000</v>
      </c>
    </row>
    <row r="44" spans="2:9">
      <c r="B44" s="10">
        <v>12</v>
      </c>
      <c r="C44" s="11">
        <v>3</v>
      </c>
      <c r="D44" s="433">
        <f t="shared" ref="D44:D45" si="2">(D$39*D$38*$B44)</f>
        <v>6300000</v>
      </c>
      <c r="E44" s="433">
        <f t="shared" ref="E44:F44" si="3">D44</f>
        <v>6300000</v>
      </c>
      <c r="F44" s="433">
        <f t="shared" si="3"/>
        <v>6300000</v>
      </c>
      <c r="G44" s="10">
        <v>1.7</v>
      </c>
    </row>
    <row r="45" spans="2:9">
      <c r="B45" s="10">
        <v>19</v>
      </c>
      <c r="C45" s="11">
        <v>4</v>
      </c>
      <c r="D45" s="433">
        <f t="shared" si="2"/>
        <v>9975000</v>
      </c>
      <c r="E45" s="433">
        <f t="shared" ref="E45:F45" si="4">D45</f>
        <v>9975000</v>
      </c>
      <c r="F45" s="433">
        <f t="shared" si="4"/>
        <v>9975000</v>
      </c>
      <c r="G45" s="10">
        <v>2.2000000000000002</v>
      </c>
    </row>
    <row r="46" spans="2:9">
      <c r="D46" s="10" t="s">
        <v>1013</v>
      </c>
      <c r="E46" s="10" t="s">
        <v>1014</v>
      </c>
      <c r="F46" s="10" t="s">
        <v>1015</v>
      </c>
    </row>
    <row r="48" spans="2:9">
      <c r="C48" s="436">
        <v>700000</v>
      </c>
      <c r="F48" s="10">
        <v>2.5</v>
      </c>
      <c r="G48" s="10">
        <v>2.5</v>
      </c>
      <c r="H48" s="10">
        <v>4</v>
      </c>
      <c r="I48" s="10">
        <v>5.5</v>
      </c>
    </row>
    <row r="49" spans="3:12">
      <c r="C49" s="11" t="s">
        <v>1056</v>
      </c>
      <c r="D49" s="201" t="s">
        <v>1665</v>
      </c>
      <c r="E49" s="435">
        <v>0</v>
      </c>
      <c r="F49" s="435">
        <v>0.25</v>
      </c>
      <c r="G49" s="435">
        <v>0.5</v>
      </c>
      <c r="H49" s="435">
        <v>0.75</v>
      </c>
      <c r="I49" s="435">
        <v>1</v>
      </c>
    </row>
    <row r="50" spans="3:12">
      <c r="C50" s="11" t="s">
        <v>410</v>
      </c>
      <c r="D50" s="10">
        <v>0</v>
      </c>
      <c r="E50" s="438">
        <f t="shared" ref="E50:E52" si="5">($C$48*E$49*E$48)^$L50</f>
        <v>0</v>
      </c>
      <c r="F50" s="438">
        <v>262500</v>
      </c>
      <c r="G50" s="438">
        <v>525000</v>
      </c>
      <c r="H50" s="438">
        <v>1260000</v>
      </c>
      <c r="I50" s="438">
        <v>2310000</v>
      </c>
      <c r="J50" s="109" t="s">
        <v>1061</v>
      </c>
      <c r="L50" s="437">
        <v>1.2</v>
      </c>
    </row>
    <row r="51" spans="3:12">
      <c r="C51" s="11" t="s">
        <v>412</v>
      </c>
      <c r="D51" s="10">
        <v>0</v>
      </c>
      <c r="E51" s="438">
        <f t="shared" si="5"/>
        <v>0</v>
      </c>
      <c r="F51" s="438">
        <v>218750</v>
      </c>
      <c r="G51" s="438">
        <v>437500</v>
      </c>
      <c r="H51" s="438">
        <v>1050000</v>
      </c>
      <c r="I51" s="438">
        <v>1925000</v>
      </c>
      <c r="J51" s="109" t="s">
        <v>1062</v>
      </c>
      <c r="L51" s="437">
        <v>1</v>
      </c>
    </row>
    <row r="52" spans="3:12">
      <c r="C52" s="11" t="s">
        <v>411</v>
      </c>
      <c r="D52" s="10">
        <v>0</v>
      </c>
      <c r="E52" s="438">
        <f t="shared" si="5"/>
        <v>0</v>
      </c>
      <c r="F52" s="438">
        <v>175000</v>
      </c>
      <c r="G52" s="438">
        <v>350000</v>
      </c>
      <c r="H52" s="438">
        <v>840000</v>
      </c>
      <c r="I52" s="438">
        <v>1540000</v>
      </c>
      <c r="J52" s="109" t="s">
        <v>1063</v>
      </c>
      <c r="L52" s="437">
        <v>0.8</v>
      </c>
    </row>
    <row r="54" spans="3:12">
      <c r="C54" s="11" t="s">
        <v>1073</v>
      </c>
      <c r="D54" s="438">
        <v>2000000</v>
      </c>
    </row>
    <row r="55" spans="3:12">
      <c r="D55" s="10" t="s">
        <v>1074</v>
      </c>
    </row>
    <row r="56" spans="3:12">
      <c r="C56" s="11" t="s">
        <v>1310</v>
      </c>
      <c r="D56" s="438">
        <v>1750000</v>
      </c>
    </row>
    <row r="57" spans="3:12">
      <c r="D57" s="10" t="s">
        <v>1156</v>
      </c>
    </row>
    <row r="58" spans="3:12">
      <c r="C58" s="11" t="s">
        <v>1309</v>
      </c>
      <c r="D58" s="438">
        <v>1200000</v>
      </c>
    </row>
    <row r="59" spans="3:12">
      <c r="D59" s="10" t="s">
        <v>1159</v>
      </c>
    </row>
    <row r="61" spans="3:12">
      <c r="C61" s="11" t="s">
        <v>1308</v>
      </c>
      <c r="D61" s="438">
        <v>0</v>
      </c>
    </row>
    <row r="62" spans="3:12">
      <c r="D62" s="10" t="s">
        <v>1184</v>
      </c>
    </row>
    <row r="64" spans="3:12">
      <c r="C64" s="11" t="s">
        <v>1313</v>
      </c>
      <c r="D64" s="438">
        <v>0</v>
      </c>
      <c r="E64" s="438">
        <v>1000000</v>
      </c>
    </row>
    <row r="65" spans="2:10">
      <c r="D65" s="10" t="s">
        <v>1311</v>
      </c>
      <c r="E65" s="10" t="s">
        <v>1312</v>
      </c>
    </row>
    <row r="66" spans="2:10">
      <c r="C66" s="11" t="s">
        <v>1317</v>
      </c>
      <c r="D66" s="438">
        <v>2000000</v>
      </c>
    </row>
    <row r="67" spans="2:10">
      <c r="D67" s="10" t="s">
        <v>1318</v>
      </c>
    </row>
    <row r="69" spans="2:10">
      <c r="C69" s="11" t="s">
        <v>1325</v>
      </c>
      <c r="D69" s="438">
        <v>1000000</v>
      </c>
    </row>
    <row r="70" spans="2:10">
      <c r="D70" s="10" t="s">
        <v>1326</v>
      </c>
    </row>
    <row r="72" spans="2:10">
      <c r="D72" s="10">
        <v>1.01</v>
      </c>
      <c r="E72" s="10">
        <v>1</v>
      </c>
      <c r="F72" s="10">
        <v>1</v>
      </c>
    </row>
    <row r="73" spans="2:10">
      <c r="D73" s="10">
        <v>0.45</v>
      </c>
      <c r="E73" s="662">
        <v>1.2999999999999999E-2</v>
      </c>
      <c r="F73" s="10">
        <v>1.5</v>
      </c>
    </row>
    <row r="74" spans="2:10" s="201" customFormat="1">
      <c r="C74" s="109" t="s">
        <v>1648</v>
      </c>
      <c r="D74" s="201" t="s">
        <v>1651</v>
      </c>
      <c r="E74" s="201" t="s">
        <v>2032</v>
      </c>
      <c r="F74" s="201" t="s">
        <v>398</v>
      </c>
    </row>
    <row r="75" spans="2:10" s="201" customFormat="1">
      <c r="C75" s="109">
        <v>0</v>
      </c>
      <c r="D75" s="201">
        <v>0</v>
      </c>
      <c r="E75" s="661">
        <v>0</v>
      </c>
      <c r="F75" s="201">
        <v>0</v>
      </c>
    </row>
    <row r="76" spans="2:10">
      <c r="B76" s="10">
        <v>1</v>
      </c>
      <c r="C76" s="11">
        <v>1</v>
      </c>
      <c r="D76" s="498">
        <v>1</v>
      </c>
      <c r="E76" s="503">
        <v>0.01</v>
      </c>
      <c r="F76" s="753">
        <v>0</v>
      </c>
      <c r="G76" s="200"/>
      <c r="H76" s="200"/>
      <c r="I76" s="200"/>
      <c r="J76" s="200"/>
    </row>
    <row r="77" spans="2:10">
      <c r="B77" s="10">
        <v>2</v>
      </c>
      <c r="C77" s="11">
        <v>2</v>
      </c>
      <c r="D77" s="498">
        <v>3</v>
      </c>
      <c r="E77" s="503">
        <v>0.03</v>
      </c>
      <c r="F77" s="753">
        <f>($C77^F$72*F$73)</f>
        <v>3</v>
      </c>
      <c r="G77" s="200"/>
      <c r="H77" s="200"/>
      <c r="I77" s="200"/>
      <c r="J77" s="200"/>
    </row>
    <row r="78" spans="2:10">
      <c r="B78" s="10">
        <v>3</v>
      </c>
      <c r="C78" s="11">
        <v>3</v>
      </c>
      <c r="D78" s="498">
        <v>7</v>
      </c>
      <c r="E78" s="503">
        <v>7.4999999999999997E-2</v>
      </c>
      <c r="F78" s="753">
        <v>7.5</v>
      </c>
      <c r="G78" s="200"/>
      <c r="H78" s="200"/>
      <c r="I78" s="200"/>
      <c r="J78" s="200"/>
    </row>
    <row r="79" spans="2:10">
      <c r="B79" s="10">
        <v>4</v>
      </c>
      <c r="C79" s="11">
        <v>4</v>
      </c>
      <c r="D79" s="498">
        <v>14</v>
      </c>
      <c r="E79" s="503">
        <v>0.1</v>
      </c>
      <c r="F79" s="753">
        <v>13.5</v>
      </c>
      <c r="G79" s="200"/>
      <c r="H79" s="200"/>
      <c r="I79" s="200"/>
      <c r="J79" s="200"/>
    </row>
    <row r="80" spans="2:10">
      <c r="D80" s="498"/>
      <c r="E80" s="498"/>
      <c r="F80" s="200"/>
      <c r="G80" s="200"/>
      <c r="H80" s="200"/>
      <c r="I80" s="200"/>
      <c r="J80" s="200"/>
    </row>
    <row r="81" spans="3:10">
      <c r="J81" s="10" t="s">
        <v>1652</v>
      </c>
    </row>
    <row r="82" spans="3:10">
      <c r="D82" s="10">
        <v>1.01</v>
      </c>
      <c r="E82" s="10">
        <v>1.01</v>
      </c>
      <c r="F82" s="10">
        <v>1.02</v>
      </c>
      <c r="G82" s="10">
        <v>1.02</v>
      </c>
    </row>
    <row r="83" spans="3:10">
      <c r="D83" s="10">
        <v>0.2</v>
      </c>
      <c r="E83" s="204">
        <v>0.01</v>
      </c>
      <c r="F83" s="10">
        <v>1.2</v>
      </c>
      <c r="G83" s="486">
        <v>750985</v>
      </c>
      <c r="H83" s="11" t="s">
        <v>2121</v>
      </c>
      <c r="I83" s="11" t="s">
        <v>2122</v>
      </c>
    </row>
    <row r="84" spans="3:10" s="201" customFormat="1">
      <c r="C84" s="109" t="s">
        <v>1649</v>
      </c>
      <c r="D84" s="201" t="s">
        <v>1651</v>
      </c>
      <c r="E84" s="201" t="s">
        <v>397</v>
      </c>
      <c r="F84" s="201" t="s">
        <v>406</v>
      </c>
      <c r="G84" s="201" t="s">
        <v>201</v>
      </c>
      <c r="H84" s="109" t="s">
        <v>2120</v>
      </c>
    </row>
    <row r="85" spans="3:10" s="201" customFormat="1">
      <c r="C85" s="109" t="s">
        <v>1665</v>
      </c>
      <c r="D85" s="201">
        <v>0</v>
      </c>
      <c r="E85" s="499">
        <v>0</v>
      </c>
      <c r="F85" s="201">
        <v>0</v>
      </c>
      <c r="G85" s="201">
        <v>0</v>
      </c>
    </row>
    <row r="86" spans="3:10">
      <c r="C86" s="11" t="s">
        <v>2055</v>
      </c>
      <c r="D86" s="498">
        <v>0</v>
      </c>
      <c r="E86" s="500">
        <v>0</v>
      </c>
      <c r="F86" s="501">
        <v>0</v>
      </c>
      <c r="G86" s="523">
        <v>0</v>
      </c>
      <c r="H86" s="200"/>
      <c r="I86" s="200"/>
      <c r="J86" s="200"/>
    </row>
    <row r="87" spans="3:10">
      <c r="C87" s="11" t="s">
        <v>2057</v>
      </c>
      <c r="D87" s="498">
        <v>4</v>
      </c>
      <c r="E87" s="500">
        <v>0.02</v>
      </c>
      <c r="F87" s="501">
        <v>6</v>
      </c>
      <c r="G87" s="523">
        <v>2000000</v>
      </c>
      <c r="H87" s="200"/>
      <c r="I87" s="200"/>
      <c r="J87" s="200"/>
    </row>
    <row r="88" spans="3:10">
      <c r="C88" s="11" t="s">
        <v>2056</v>
      </c>
      <c r="D88" s="498">
        <v>10</v>
      </c>
      <c r="E88" s="500">
        <v>0.06</v>
      </c>
      <c r="F88" s="501">
        <v>1</v>
      </c>
      <c r="G88" s="523">
        <v>7000000</v>
      </c>
      <c r="H88" s="200"/>
      <c r="I88" s="200"/>
      <c r="J88" s="200"/>
    </row>
    <row r="89" spans="3:10">
      <c r="D89" s="498"/>
      <c r="E89" s="500"/>
      <c r="F89" s="501"/>
      <c r="G89" s="523"/>
      <c r="H89" s="200"/>
      <c r="I89" s="200"/>
      <c r="J89" s="200"/>
    </row>
    <row r="90" spans="3:10">
      <c r="D90" s="498"/>
      <c r="E90" s="500"/>
      <c r="F90" s="501">
        <v>1</v>
      </c>
      <c r="G90" s="523">
        <f>F90*1.05</f>
        <v>1.05</v>
      </c>
      <c r="H90" s="200"/>
      <c r="I90" s="200"/>
      <c r="J90" s="200"/>
    </row>
    <row r="91" spans="3:10">
      <c r="F91" s="10">
        <v>1</v>
      </c>
      <c r="G91" s="523">
        <f>F91*1.05</f>
        <v>1.05</v>
      </c>
      <c r="H91" s="486">
        <f>SUM(G91)</f>
        <v>1.05</v>
      </c>
      <c r="J91" s="10" t="s">
        <v>1653</v>
      </c>
    </row>
    <row r="93" spans="3:10">
      <c r="C93" s="109" t="s">
        <v>1966</v>
      </c>
      <c r="D93" s="10">
        <v>0.5</v>
      </c>
      <c r="E93" s="10">
        <v>2</v>
      </c>
      <c r="F93" s="10">
        <v>1.5</v>
      </c>
      <c r="G93" s="10">
        <v>6</v>
      </c>
    </row>
    <row r="94" spans="3:10">
      <c r="C94" s="109" t="s">
        <v>1965</v>
      </c>
      <c r="D94" s="10">
        <v>0.5</v>
      </c>
      <c r="E94" s="224">
        <v>0.01</v>
      </c>
      <c r="F94" s="10">
        <v>0.5</v>
      </c>
      <c r="G94" s="10">
        <v>0.5</v>
      </c>
      <c r="H94" s="10">
        <v>8500000</v>
      </c>
    </row>
    <row r="95" spans="3:10" s="201" customFormat="1">
      <c r="C95" s="109" t="s">
        <v>1963</v>
      </c>
      <c r="D95" s="201" t="s">
        <v>1651</v>
      </c>
      <c r="E95" s="499" t="s">
        <v>397</v>
      </c>
      <c r="F95" s="201" t="s">
        <v>406</v>
      </c>
      <c r="G95" s="201" t="s">
        <v>398</v>
      </c>
      <c r="H95" s="201" t="s">
        <v>201</v>
      </c>
    </row>
    <row r="96" spans="3:10" s="201" customFormat="1">
      <c r="C96" s="109" t="s">
        <v>1665</v>
      </c>
      <c r="D96" s="201">
        <v>0</v>
      </c>
      <c r="E96" s="499">
        <v>0</v>
      </c>
      <c r="F96" s="201">
        <v>0</v>
      </c>
      <c r="G96" s="201">
        <v>0</v>
      </c>
      <c r="H96" s="201">
        <v>0</v>
      </c>
    </row>
    <row r="97" spans="1:10">
      <c r="A97" s="10">
        <v>3</v>
      </c>
      <c r="B97" s="10">
        <v>0.5</v>
      </c>
      <c r="C97" s="225">
        <v>1</v>
      </c>
      <c r="D97" s="498">
        <v>-5</v>
      </c>
      <c r="E97" s="503">
        <v>0.05</v>
      </c>
      <c r="F97" s="498">
        <v>14</v>
      </c>
      <c r="G97" s="498">
        <v>6</v>
      </c>
      <c r="H97" s="732">
        <v>9500000</v>
      </c>
      <c r="I97" s="200"/>
      <c r="J97" s="200"/>
    </row>
    <row r="98" spans="1:10">
      <c r="A98" s="10">
        <v>2</v>
      </c>
      <c r="B98" s="10">
        <v>1</v>
      </c>
      <c r="C98" s="225">
        <v>0.75</v>
      </c>
      <c r="D98" s="498">
        <v>-2</v>
      </c>
      <c r="E98" s="503">
        <v>2.5000000000000001E-2</v>
      </c>
      <c r="F98" s="498">
        <v>8</v>
      </c>
      <c r="G98" s="498">
        <v>3</v>
      </c>
      <c r="H98" s="732">
        <v>7500000</v>
      </c>
      <c r="I98" s="200"/>
      <c r="J98" s="200"/>
    </row>
    <row r="99" spans="1:10">
      <c r="A99" s="10">
        <v>0.5</v>
      </c>
      <c r="B99" s="10">
        <v>1.5</v>
      </c>
      <c r="C99" s="225">
        <v>0.5</v>
      </c>
      <c r="D99" s="498">
        <v>0</v>
      </c>
      <c r="E99" s="503">
        <v>1.4999999999999999E-2</v>
      </c>
      <c r="F99" s="498">
        <v>4</v>
      </c>
      <c r="G99" s="498">
        <v>0</v>
      </c>
      <c r="H99" s="732">
        <v>6000000</v>
      </c>
      <c r="I99" s="200"/>
      <c r="J99" s="200"/>
    </row>
    <row r="100" spans="1:10">
      <c r="A100" s="10">
        <v>-0.5</v>
      </c>
      <c r="B100" s="10">
        <v>2</v>
      </c>
      <c r="C100" s="225">
        <v>0.25</v>
      </c>
      <c r="D100" s="498">
        <v>3</v>
      </c>
      <c r="E100" s="503">
        <v>2.5000000000000001E-2</v>
      </c>
      <c r="F100" s="498">
        <v>3</v>
      </c>
      <c r="G100" s="498">
        <v>-1.5</v>
      </c>
      <c r="H100" s="732">
        <v>7000000</v>
      </c>
      <c r="I100" s="200"/>
      <c r="J100" s="200"/>
    </row>
    <row r="101" spans="1:10">
      <c r="A101" s="10">
        <v>-1</v>
      </c>
      <c r="B101" s="10">
        <v>2.5</v>
      </c>
      <c r="C101" s="225">
        <v>0.1</v>
      </c>
      <c r="D101" s="498">
        <v>7</v>
      </c>
      <c r="E101" s="503">
        <v>0.05</v>
      </c>
      <c r="F101" s="498">
        <v>2</v>
      </c>
      <c r="G101" s="498">
        <v>-2.5</v>
      </c>
      <c r="H101" s="732">
        <v>8500000</v>
      </c>
      <c r="I101" s="200"/>
      <c r="J101" s="200"/>
    </row>
    <row r="102" spans="1:10">
      <c r="J102" s="10" t="s">
        <v>1964</v>
      </c>
    </row>
    <row r="103" spans="1:10">
      <c r="D103" s="10">
        <v>1.01</v>
      </c>
      <c r="E103" s="10">
        <v>1.75</v>
      </c>
      <c r="F103" s="10">
        <v>1.02</v>
      </c>
    </row>
    <row r="104" spans="1:10">
      <c r="D104" s="224">
        <v>1.4999999999999999E-2</v>
      </c>
      <c r="E104" s="204">
        <v>1.4999999999999999E-2</v>
      </c>
      <c r="F104" s="10">
        <v>0.1</v>
      </c>
    </row>
    <row r="105" spans="1:10">
      <c r="C105" s="11" t="s">
        <v>1658</v>
      </c>
      <c r="D105" s="201" t="s">
        <v>2032</v>
      </c>
      <c r="E105" s="201" t="s">
        <v>397</v>
      </c>
      <c r="F105" s="201" t="s">
        <v>406</v>
      </c>
      <c r="G105" s="201" t="s">
        <v>1651</v>
      </c>
      <c r="H105" s="201"/>
      <c r="I105" s="201"/>
      <c r="J105" s="201"/>
    </row>
    <row r="106" spans="1:10">
      <c r="C106" s="11" t="s">
        <v>1665</v>
      </c>
      <c r="D106" s="201">
        <v>0</v>
      </c>
      <c r="E106" s="201">
        <v>0</v>
      </c>
      <c r="F106" s="201">
        <v>0</v>
      </c>
      <c r="G106" s="201">
        <v>0</v>
      </c>
      <c r="H106" s="201"/>
      <c r="I106" s="201"/>
      <c r="J106" s="201"/>
    </row>
    <row r="107" spans="1:10">
      <c r="A107" s="10">
        <v>3</v>
      </c>
      <c r="B107" s="10">
        <v>5</v>
      </c>
      <c r="C107" s="11" t="s">
        <v>899</v>
      </c>
      <c r="D107" s="500">
        <v>0.12</v>
      </c>
      <c r="E107" s="503">
        <v>0.03</v>
      </c>
      <c r="F107" s="498">
        <v>8</v>
      </c>
      <c r="G107" s="498"/>
      <c r="H107" s="201"/>
      <c r="I107" s="201"/>
      <c r="J107" s="201"/>
    </row>
    <row r="108" spans="1:10">
      <c r="A108" s="10">
        <v>2</v>
      </c>
      <c r="B108" s="10">
        <v>4</v>
      </c>
      <c r="C108" s="11" t="s">
        <v>900</v>
      </c>
      <c r="D108" s="500">
        <v>0.05</v>
      </c>
      <c r="E108" s="503">
        <v>0.03</v>
      </c>
      <c r="F108" s="498">
        <v>6</v>
      </c>
      <c r="G108" s="200"/>
      <c r="H108" s="200"/>
      <c r="I108" s="200"/>
      <c r="J108" s="200"/>
    </row>
    <row r="109" spans="1:10">
      <c r="A109" s="10">
        <v>1</v>
      </c>
      <c r="B109" s="10">
        <v>3</v>
      </c>
      <c r="C109" s="11" t="s">
        <v>901</v>
      </c>
      <c r="D109" s="500">
        <v>0.02</v>
      </c>
      <c r="E109" s="503">
        <v>0.03</v>
      </c>
      <c r="F109" s="498">
        <v>4</v>
      </c>
      <c r="G109" s="200"/>
      <c r="H109" s="200"/>
      <c r="I109" s="200"/>
      <c r="J109" s="200"/>
    </row>
    <row r="110" spans="1:10">
      <c r="A110" s="10">
        <v>-1</v>
      </c>
      <c r="B110" s="10">
        <v>2</v>
      </c>
      <c r="C110" s="11" t="s">
        <v>902</v>
      </c>
      <c r="D110" s="500">
        <v>0</v>
      </c>
      <c r="E110" s="503">
        <v>0.03</v>
      </c>
      <c r="F110" s="498">
        <v>2</v>
      </c>
      <c r="G110" s="200"/>
      <c r="H110" s="200"/>
      <c r="I110" s="200"/>
      <c r="J110" s="200"/>
    </row>
    <row r="111" spans="1:10">
      <c r="A111" s="10">
        <v>-2</v>
      </c>
      <c r="B111" s="10">
        <v>1</v>
      </c>
      <c r="C111" s="11" t="s">
        <v>1284</v>
      </c>
      <c r="D111" s="500">
        <v>0.04</v>
      </c>
      <c r="E111" s="503">
        <v>0.03</v>
      </c>
      <c r="F111" s="498">
        <v>0</v>
      </c>
      <c r="G111" s="200"/>
      <c r="H111" s="200"/>
      <c r="I111" s="200"/>
      <c r="J111" s="200"/>
    </row>
    <row r="112" spans="1:10">
      <c r="J112" s="10" t="s">
        <v>1659</v>
      </c>
    </row>
    <row r="113" spans="2:10">
      <c r="D113" s="10">
        <v>0.99</v>
      </c>
      <c r="E113" s="10">
        <v>2.25</v>
      </c>
      <c r="F113" s="10">
        <v>1.25</v>
      </c>
    </row>
    <row r="114" spans="2:10">
      <c r="D114" s="224">
        <v>7.4999999999999997E-3</v>
      </c>
      <c r="E114" s="10">
        <v>0.15</v>
      </c>
      <c r="F114" s="10">
        <v>0.5</v>
      </c>
    </row>
    <row r="115" spans="2:10">
      <c r="C115" s="11" t="s">
        <v>408</v>
      </c>
      <c r="D115" s="201" t="s">
        <v>2032</v>
      </c>
      <c r="E115" s="201" t="s">
        <v>1651</v>
      </c>
      <c r="F115" s="201" t="s">
        <v>398</v>
      </c>
      <c r="G115" s="201" t="s">
        <v>201</v>
      </c>
      <c r="H115" s="201"/>
      <c r="I115" s="201"/>
      <c r="J115" s="201"/>
    </row>
    <row r="116" spans="2:10">
      <c r="C116" s="11" t="s">
        <v>1665</v>
      </c>
      <c r="D116" s="201">
        <v>0</v>
      </c>
      <c r="E116" s="201">
        <v>0</v>
      </c>
      <c r="F116" s="201">
        <v>0</v>
      </c>
      <c r="G116" s="201"/>
      <c r="H116" s="201"/>
      <c r="I116" s="201"/>
      <c r="J116" s="201"/>
    </row>
    <row r="117" spans="2:10">
      <c r="B117" s="10">
        <v>4</v>
      </c>
      <c r="C117" s="11" t="s">
        <v>899</v>
      </c>
      <c r="D117" s="500"/>
      <c r="E117" s="501">
        <v>2</v>
      </c>
      <c r="F117" s="501"/>
      <c r="G117" s="201"/>
      <c r="H117" s="201"/>
      <c r="I117" s="201"/>
      <c r="J117" s="201"/>
    </row>
    <row r="118" spans="2:10">
      <c r="B118" s="10">
        <v>2</v>
      </c>
      <c r="C118" s="11" t="s">
        <v>900</v>
      </c>
      <c r="D118" s="500"/>
      <c r="E118" s="501">
        <v>1</v>
      </c>
      <c r="F118" s="501"/>
      <c r="G118" s="200"/>
      <c r="H118" s="200"/>
      <c r="I118" s="200"/>
      <c r="J118" s="200"/>
    </row>
    <row r="119" spans="2:10">
      <c r="B119" s="10">
        <v>1</v>
      </c>
      <c r="C119" s="11" t="s">
        <v>901</v>
      </c>
      <c r="D119" s="500"/>
      <c r="E119" s="501">
        <v>0</v>
      </c>
      <c r="F119" s="501"/>
      <c r="G119" s="200"/>
      <c r="H119" s="200"/>
      <c r="I119" s="200"/>
      <c r="J119" s="200"/>
    </row>
    <row r="120" spans="2:10">
      <c r="B120" s="10">
        <v>-2</v>
      </c>
      <c r="C120" s="11" t="s">
        <v>902</v>
      </c>
      <c r="D120" s="500"/>
      <c r="E120" s="501">
        <v>-1</v>
      </c>
      <c r="F120" s="501"/>
      <c r="G120" s="200"/>
      <c r="H120" s="200"/>
      <c r="I120" s="200"/>
      <c r="J120" s="200"/>
    </row>
    <row r="121" spans="2:10">
      <c r="B121" s="10">
        <v>-3</v>
      </c>
      <c r="C121" s="11" t="s">
        <v>1284</v>
      </c>
      <c r="D121" s="500"/>
      <c r="E121" s="501">
        <v>-2</v>
      </c>
      <c r="F121" s="501"/>
      <c r="G121" s="200"/>
      <c r="H121" s="200"/>
      <c r="I121" s="200"/>
      <c r="J121" s="200"/>
    </row>
    <row r="122" spans="2:10">
      <c r="J122" s="10" t="s">
        <v>1958</v>
      </c>
    </row>
    <row r="123" spans="2:10">
      <c r="D123" s="10">
        <v>1.04</v>
      </c>
      <c r="E123" s="10">
        <v>0.15</v>
      </c>
      <c r="F123" s="10">
        <v>2</v>
      </c>
    </row>
    <row r="124" spans="2:10">
      <c r="D124" s="224">
        <v>0.01</v>
      </c>
      <c r="E124" s="611">
        <v>-0.5</v>
      </c>
      <c r="F124" s="613">
        <v>0.85</v>
      </c>
    </row>
    <row r="125" spans="2:10">
      <c r="C125" s="11" t="s">
        <v>1969</v>
      </c>
      <c r="D125" s="201" t="s">
        <v>2032</v>
      </c>
      <c r="E125" s="201" t="s">
        <v>1651</v>
      </c>
      <c r="F125" s="201" t="s">
        <v>1153</v>
      </c>
      <c r="G125" s="201" t="s">
        <v>2213</v>
      </c>
      <c r="H125" s="201"/>
      <c r="I125" s="201"/>
      <c r="J125" s="201"/>
    </row>
    <row r="126" spans="2:10">
      <c r="C126" s="11" t="s">
        <v>1665</v>
      </c>
      <c r="D126" s="201">
        <v>0</v>
      </c>
      <c r="E126" s="201">
        <v>0</v>
      </c>
      <c r="F126" s="201">
        <v>0</v>
      </c>
      <c r="G126" s="435">
        <v>0</v>
      </c>
      <c r="H126" s="201"/>
      <c r="I126" s="201"/>
      <c r="J126" s="201"/>
    </row>
    <row r="127" spans="2:10">
      <c r="B127" s="10">
        <v>4</v>
      </c>
      <c r="C127" s="11" t="s">
        <v>899</v>
      </c>
      <c r="D127" s="500">
        <v>0.15</v>
      </c>
      <c r="E127" s="676"/>
      <c r="F127" s="733">
        <v>5</v>
      </c>
      <c r="G127" s="500">
        <v>1</v>
      </c>
      <c r="H127" s="201"/>
      <c r="I127" s="201"/>
      <c r="J127" s="201"/>
    </row>
    <row r="128" spans="2:10">
      <c r="B128" s="10">
        <v>2</v>
      </c>
      <c r="C128" s="11" t="s">
        <v>900</v>
      </c>
      <c r="D128" s="500">
        <v>0.12</v>
      </c>
      <c r="E128" s="676"/>
      <c r="F128" s="733">
        <v>4</v>
      </c>
      <c r="G128" s="720">
        <v>1.03</v>
      </c>
      <c r="H128" s="200"/>
      <c r="I128" s="200"/>
      <c r="J128" s="200"/>
    </row>
    <row r="129" spans="1:10">
      <c r="B129" s="10">
        <v>1</v>
      </c>
      <c r="C129" s="11" t="s">
        <v>901</v>
      </c>
      <c r="D129" s="500">
        <v>0.1</v>
      </c>
      <c r="E129" s="676"/>
      <c r="F129" s="733">
        <v>-1</v>
      </c>
      <c r="G129" s="720">
        <v>1.06</v>
      </c>
      <c r="H129" s="200"/>
      <c r="I129" s="200"/>
      <c r="J129" s="200"/>
    </row>
    <row r="130" spans="1:10">
      <c r="B130" s="10">
        <v>-2</v>
      </c>
      <c r="C130" s="11" t="s">
        <v>902</v>
      </c>
      <c r="D130" s="500">
        <v>0.08</v>
      </c>
      <c r="E130" s="676"/>
      <c r="F130" s="733">
        <v>-2</v>
      </c>
      <c r="G130" s="720">
        <v>1.0900000000000001</v>
      </c>
      <c r="H130" s="200"/>
      <c r="I130" s="200"/>
      <c r="J130" s="200"/>
    </row>
    <row r="131" spans="1:10">
      <c r="B131" s="10">
        <v>-3</v>
      </c>
      <c r="C131" s="11" t="s">
        <v>1284</v>
      </c>
      <c r="D131" s="500">
        <v>0.04</v>
      </c>
      <c r="E131" s="676"/>
      <c r="F131" s="733">
        <v>-3</v>
      </c>
      <c r="G131" s="720">
        <v>1.2</v>
      </c>
      <c r="H131" s="200"/>
      <c r="I131" s="200"/>
      <c r="J131" s="200"/>
    </row>
    <row r="132" spans="1:10">
      <c r="J132" s="10" t="s">
        <v>2083</v>
      </c>
    </row>
    <row r="133" spans="1:10">
      <c r="D133" s="10">
        <v>1.04</v>
      </c>
      <c r="E133" s="10">
        <v>0.4</v>
      </c>
      <c r="F133" s="10">
        <v>1.02</v>
      </c>
    </row>
    <row r="134" spans="1:10">
      <c r="D134" s="224">
        <v>-0.01</v>
      </c>
      <c r="E134" s="611">
        <v>-0.5</v>
      </c>
      <c r="F134" s="613">
        <v>-0.65</v>
      </c>
    </row>
    <row r="135" spans="1:10">
      <c r="C135" s="11" t="s">
        <v>1945</v>
      </c>
      <c r="D135" s="201" t="s">
        <v>2032</v>
      </c>
      <c r="E135" s="612" t="s">
        <v>1651</v>
      </c>
      <c r="F135" s="612" t="s">
        <v>1153</v>
      </c>
      <c r="G135" s="201"/>
      <c r="H135" s="201"/>
      <c r="I135" s="201"/>
      <c r="J135" s="201"/>
    </row>
    <row r="136" spans="1:10">
      <c r="C136" s="11" t="s">
        <v>1665</v>
      </c>
      <c r="D136" s="201">
        <v>0</v>
      </c>
      <c r="E136" s="612">
        <v>0</v>
      </c>
      <c r="F136" s="612">
        <v>0</v>
      </c>
      <c r="G136" s="201"/>
      <c r="H136" s="201"/>
      <c r="I136" s="201"/>
      <c r="J136" s="201"/>
    </row>
    <row r="137" spans="1:10">
      <c r="A137" s="10">
        <v>3</v>
      </c>
      <c r="B137" s="10">
        <v>-1</v>
      </c>
      <c r="C137" s="225">
        <v>0</v>
      </c>
      <c r="D137" s="500">
        <v>-0.06</v>
      </c>
      <c r="E137" s="501">
        <v>0</v>
      </c>
      <c r="F137" s="501">
        <v>-10</v>
      </c>
      <c r="G137" s="201"/>
      <c r="H137" s="201"/>
      <c r="I137" s="201"/>
      <c r="J137" s="201"/>
    </row>
    <row r="138" spans="1:10">
      <c r="A138" s="10">
        <v>1.5</v>
      </c>
      <c r="B138" s="10">
        <v>-0.5</v>
      </c>
      <c r="C138" s="225">
        <v>0.25</v>
      </c>
      <c r="D138" s="500">
        <v>-0.03</v>
      </c>
      <c r="E138" s="501">
        <v>0</v>
      </c>
      <c r="F138" s="501">
        <v>-4</v>
      </c>
      <c r="G138" s="200"/>
      <c r="H138" s="200"/>
      <c r="I138" s="200"/>
      <c r="J138" s="200"/>
    </row>
    <row r="139" spans="1:10">
      <c r="A139" s="10">
        <v>0</v>
      </c>
      <c r="B139" s="10">
        <v>2</v>
      </c>
      <c r="C139" s="225">
        <v>0.5</v>
      </c>
      <c r="D139" s="500">
        <f>(A139*D133*D134)</f>
        <v>0</v>
      </c>
      <c r="E139" s="501">
        <v>0</v>
      </c>
      <c r="F139" s="501">
        <v>6</v>
      </c>
      <c r="G139" s="200"/>
      <c r="H139" s="200"/>
      <c r="I139" s="200"/>
      <c r="J139" s="200"/>
    </row>
    <row r="140" spans="1:10">
      <c r="A140" s="10">
        <v>-2</v>
      </c>
      <c r="B140" s="10">
        <v>3</v>
      </c>
      <c r="C140" s="225">
        <v>0.75</v>
      </c>
      <c r="D140" s="500">
        <v>0.02</v>
      </c>
      <c r="E140" s="501">
        <v>0</v>
      </c>
      <c r="F140" s="501">
        <v>12</v>
      </c>
      <c r="G140" s="200"/>
      <c r="H140" s="200"/>
      <c r="I140" s="200"/>
      <c r="J140" s="200"/>
    </row>
    <row r="141" spans="1:10">
      <c r="A141" s="10">
        <v>-3.2</v>
      </c>
      <c r="B141" s="10">
        <v>4</v>
      </c>
      <c r="C141" s="225">
        <v>1</v>
      </c>
      <c r="D141" s="500">
        <v>0.05</v>
      </c>
      <c r="E141" s="501">
        <v>0</v>
      </c>
      <c r="F141" s="501">
        <v>18</v>
      </c>
      <c r="G141" s="200"/>
      <c r="H141" s="200"/>
      <c r="I141" s="200"/>
      <c r="J141" s="200"/>
    </row>
    <row r="142" spans="1:10">
      <c r="J142" s="10" t="s">
        <v>1946</v>
      </c>
    </row>
    <row r="143" spans="1:10">
      <c r="D143" s="10">
        <v>1.04</v>
      </c>
      <c r="E143" s="10">
        <v>0.3</v>
      </c>
      <c r="F143" s="10">
        <v>1.02</v>
      </c>
    </row>
    <row r="144" spans="1:10">
      <c r="D144" s="224">
        <v>-0.01</v>
      </c>
      <c r="E144" s="611">
        <v>-0.5</v>
      </c>
      <c r="F144" s="613">
        <v>-0.45</v>
      </c>
    </row>
    <row r="145" spans="1:10">
      <c r="C145" s="11" t="s">
        <v>1949</v>
      </c>
      <c r="D145" s="201" t="s">
        <v>2032</v>
      </c>
      <c r="E145" s="612" t="s">
        <v>1651</v>
      </c>
      <c r="F145" s="612" t="s">
        <v>1153</v>
      </c>
      <c r="G145" s="201"/>
      <c r="H145" s="201"/>
      <c r="I145" s="201"/>
      <c r="J145" s="201"/>
    </row>
    <row r="146" spans="1:10">
      <c r="C146" s="11" t="s">
        <v>1665</v>
      </c>
      <c r="D146" s="201">
        <v>0</v>
      </c>
      <c r="E146" s="612">
        <v>0</v>
      </c>
      <c r="F146" s="612">
        <v>0</v>
      </c>
      <c r="G146" s="201"/>
      <c r="H146" s="201"/>
      <c r="I146" s="201"/>
      <c r="J146" s="201"/>
    </row>
    <row r="147" spans="1:10">
      <c r="A147" s="10">
        <v>3</v>
      </c>
      <c r="B147" s="10">
        <v>-1</v>
      </c>
      <c r="C147" s="225">
        <v>0</v>
      </c>
      <c r="D147" s="500">
        <v>-0.05</v>
      </c>
      <c r="E147" s="501">
        <v>0</v>
      </c>
      <c r="F147" s="501">
        <v>-6</v>
      </c>
      <c r="G147" s="201"/>
      <c r="H147" s="201"/>
      <c r="I147" s="201"/>
      <c r="J147" s="201"/>
    </row>
    <row r="148" spans="1:10">
      <c r="A148" s="10">
        <v>1.5</v>
      </c>
      <c r="B148" s="10">
        <v>-0.5</v>
      </c>
      <c r="C148" s="225">
        <v>0.25</v>
      </c>
      <c r="D148" s="500">
        <v>-2.5000000000000001E-2</v>
      </c>
      <c r="E148" s="501">
        <v>-1</v>
      </c>
      <c r="F148" s="501">
        <v>0</v>
      </c>
      <c r="G148" s="200"/>
      <c r="H148" s="200"/>
      <c r="I148" s="200"/>
      <c r="J148" s="200"/>
    </row>
    <row r="149" spans="1:10">
      <c r="A149" s="10">
        <v>0</v>
      </c>
      <c r="B149" s="10">
        <v>2</v>
      </c>
      <c r="C149" s="225">
        <v>0.5</v>
      </c>
      <c r="D149" s="500">
        <v>0</v>
      </c>
      <c r="E149" s="501">
        <v>-3</v>
      </c>
      <c r="F149" s="501">
        <v>4</v>
      </c>
      <c r="G149" s="200"/>
      <c r="H149" s="200"/>
      <c r="I149" s="200"/>
      <c r="J149" s="200"/>
    </row>
    <row r="150" spans="1:10">
      <c r="A150" s="10">
        <v>-2</v>
      </c>
      <c r="B150" s="10">
        <v>3</v>
      </c>
      <c r="C150" s="225">
        <v>0.75</v>
      </c>
      <c r="D150" s="500">
        <v>2.5000000000000001E-2</v>
      </c>
      <c r="E150" s="501">
        <v>-5</v>
      </c>
      <c r="F150" s="501">
        <v>7</v>
      </c>
      <c r="G150" s="200"/>
      <c r="H150" s="200"/>
      <c r="I150" s="200"/>
      <c r="J150" s="200"/>
    </row>
    <row r="151" spans="1:10">
      <c r="A151" s="10">
        <v>-3.2</v>
      </c>
      <c r="B151" s="10">
        <v>4</v>
      </c>
      <c r="C151" s="225">
        <v>1</v>
      </c>
      <c r="D151" s="500">
        <v>0.05</v>
      </c>
      <c r="E151" s="501">
        <v>-8</v>
      </c>
      <c r="F151" s="501">
        <v>10</v>
      </c>
      <c r="G151" s="200"/>
      <c r="H151" s="200"/>
      <c r="I151" s="200"/>
      <c r="J151" s="200"/>
    </row>
    <row r="152" spans="1:10">
      <c r="J152" s="10" t="s">
        <v>1950</v>
      </c>
    </row>
    <row r="153" spans="1:10">
      <c r="D153" s="10">
        <v>1.04</v>
      </c>
      <c r="E153" s="10">
        <v>0.2</v>
      </c>
      <c r="F153" s="10">
        <v>1.02</v>
      </c>
    </row>
    <row r="154" spans="1:10">
      <c r="D154" s="224">
        <v>-0.01</v>
      </c>
      <c r="E154" s="611">
        <v>-0.5</v>
      </c>
      <c r="F154" s="613">
        <v>-0.35</v>
      </c>
    </row>
    <row r="155" spans="1:10">
      <c r="C155" s="11" t="s">
        <v>1947</v>
      </c>
      <c r="D155" s="201" t="s">
        <v>2032</v>
      </c>
      <c r="E155" s="612" t="s">
        <v>1651</v>
      </c>
      <c r="F155" s="612" t="s">
        <v>1153</v>
      </c>
      <c r="G155" s="201"/>
      <c r="H155" s="201"/>
      <c r="I155" s="201"/>
      <c r="J155" s="201"/>
    </row>
    <row r="156" spans="1:10">
      <c r="C156" s="11" t="s">
        <v>1665</v>
      </c>
      <c r="D156" s="201">
        <v>0</v>
      </c>
      <c r="E156" s="612">
        <v>0</v>
      </c>
      <c r="F156" s="612">
        <v>0</v>
      </c>
      <c r="G156" s="201"/>
      <c r="H156" s="201"/>
      <c r="I156" s="201"/>
      <c r="J156" s="201"/>
    </row>
    <row r="157" spans="1:10">
      <c r="A157" s="10">
        <v>3</v>
      </c>
      <c r="B157" s="10">
        <v>-1</v>
      </c>
      <c r="C157" s="225">
        <v>0</v>
      </c>
      <c r="D157" s="500">
        <v>-0.05</v>
      </c>
      <c r="E157" s="501">
        <v>0</v>
      </c>
      <c r="F157" s="501">
        <v>-3</v>
      </c>
      <c r="G157" s="201"/>
      <c r="H157" s="201"/>
      <c r="I157" s="201"/>
      <c r="J157" s="201"/>
    </row>
    <row r="158" spans="1:10">
      <c r="A158" s="10">
        <v>1.5</v>
      </c>
      <c r="B158" s="10">
        <v>-0.5</v>
      </c>
      <c r="C158" s="225">
        <v>0.25</v>
      </c>
      <c r="D158" s="500">
        <v>-2.5000000000000001E-2</v>
      </c>
      <c r="E158" s="501">
        <v>-1</v>
      </c>
      <c r="F158" s="501">
        <v>1</v>
      </c>
      <c r="G158" s="200"/>
      <c r="H158" s="200"/>
      <c r="I158" s="200"/>
      <c r="J158" s="200"/>
    </row>
    <row r="159" spans="1:10">
      <c r="A159" s="10">
        <v>0</v>
      </c>
      <c r="B159" s="10">
        <v>2</v>
      </c>
      <c r="C159" s="225">
        <v>0.5</v>
      </c>
      <c r="D159" s="500">
        <v>0</v>
      </c>
      <c r="E159" s="501">
        <v>-2</v>
      </c>
      <c r="F159" s="501">
        <v>2</v>
      </c>
      <c r="G159" s="200"/>
      <c r="H159" s="200"/>
      <c r="I159" s="200"/>
      <c r="J159" s="200"/>
    </row>
    <row r="160" spans="1:10">
      <c r="A160" s="10">
        <v>-2</v>
      </c>
      <c r="B160" s="10">
        <v>3</v>
      </c>
      <c r="C160" s="225">
        <v>0.75</v>
      </c>
      <c r="D160" s="500">
        <v>2.5000000000000001E-2</v>
      </c>
      <c r="E160" s="501">
        <v>-3</v>
      </c>
      <c r="F160" s="501">
        <v>3</v>
      </c>
      <c r="G160" s="200"/>
      <c r="H160" s="200"/>
      <c r="I160" s="200"/>
      <c r="J160" s="200"/>
    </row>
    <row r="161" spans="1:10">
      <c r="A161" s="10">
        <v>-3.2</v>
      </c>
      <c r="B161" s="10">
        <v>4</v>
      </c>
      <c r="C161" s="225">
        <v>1</v>
      </c>
      <c r="D161" s="500">
        <v>0.05</v>
      </c>
      <c r="E161" s="501">
        <v>-8</v>
      </c>
      <c r="F161" s="501">
        <v>4</v>
      </c>
      <c r="G161" s="200"/>
      <c r="H161" s="200"/>
      <c r="I161" s="200"/>
      <c r="J161" s="200"/>
    </row>
    <row r="162" spans="1:10">
      <c r="J162" s="10" t="s">
        <v>1948</v>
      </c>
    </row>
    <row r="163" spans="1:10">
      <c r="D163" s="10">
        <v>1.04</v>
      </c>
      <c r="E163" s="10">
        <v>0.15</v>
      </c>
      <c r="F163" s="10">
        <v>1.02</v>
      </c>
    </row>
    <row r="164" spans="1:10">
      <c r="D164" s="224">
        <v>0.01</v>
      </c>
      <c r="E164" s="611">
        <v>-0.5</v>
      </c>
      <c r="F164" s="613">
        <v>0.75</v>
      </c>
    </row>
    <row r="165" spans="1:10">
      <c r="C165" s="11" t="s">
        <v>1967</v>
      </c>
      <c r="D165" s="201" t="s">
        <v>2032</v>
      </c>
      <c r="E165" s="201" t="s">
        <v>1651</v>
      </c>
      <c r="F165" s="201" t="s">
        <v>1153</v>
      </c>
      <c r="G165" s="201" t="s">
        <v>406</v>
      </c>
      <c r="H165" s="201"/>
      <c r="I165" s="201"/>
      <c r="J165" s="201"/>
    </row>
    <row r="166" spans="1:10">
      <c r="C166" s="11" t="s">
        <v>1665</v>
      </c>
      <c r="D166" s="201">
        <v>0</v>
      </c>
      <c r="E166" s="201">
        <v>0</v>
      </c>
      <c r="F166" s="201">
        <v>0</v>
      </c>
      <c r="G166" s="201">
        <v>0</v>
      </c>
      <c r="H166" s="201"/>
      <c r="I166" s="201"/>
      <c r="J166" s="201"/>
    </row>
    <row r="167" spans="1:10">
      <c r="B167" s="10">
        <v>4</v>
      </c>
      <c r="C167" s="11" t="s">
        <v>899</v>
      </c>
      <c r="D167" s="500">
        <v>0.04</v>
      </c>
      <c r="E167" s="501">
        <v>-2</v>
      </c>
      <c r="F167" s="501">
        <v>3</v>
      </c>
      <c r="G167" s="201">
        <v>3</v>
      </c>
      <c r="H167" s="201"/>
      <c r="I167" s="201"/>
      <c r="J167" s="201"/>
    </row>
    <row r="168" spans="1:10">
      <c r="B168" s="10">
        <v>2</v>
      </c>
      <c r="C168" s="11" t="s">
        <v>900</v>
      </c>
      <c r="D168" s="500">
        <v>0.02</v>
      </c>
      <c r="E168" s="501">
        <v>-1</v>
      </c>
      <c r="F168" s="501">
        <v>1.5</v>
      </c>
      <c r="G168" s="200">
        <v>2</v>
      </c>
      <c r="H168" s="200"/>
      <c r="I168" s="200"/>
      <c r="J168" s="200"/>
    </row>
    <row r="169" spans="1:10">
      <c r="B169" s="10">
        <v>1</v>
      </c>
      <c r="C169" s="11" t="s">
        <v>901</v>
      </c>
      <c r="D169" s="500">
        <v>0.01</v>
      </c>
      <c r="E169" s="501">
        <v>0</v>
      </c>
      <c r="F169" s="501">
        <v>0.5</v>
      </c>
      <c r="G169" s="200">
        <v>1</v>
      </c>
      <c r="H169" s="200"/>
      <c r="I169" s="200"/>
      <c r="J169" s="200"/>
    </row>
    <row r="170" spans="1:10">
      <c r="B170" s="10">
        <v>-2</v>
      </c>
      <c r="C170" s="11" t="s">
        <v>902</v>
      </c>
      <c r="D170" s="500">
        <v>-0.02</v>
      </c>
      <c r="E170" s="501">
        <v>1</v>
      </c>
      <c r="F170" s="501">
        <v>-1.5</v>
      </c>
      <c r="G170" s="200">
        <v>0</v>
      </c>
      <c r="H170" s="200"/>
      <c r="I170" s="200"/>
      <c r="J170" s="200"/>
    </row>
    <row r="171" spans="1:10">
      <c r="B171" s="10">
        <v>-3</v>
      </c>
      <c r="C171" s="11" t="s">
        <v>1284</v>
      </c>
      <c r="D171" s="500">
        <v>0</v>
      </c>
      <c r="E171" s="501">
        <v>2</v>
      </c>
      <c r="F171" s="501">
        <v>-3</v>
      </c>
      <c r="G171" s="200">
        <v>-7</v>
      </c>
      <c r="H171" s="200"/>
      <c r="I171" s="200"/>
      <c r="J171" s="200"/>
    </row>
    <row r="172" spans="1:10">
      <c r="J172" s="10" t="s">
        <v>2084</v>
      </c>
    </row>
    <row r="173" spans="1:10">
      <c r="D173" s="10">
        <v>1.05</v>
      </c>
      <c r="E173" s="10">
        <v>0.15</v>
      </c>
      <c r="F173" s="10">
        <v>1.02</v>
      </c>
    </row>
    <row r="174" spans="1:10">
      <c r="D174" s="224">
        <v>0.01</v>
      </c>
      <c r="E174" s="611">
        <v>-0.5</v>
      </c>
      <c r="F174" s="613">
        <v>0.75</v>
      </c>
    </row>
    <row r="175" spans="1:10">
      <c r="C175" s="11" t="s">
        <v>2085</v>
      </c>
      <c r="D175" s="201" t="s">
        <v>2032</v>
      </c>
      <c r="E175" s="201" t="s">
        <v>1651</v>
      </c>
      <c r="F175" s="201" t="s">
        <v>398</v>
      </c>
      <c r="G175" s="201" t="s">
        <v>201</v>
      </c>
      <c r="H175" s="201"/>
      <c r="I175" s="201"/>
      <c r="J175" s="201"/>
    </row>
    <row r="176" spans="1:10">
      <c r="C176" s="11" t="s">
        <v>1665</v>
      </c>
      <c r="D176" s="201">
        <v>0</v>
      </c>
      <c r="E176" s="201">
        <v>0</v>
      </c>
      <c r="F176" s="201">
        <v>0</v>
      </c>
      <c r="G176" s="201"/>
      <c r="H176" s="201"/>
      <c r="I176" s="201"/>
      <c r="J176" s="201"/>
    </row>
    <row r="177" spans="2:12">
      <c r="B177" s="10">
        <v>4</v>
      </c>
      <c r="C177" s="11" t="s">
        <v>899</v>
      </c>
      <c r="D177" s="500">
        <v>0.08</v>
      </c>
      <c r="E177" s="501">
        <v>-3</v>
      </c>
      <c r="F177" s="501">
        <v>6</v>
      </c>
      <c r="G177" s="201"/>
      <c r="H177" s="201"/>
      <c r="I177" s="201"/>
      <c r="J177" s="201"/>
    </row>
    <row r="178" spans="2:12">
      <c r="B178" s="10">
        <v>2</v>
      </c>
      <c r="C178" s="11" t="s">
        <v>900</v>
      </c>
      <c r="D178" s="500">
        <v>0.04</v>
      </c>
      <c r="E178" s="501">
        <v>-2</v>
      </c>
      <c r="F178" s="501">
        <v>3</v>
      </c>
      <c r="G178" s="200"/>
      <c r="H178" s="200"/>
      <c r="I178" s="200"/>
      <c r="J178" s="200"/>
    </row>
    <row r="179" spans="2:12">
      <c r="B179" s="10">
        <v>1</v>
      </c>
      <c r="C179" s="11" t="s">
        <v>901</v>
      </c>
      <c r="D179" s="500">
        <v>0.02</v>
      </c>
      <c r="E179" s="501">
        <v>2</v>
      </c>
      <c r="F179" s="501">
        <v>0</v>
      </c>
      <c r="G179" s="200"/>
      <c r="H179" s="200"/>
      <c r="I179" s="200"/>
      <c r="J179" s="200"/>
    </row>
    <row r="180" spans="2:12">
      <c r="B180" s="10">
        <v>-2</v>
      </c>
      <c r="C180" s="11" t="s">
        <v>902</v>
      </c>
      <c r="D180" s="500">
        <v>0</v>
      </c>
      <c r="E180" s="501">
        <v>-1</v>
      </c>
      <c r="F180" s="501">
        <v>-1.5</v>
      </c>
      <c r="G180" s="200"/>
      <c r="H180" s="200"/>
      <c r="I180" s="200"/>
      <c r="J180" s="200"/>
    </row>
    <row r="181" spans="2:12">
      <c r="B181" s="10">
        <v>-3</v>
      </c>
      <c r="C181" s="11" t="s">
        <v>1284</v>
      </c>
      <c r="D181" s="500">
        <v>0</v>
      </c>
      <c r="E181" s="501">
        <v>-2</v>
      </c>
      <c r="F181" s="501">
        <v>-3</v>
      </c>
      <c r="G181" s="200"/>
      <c r="H181" s="200"/>
      <c r="I181" s="200"/>
      <c r="J181" s="200"/>
    </row>
    <row r="182" spans="2:12">
      <c r="J182" s="10" t="s">
        <v>2086</v>
      </c>
      <c r="L182" s="749"/>
    </row>
    <row r="183" spans="2:12">
      <c r="C183" s="11" t="s">
        <v>2155</v>
      </c>
      <c r="D183" s="201" t="s">
        <v>2032</v>
      </c>
      <c r="E183" s="201" t="s">
        <v>1651</v>
      </c>
      <c r="F183" s="201" t="s">
        <v>398</v>
      </c>
      <c r="G183" s="201" t="s">
        <v>201</v>
      </c>
      <c r="H183" s="201"/>
      <c r="I183" s="201"/>
      <c r="J183" s="201"/>
      <c r="L183" s="749"/>
    </row>
    <row r="184" spans="2:12">
      <c r="C184" s="11" t="s">
        <v>1665</v>
      </c>
      <c r="D184" s="201">
        <v>0</v>
      </c>
      <c r="E184" s="201">
        <v>0</v>
      </c>
      <c r="F184" s="201">
        <v>0</v>
      </c>
      <c r="G184" s="203"/>
      <c r="H184" s="201"/>
      <c r="I184" s="201"/>
      <c r="J184" s="201"/>
      <c r="L184" s="749"/>
    </row>
    <row r="185" spans="2:12">
      <c r="B185" s="10">
        <v>4</v>
      </c>
      <c r="C185" s="225">
        <v>-0.1</v>
      </c>
      <c r="D185" s="500">
        <f>(B185*D181*D182)</f>
        <v>0</v>
      </c>
      <c r="E185" s="501">
        <v>-12</v>
      </c>
      <c r="F185" s="501">
        <f>-(B185*F181*F182)</f>
        <v>0</v>
      </c>
      <c r="G185" s="203">
        <v>-1500000</v>
      </c>
      <c r="H185" s="201"/>
      <c r="I185" s="201"/>
      <c r="J185" s="201"/>
      <c r="L185" s="749">
        <v>0.2</v>
      </c>
    </row>
    <row r="186" spans="2:12">
      <c r="C186" s="225">
        <v>-0.05</v>
      </c>
      <c r="D186" s="500">
        <v>0</v>
      </c>
      <c r="E186" s="501">
        <v>-6</v>
      </c>
      <c r="F186" s="501">
        <v>0</v>
      </c>
      <c r="G186" s="203">
        <v>-750000</v>
      </c>
      <c r="H186" s="201"/>
      <c r="I186" s="201"/>
      <c r="J186" s="201"/>
      <c r="L186" s="749">
        <v>0.15</v>
      </c>
    </row>
    <row r="187" spans="2:12">
      <c r="B187" s="10">
        <v>2</v>
      </c>
      <c r="C187" s="225">
        <v>0</v>
      </c>
      <c r="D187" s="500">
        <f>(B187*D181*D182)</f>
        <v>0</v>
      </c>
      <c r="E187" s="501">
        <v>0</v>
      </c>
      <c r="F187" s="501">
        <v>0</v>
      </c>
      <c r="G187" s="438">
        <v>0</v>
      </c>
      <c r="H187" s="200"/>
      <c r="I187" s="200"/>
      <c r="J187" s="200"/>
      <c r="L187" s="749">
        <v>0.1</v>
      </c>
    </row>
    <row r="188" spans="2:12">
      <c r="C188" s="225">
        <v>0.05</v>
      </c>
      <c r="D188" s="500">
        <v>0</v>
      </c>
      <c r="E188" s="501">
        <v>4</v>
      </c>
      <c r="F188" s="501">
        <v>0</v>
      </c>
      <c r="G188" s="438">
        <v>750000</v>
      </c>
      <c r="H188" s="200"/>
      <c r="I188" s="200"/>
      <c r="J188" s="200"/>
      <c r="L188" s="749">
        <v>0.05</v>
      </c>
    </row>
    <row r="189" spans="2:12">
      <c r="B189" s="10">
        <v>1</v>
      </c>
      <c r="C189" s="225">
        <v>0.1</v>
      </c>
      <c r="D189" s="500">
        <f>(B189*D181*D182)</f>
        <v>0</v>
      </c>
      <c r="E189" s="501">
        <v>8</v>
      </c>
      <c r="F189" s="501">
        <v>0</v>
      </c>
      <c r="G189" s="438">
        <v>1500000</v>
      </c>
      <c r="H189" s="200"/>
      <c r="I189" s="200"/>
      <c r="J189" s="200"/>
      <c r="L189" s="749">
        <v>0</v>
      </c>
    </row>
    <row r="190" spans="2:12">
      <c r="C190" s="225">
        <v>0.15</v>
      </c>
      <c r="D190" s="500">
        <v>0</v>
      </c>
      <c r="E190" s="501">
        <v>12</v>
      </c>
      <c r="F190" s="501">
        <v>0</v>
      </c>
      <c r="G190" s="438">
        <v>2250000</v>
      </c>
      <c r="H190" s="200"/>
      <c r="I190" s="200"/>
      <c r="J190" s="200"/>
      <c r="L190" s="749">
        <v>-0.05</v>
      </c>
    </row>
    <row r="191" spans="2:12">
      <c r="B191" s="10">
        <v>-2</v>
      </c>
      <c r="C191" s="225">
        <v>0.2</v>
      </c>
      <c r="D191" s="500">
        <f>(B191*D181*D182)</f>
        <v>0</v>
      </c>
      <c r="E191" s="501">
        <v>15</v>
      </c>
      <c r="F191" s="501">
        <f>-(B191*F181*F182)</f>
        <v>0</v>
      </c>
      <c r="G191" s="438">
        <v>3000000</v>
      </c>
      <c r="H191" s="200"/>
      <c r="I191" s="200"/>
      <c r="J191" s="200"/>
      <c r="L191" s="749">
        <v>-0.1</v>
      </c>
    </row>
    <row r="192" spans="2:12">
      <c r="G192" s="75"/>
      <c r="J192" s="10" t="s">
        <v>2118</v>
      </c>
      <c r="L192" s="435" t="s">
        <v>2281</v>
      </c>
    </row>
    <row r="193" spans="2:12">
      <c r="C193" s="11" t="s">
        <v>2154</v>
      </c>
      <c r="D193" s="201" t="s">
        <v>2032</v>
      </c>
      <c r="E193" s="201" t="s">
        <v>1651</v>
      </c>
      <c r="F193" s="201" t="s">
        <v>398</v>
      </c>
      <c r="G193" s="203" t="s">
        <v>201</v>
      </c>
      <c r="H193" s="201"/>
      <c r="I193" s="201"/>
      <c r="J193" s="201"/>
      <c r="L193" s="224"/>
    </row>
    <row r="194" spans="2:12">
      <c r="C194" s="11" t="s">
        <v>1665</v>
      </c>
      <c r="D194" s="201">
        <v>0</v>
      </c>
      <c r="E194" s="201">
        <v>0</v>
      </c>
      <c r="F194" s="201">
        <v>0</v>
      </c>
      <c r="G194" s="203"/>
      <c r="H194" s="201"/>
      <c r="I194" s="201"/>
      <c r="J194" s="201"/>
    </row>
    <row r="195" spans="2:12">
      <c r="B195" s="10">
        <v>4</v>
      </c>
      <c r="C195" s="225">
        <v>-0.1</v>
      </c>
      <c r="D195" s="500">
        <f>(B195*D191*D192)</f>
        <v>0</v>
      </c>
      <c r="E195" s="501">
        <v>-20</v>
      </c>
      <c r="F195" s="501">
        <f>-(B195*F191*F192)</f>
        <v>0</v>
      </c>
      <c r="G195" s="203">
        <v>-5000000</v>
      </c>
      <c r="H195" s="201"/>
      <c r="I195" s="201"/>
      <c r="J195" s="201"/>
    </row>
    <row r="196" spans="2:12">
      <c r="C196" s="225">
        <v>-0.05</v>
      </c>
      <c r="D196" s="500">
        <v>0</v>
      </c>
      <c r="E196" s="501">
        <v>-10</v>
      </c>
      <c r="F196" s="501">
        <v>0</v>
      </c>
      <c r="G196" s="203">
        <f>G195/2</f>
        <v>-2500000</v>
      </c>
      <c r="H196" s="201"/>
      <c r="I196" s="201"/>
      <c r="J196" s="201"/>
    </row>
    <row r="197" spans="2:12">
      <c r="B197" s="10">
        <v>2</v>
      </c>
      <c r="C197" s="225">
        <v>0</v>
      </c>
      <c r="D197" s="500">
        <f>(B197*D191*D192)</f>
        <v>0</v>
      </c>
      <c r="E197" s="501">
        <v>0</v>
      </c>
      <c r="F197" s="501">
        <v>0</v>
      </c>
      <c r="G197" s="438">
        <v>0</v>
      </c>
      <c r="H197" s="200"/>
      <c r="I197" s="200"/>
      <c r="J197" s="200"/>
    </row>
    <row r="198" spans="2:12">
      <c r="C198" s="225">
        <v>0.05</v>
      </c>
      <c r="D198" s="500">
        <v>0</v>
      </c>
      <c r="E198" s="501">
        <v>5</v>
      </c>
      <c r="F198" s="501">
        <v>0</v>
      </c>
      <c r="G198" s="438">
        <f>G199/2</f>
        <v>2500000</v>
      </c>
      <c r="H198" s="200"/>
      <c r="I198" s="200"/>
      <c r="J198" s="200"/>
    </row>
    <row r="199" spans="2:12">
      <c r="B199" s="10">
        <v>1</v>
      </c>
      <c r="C199" s="225">
        <v>0.1</v>
      </c>
      <c r="D199" s="500">
        <f>(B199*D191*D192)</f>
        <v>0</v>
      </c>
      <c r="E199" s="501">
        <v>12</v>
      </c>
      <c r="F199" s="501">
        <v>0</v>
      </c>
      <c r="G199" s="438">
        <v>5000000</v>
      </c>
      <c r="H199" s="200"/>
      <c r="I199" s="200"/>
      <c r="J199" s="200"/>
    </row>
    <row r="200" spans="2:12">
      <c r="C200" s="225">
        <v>0.15</v>
      </c>
      <c r="D200" s="500">
        <v>0</v>
      </c>
      <c r="E200" s="501">
        <v>16</v>
      </c>
      <c r="F200" s="501">
        <v>0</v>
      </c>
      <c r="G200" s="438">
        <v>7500000</v>
      </c>
      <c r="H200" s="200"/>
      <c r="I200" s="200"/>
      <c r="J200" s="200"/>
    </row>
    <row r="201" spans="2:12">
      <c r="B201" s="10">
        <v>-2</v>
      </c>
      <c r="C201" s="225">
        <v>0.2</v>
      </c>
      <c r="D201" s="500">
        <f>(B201*D191*D192)</f>
        <v>0</v>
      </c>
      <c r="E201" s="501">
        <v>20</v>
      </c>
      <c r="F201" s="501">
        <f>-(B201*F191*F192)</f>
        <v>0</v>
      </c>
      <c r="G201" s="438">
        <v>10000000</v>
      </c>
      <c r="H201" s="200"/>
      <c r="I201" s="200"/>
      <c r="J201" s="200"/>
    </row>
    <row r="202" spans="2:12">
      <c r="J202" s="10" t="s">
        <v>2119</v>
      </c>
    </row>
    <row r="203" spans="2:12">
      <c r="C203" s="11" t="s">
        <v>2284</v>
      </c>
      <c r="D203" s="201" t="s">
        <v>2032</v>
      </c>
      <c r="E203" s="201" t="s">
        <v>406</v>
      </c>
      <c r="F203" s="201" t="s">
        <v>2078</v>
      </c>
      <c r="G203" s="203" t="s">
        <v>201</v>
      </c>
      <c r="H203" s="201"/>
      <c r="I203" s="201"/>
      <c r="J203" s="201"/>
      <c r="L203" s="224"/>
    </row>
    <row r="204" spans="2:12">
      <c r="C204" s="11" t="s">
        <v>1665</v>
      </c>
      <c r="D204" s="201">
        <v>0</v>
      </c>
      <c r="E204" s="201">
        <v>0</v>
      </c>
      <c r="F204" s="201">
        <v>0</v>
      </c>
      <c r="G204" s="203">
        <v>0</v>
      </c>
      <c r="H204" s="201"/>
      <c r="I204" s="201"/>
      <c r="J204" s="201"/>
    </row>
    <row r="205" spans="2:12">
      <c r="B205" s="10">
        <v>4</v>
      </c>
      <c r="C205" s="225" t="s">
        <v>899</v>
      </c>
      <c r="D205" s="500">
        <v>0.08</v>
      </c>
      <c r="E205" s="501">
        <v>8</v>
      </c>
      <c r="F205" s="676">
        <v>0.02</v>
      </c>
      <c r="G205" s="203">
        <v>2000000</v>
      </c>
      <c r="H205" s="201"/>
      <c r="I205" s="201"/>
      <c r="J205" s="201"/>
    </row>
    <row r="206" spans="2:12">
      <c r="B206" s="10">
        <v>2</v>
      </c>
      <c r="C206" s="225" t="s">
        <v>900</v>
      </c>
      <c r="D206" s="500">
        <v>0.04</v>
      </c>
      <c r="E206" s="501">
        <v>4</v>
      </c>
      <c r="F206" s="676">
        <v>0.02</v>
      </c>
      <c r="G206" s="438">
        <v>2200000</v>
      </c>
      <c r="H206" s="200"/>
      <c r="I206" s="200"/>
      <c r="J206" s="200"/>
    </row>
    <row r="207" spans="2:12">
      <c r="B207" s="10">
        <v>1</v>
      </c>
      <c r="C207" s="225" t="s">
        <v>901</v>
      </c>
      <c r="D207" s="500">
        <v>0.02</v>
      </c>
      <c r="E207" s="501">
        <v>0</v>
      </c>
      <c r="F207" s="676">
        <v>0.02</v>
      </c>
      <c r="G207" s="438">
        <v>2300000</v>
      </c>
      <c r="H207" s="200"/>
      <c r="I207" s="200"/>
      <c r="J207" s="200"/>
    </row>
    <row r="208" spans="2:12">
      <c r="C208" s="225" t="s">
        <v>902</v>
      </c>
      <c r="D208" s="500">
        <v>0.02</v>
      </c>
      <c r="E208" s="501">
        <v>-4</v>
      </c>
      <c r="F208" s="676">
        <v>0.02</v>
      </c>
      <c r="G208" s="438">
        <v>2400000</v>
      </c>
      <c r="H208" s="200"/>
      <c r="I208" s="200"/>
      <c r="J208" s="200"/>
    </row>
    <row r="209" spans="2:12">
      <c r="B209" s="10">
        <v>-2</v>
      </c>
      <c r="C209" s="225" t="s">
        <v>1284</v>
      </c>
      <c r="D209" s="500">
        <v>0.04</v>
      </c>
      <c r="E209" s="501">
        <v>-6</v>
      </c>
      <c r="F209" s="676">
        <v>0.02</v>
      </c>
      <c r="G209" s="438">
        <v>2500000</v>
      </c>
      <c r="H209" s="200"/>
      <c r="I209" s="200"/>
      <c r="J209" s="200"/>
    </row>
    <row r="210" spans="2:12">
      <c r="J210" s="10" t="s">
        <v>2288</v>
      </c>
    </row>
    <row r="211" spans="2:12">
      <c r="C211" s="11" t="s">
        <v>2277</v>
      </c>
      <c r="D211" s="201" t="s">
        <v>2032</v>
      </c>
      <c r="E211" s="201" t="s">
        <v>1651</v>
      </c>
      <c r="F211" s="201" t="s">
        <v>2078</v>
      </c>
      <c r="G211" s="203" t="s">
        <v>201</v>
      </c>
      <c r="H211" s="201"/>
      <c r="I211" s="201"/>
      <c r="J211" s="201"/>
      <c r="L211" s="224"/>
    </row>
    <row r="212" spans="2:12">
      <c r="C212" s="11" t="s">
        <v>1665</v>
      </c>
      <c r="D212" s="201">
        <v>0</v>
      </c>
      <c r="E212" s="201"/>
      <c r="F212" s="201">
        <v>0</v>
      </c>
      <c r="G212" s="203">
        <v>0</v>
      </c>
      <c r="H212" s="201"/>
      <c r="I212" s="201"/>
      <c r="J212" s="201"/>
    </row>
    <row r="213" spans="2:12">
      <c r="B213" s="10">
        <v>4</v>
      </c>
      <c r="C213" s="225" t="s">
        <v>2343</v>
      </c>
      <c r="D213" s="500">
        <v>0.02</v>
      </c>
      <c r="E213" s="501">
        <v>5</v>
      </c>
      <c r="F213" s="676">
        <v>2.5000000000000001E-2</v>
      </c>
      <c r="G213" s="203">
        <v>1000000</v>
      </c>
      <c r="H213" s="201"/>
      <c r="I213" s="201"/>
      <c r="J213" s="201"/>
    </row>
    <row r="214" spans="2:12">
      <c r="B214" s="10">
        <v>2</v>
      </c>
      <c r="C214" s="225" t="s">
        <v>493</v>
      </c>
      <c r="D214" s="500">
        <v>0.1</v>
      </c>
      <c r="E214" s="501">
        <v>-3</v>
      </c>
      <c r="F214" s="676">
        <v>0</v>
      </c>
      <c r="G214" s="438">
        <v>0</v>
      </c>
      <c r="H214" s="200"/>
      <c r="I214" s="200"/>
      <c r="J214" s="200"/>
    </row>
    <row r="215" spans="2:12">
      <c r="B215" s="10">
        <v>1</v>
      </c>
      <c r="C215" s="225"/>
      <c r="D215" s="500"/>
      <c r="E215" s="501"/>
      <c r="F215" s="676"/>
      <c r="G215" s="438"/>
      <c r="H215" s="200"/>
      <c r="I215" s="200"/>
      <c r="J215" s="200"/>
    </row>
    <row r="216" spans="2:12">
      <c r="C216" s="225"/>
      <c r="D216" s="500"/>
      <c r="E216" s="501"/>
      <c r="F216" s="676"/>
      <c r="G216" s="438"/>
      <c r="H216" s="200"/>
      <c r="I216" s="200"/>
      <c r="J216" s="200"/>
    </row>
    <row r="217" spans="2:12">
      <c r="B217" s="10">
        <v>-2</v>
      </c>
      <c r="C217" s="225"/>
      <c r="D217" s="500"/>
      <c r="E217" s="501"/>
      <c r="F217" s="676"/>
      <c r="G217" s="438"/>
      <c r="H217" s="200"/>
      <c r="I217" s="200"/>
      <c r="J217" s="200"/>
    </row>
    <row r="218" spans="2:12">
      <c r="J218" s="10" t="s">
        <v>2344</v>
      </c>
    </row>
    <row r="219" spans="2:12">
      <c r="C219" s="11" t="s">
        <v>3079</v>
      </c>
      <c r="D219" s="201" t="s">
        <v>2032</v>
      </c>
      <c r="E219" s="201" t="s">
        <v>2153</v>
      </c>
      <c r="F219" s="201" t="s">
        <v>2078</v>
      </c>
      <c r="G219" s="203" t="s">
        <v>201</v>
      </c>
      <c r="H219" s="201"/>
      <c r="I219" s="201"/>
      <c r="J219" s="201"/>
      <c r="L219" s="224"/>
    </row>
    <row r="220" spans="2:12">
      <c r="C220" s="11" t="s">
        <v>1665</v>
      </c>
      <c r="D220" s="201">
        <v>0</v>
      </c>
      <c r="E220" s="201"/>
      <c r="F220" s="201">
        <v>0</v>
      </c>
      <c r="G220" s="203">
        <v>0</v>
      </c>
      <c r="H220" s="201"/>
      <c r="I220" s="201"/>
      <c r="J220" s="201"/>
    </row>
    <row r="221" spans="2:12">
      <c r="B221" s="10">
        <v>4</v>
      </c>
      <c r="C221" s="225" t="s">
        <v>899</v>
      </c>
      <c r="D221" s="500">
        <v>0.04</v>
      </c>
      <c r="E221" s="501">
        <v>8</v>
      </c>
      <c r="F221" s="676">
        <v>1.4999999999999999E-2</v>
      </c>
      <c r="G221" s="203">
        <v>500000</v>
      </c>
      <c r="H221" s="201"/>
      <c r="I221" s="201"/>
      <c r="J221" s="201"/>
    </row>
    <row r="222" spans="2:12">
      <c r="B222" s="10">
        <v>2</v>
      </c>
      <c r="C222" s="225" t="s">
        <v>900</v>
      </c>
      <c r="D222" s="500">
        <v>0.02</v>
      </c>
      <c r="E222" s="501">
        <v>4</v>
      </c>
      <c r="F222" s="676">
        <v>1.4999999999999999E-2</v>
      </c>
      <c r="G222" s="438">
        <v>600000</v>
      </c>
      <c r="H222" s="200"/>
      <c r="I222" s="200"/>
      <c r="J222" s="200"/>
    </row>
    <row r="223" spans="2:12">
      <c r="B223" s="10">
        <v>1</v>
      </c>
      <c r="C223" s="225" t="s">
        <v>901</v>
      </c>
      <c r="D223" s="500">
        <v>0.01</v>
      </c>
      <c r="E223" s="501">
        <v>0</v>
      </c>
      <c r="F223" s="676">
        <v>1.4999999999999999E-2</v>
      </c>
      <c r="G223" s="438">
        <v>720000</v>
      </c>
      <c r="H223" s="200"/>
      <c r="I223" s="200"/>
      <c r="J223" s="200"/>
    </row>
    <row r="224" spans="2:12">
      <c r="C224" s="225" t="s">
        <v>902</v>
      </c>
      <c r="D224" s="500">
        <v>0.02</v>
      </c>
      <c r="E224" s="501">
        <v>-4</v>
      </c>
      <c r="F224" s="676">
        <v>1.4999999999999999E-2</v>
      </c>
      <c r="G224" s="438">
        <v>875000</v>
      </c>
      <c r="H224" s="200"/>
      <c r="I224" s="200"/>
      <c r="J224" s="200"/>
    </row>
    <row r="225" spans="2:10">
      <c r="B225" s="10">
        <v>-2</v>
      </c>
      <c r="C225" s="225" t="s">
        <v>1284</v>
      </c>
      <c r="D225" s="500">
        <v>0.04</v>
      </c>
      <c r="E225" s="501">
        <v>-6</v>
      </c>
      <c r="F225" s="676">
        <v>1.4999999999999999E-2</v>
      </c>
      <c r="G225" s="438">
        <v>1025000</v>
      </c>
      <c r="H225" s="200"/>
      <c r="I225" s="200"/>
      <c r="J225" s="200"/>
    </row>
    <row r="226" spans="2:10">
      <c r="B226" s="10">
        <v>-2</v>
      </c>
      <c r="C226" s="225" t="s">
        <v>3139</v>
      </c>
      <c r="D226" s="500">
        <v>0</v>
      </c>
      <c r="E226" s="501">
        <v>0</v>
      </c>
      <c r="F226" s="676">
        <v>0</v>
      </c>
      <c r="G226" s="438">
        <v>0</v>
      </c>
      <c r="H226" s="200"/>
      <c r="I226" s="200"/>
      <c r="J226" s="200"/>
    </row>
    <row r="227" spans="2:10">
      <c r="J227" s="10" t="s">
        <v>3080</v>
      </c>
    </row>
    <row r="228" spans="2:10">
      <c r="D228" s="437">
        <v>7.0000000000000001E-3</v>
      </c>
      <c r="E228" s="437">
        <v>0.01</v>
      </c>
    </row>
    <row r="229" spans="2:10" s="201" customFormat="1">
      <c r="C229" s="109" t="s">
        <v>406</v>
      </c>
      <c r="D229" s="201" t="s">
        <v>1660</v>
      </c>
      <c r="E229" s="201" t="s">
        <v>1276</v>
      </c>
    </row>
    <row r="230" spans="2:10" s="201" customFormat="1">
      <c r="C230" s="11">
        <v>78</v>
      </c>
      <c r="D230" s="204">
        <f>D231*(C230-C231)*(1-D$228)</f>
        <v>0.12445927773581482</v>
      </c>
      <c r="E230" s="204">
        <f t="shared" ref="E230:E237" si="6">E231*($C230-$C231)*(1+E$228)</f>
        <v>7.518761854620519E-2</v>
      </c>
    </row>
    <row r="231" spans="2:10" s="201" customFormat="1">
      <c r="C231" s="11">
        <v>77</v>
      </c>
      <c r="D231" s="204">
        <f>D232*(C231-C232)*(1-D$228)</f>
        <v>0.1253366341750401</v>
      </c>
      <c r="E231" s="204">
        <f t="shared" si="6"/>
        <v>7.4443186679411077E-2</v>
      </c>
    </row>
    <row r="232" spans="2:10" s="201" customFormat="1">
      <c r="C232" s="11">
        <v>76</v>
      </c>
      <c r="D232" s="204">
        <f t="shared" ref="D232:D237" si="7">D233*(C232-C233)*(1-D$228)</f>
        <v>0.12622017540286012</v>
      </c>
      <c r="E232" s="204">
        <f t="shared" si="6"/>
        <v>7.3706125425159488E-2</v>
      </c>
    </row>
    <row r="233" spans="2:10" s="201" customFormat="1">
      <c r="C233" s="11">
        <v>75</v>
      </c>
      <c r="D233" s="204">
        <f t="shared" si="7"/>
        <v>0.12710994501798603</v>
      </c>
      <c r="E233" s="204">
        <f t="shared" si="6"/>
        <v>7.2976361807088608E-2</v>
      </c>
    </row>
    <row r="234" spans="2:10" s="201" customFormat="1">
      <c r="C234" s="11">
        <v>74</v>
      </c>
      <c r="D234" s="204">
        <f t="shared" si="7"/>
        <v>0.12800598692647133</v>
      </c>
      <c r="E234" s="204">
        <f t="shared" si="6"/>
        <v>7.2253823571374859E-2</v>
      </c>
    </row>
    <row r="235" spans="2:10" s="201" customFormat="1">
      <c r="C235" s="11">
        <v>73</v>
      </c>
      <c r="D235" s="204">
        <f t="shared" si="7"/>
        <v>0.12890834534387849</v>
      </c>
      <c r="E235" s="204">
        <f t="shared" si="6"/>
        <v>7.1538439179579069E-2</v>
      </c>
    </row>
    <row r="236" spans="2:10" s="201" customFormat="1">
      <c r="C236" s="11">
        <v>72</v>
      </c>
      <c r="D236" s="204">
        <f t="shared" si="7"/>
        <v>0.12981706479746072</v>
      </c>
      <c r="E236" s="204">
        <f t="shared" si="6"/>
        <v>7.0830137801563428E-2</v>
      </c>
    </row>
    <row r="237" spans="2:10" s="201" customFormat="1">
      <c r="C237" s="11">
        <v>71</v>
      </c>
      <c r="D237" s="204">
        <f t="shared" si="7"/>
        <v>0.13073219012835924</v>
      </c>
      <c r="E237" s="204">
        <f t="shared" si="6"/>
        <v>7.0128849308478639E-2</v>
      </c>
    </row>
    <row r="238" spans="2:10">
      <c r="C238" s="11">
        <v>70</v>
      </c>
      <c r="D238" s="204">
        <f>D239*(C238-C239)*(1-D$228)</f>
        <v>0.13165376649381594</v>
      </c>
      <c r="E238" s="204">
        <f>E239*($C238-$C239)*(1+E$228)</f>
        <v>6.9434504265820429E-2</v>
      </c>
    </row>
    <row r="239" spans="2:10">
      <c r="C239" s="11">
        <v>69</v>
      </c>
      <c r="D239" s="204">
        <f t="shared" ref="D239:D251" si="8">D240*(C239-C240)*(1-D$228)</f>
        <v>0.13258183936940174</v>
      </c>
      <c r="E239" s="204">
        <f t="shared" ref="E239:E270" si="9">E240*($C239-$C240)*(1+E$228)</f>
        <v>6.8747033926554874E-2</v>
      </c>
    </row>
    <row r="240" spans="2:10">
      <c r="C240" s="11">
        <v>68</v>
      </c>
      <c r="D240" s="204">
        <f t="shared" si="8"/>
        <v>0.13351645455126057</v>
      </c>
      <c r="E240" s="204">
        <f t="shared" si="9"/>
        <v>6.8066370224311751E-2</v>
      </c>
    </row>
    <row r="241" spans="3:8">
      <c r="C241" s="11">
        <v>67</v>
      </c>
      <c r="D241" s="204">
        <f t="shared" si="8"/>
        <v>0.13445765815836916</v>
      </c>
      <c r="E241" s="204">
        <f t="shared" si="9"/>
        <v>6.7392445766645298E-2</v>
      </c>
    </row>
    <row r="242" spans="3:8">
      <c r="C242" s="11">
        <v>66</v>
      </c>
      <c r="D242" s="204">
        <f t="shared" si="8"/>
        <v>0.13540549663481286</v>
      </c>
      <c r="E242" s="204">
        <f t="shared" si="9"/>
        <v>6.6725193828361687E-2</v>
      </c>
    </row>
    <row r="243" spans="3:8">
      <c r="C243" s="11">
        <v>65</v>
      </c>
      <c r="D243" s="204">
        <f t="shared" si="8"/>
        <v>0.1363600167520774</v>
      </c>
      <c r="E243" s="204">
        <f t="shared" si="9"/>
        <v>6.6064548344912558E-2</v>
      </c>
    </row>
    <row r="244" spans="3:8">
      <c r="C244" s="11">
        <v>64</v>
      </c>
      <c r="D244" s="204">
        <f t="shared" si="8"/>
        <v>0.13732126561135691</v>
      </c>
      <c r="E244" s="204">
        <f t="shared" si="9"/>
        <v>6.5410443905854015E-2</v>
      </c>
    </row>
    <row r="245" spans="3:8">
      <c r="C245" s="11">
        <v>63</v>
      </c>
      <c r="D245" s="204">
        <f t="shared" si="8"/>
        <v>0.13828929064587805</v>
      </c>
      <c r="E245" s="204">
        <f t="shared" si="9"/>
        <v>6.4762815748370312E-2</v>
      </c>
    </row>
    <row r="246" spans="3:8">
      <c r="C246" s="11">
        <v>62</v>
      </c>
      <c r="D246" s="204">
        <f t="shared" si="8"/>
        <v>0.13926413962324075</v>
      </c>
      <c r="E246" s="204">
        <f t="shared" si="9"/>
        <v>6.4121599750861694E-2</v>
      </c>
    </row>
    <row r="247" spans="3:8">
      <c r="C247" s="11">
        <v>61</v>
      </c>
      <c r="D247" s="204">
        <f t="shared" si="8"/>
        <v>0.14024586064777517</v>
      </c>
      <c r="E247" s="204">
        <f t="shared" si="9"/>
        <v>6.3486732426595735E-2</v>
      </c>
    </row>
    <row r="248" spans="3:8">
      <c r="C248" s="11">
        <v>60</v>
      </c>
      <c r="D248" s="204">
        <f t="shared" si="8"/>
        <v>0.14123450216291558</v>
      </c>
      <c r="E248" s="204">
        <f t="shared" si="9"/>
        <v>6.2858150917421515E-2</v>
      </c>
    </row>
    <row r="249" spans="3:8">
      <c r="C249" s="11">
        <v>59</v>
      </c>
      <c r="D249" s="204">
        <f t="shared" si="8"/>
        <v>0.14223011295359073</v>
      </c>
      <c r="E249" s="204">
        <f t="shared" si="9"/>
        <v>6.2235792987546057E-2</v>
      </c>
    </row>
    <row r="250" spans="3:8">
      <c r="C250" s="11">
        <v>58</v>
      </c>
      <c r="D250" s="204">
        <f t="shared" si="8"/>
        <v>0.14323274214863113</v>
      </c>
      <c r="E250" s="204">
        <f t="shared" si="9"/>
        <v>6.1619597017372331E-2</v>
      </c>
      <c r="G250" s="10">
        <v>90</v>
      </c>
      <c r="H250" s="576">
        <v>0.12</v>
      </c>
    </row>
    <row r="251" spans="3:8">
      <c r="C251" s="11">
        <v>57</v>
      </c>
      <c r="D251" s="204">
        <f t="shared" si="8"/>
        <v>0.14424243922319349</v>
      </c>
      <c r="E251" s="204">
        <f t="shared" si="9"/>
        <v>6.1009501997398345E-2</v>
      </c>
      <c r="G251" s="10">
        <v>80</v>
      </c>
      <c r="H251" s="576">
        <v>0.125</v>
      </c>
    </row>
    <row r="252" spans="3:8">
      <c r="C252" s="11">
        <v>56</v>
      </c>
      <c r="D252" s="204">
        <f>D253*(C252-C253)*(1-D$228)</f>
        <v>0.1452592540012019</v>
      </c>
      <c r="E252" s="204">
        <f t="shared" si="9"/>
        <v>6.0405447522176581E-2</v>
      </c>
      <c r="G252" s="10">
        <v>70</v>
      </c>
      <c r="H252" s="576">
        <v>0.13</v>
      </c>
    </row>
    <row r="253" spans="3:8">
      <c r="C253" s="11">
        <v>55</v>
      </c>
      <c r="D253" s="204">
        <f>D254*(C253-C254)*(1-D$228)</f>
        <v>0.14628323665780654</v>
      </c>
      <c r="E253" s="204">
        <f t="shared" si="9"/>
        <v>5.9807373784333248E-2</v>
      </c>
      <c r="G253" s="10">
        <v>60</v>
      </c>
      <c r="H253" s="576">
        <v>0.14000000000000001</v>
      </c>
    </row>
    <row r="254" spans="3:8">
      <c r="C254" s="11">
        <v>54</v>
      </c>
      <c r="D254" s="204">
        <f>D255*(C254-C255)*(1-D$228)</f>
        <v>0.14731443772185956</v>
      </c>
      <c r="E254" s="204">
        <f t="shared" si="9"/>
        <v>5.9215221568646781E-2</v>
      </c>
      <c r="G254" s="10">
        <v>50</v>
      </c>
      <c r="H254" s="576">
        <v>0.15</v>
      </c>
    </row>
    <row r="255" spans="3:8">
      <c r="C255" s="11">
        <v>53</v>
      </c>
      <c r="D255" s="204">
        <f t="shared" ref="D255:D270" si="10">D256*(C255-C256)*(1-D$228)</f>
        <v>0.14835290807840842</v>
      </c>
      <c r="E255" s="204">
        <f t="shared" si="9"/>
        <v>5.8628932246184928E-2</v>
      </c>
      <c r="G255" s="10">
        <v>40</v>
      </c>
      <c r="H255" s="576">
        <v>0.16</v>
      </c>
    </row>
    <row r="256" spans="3:8">
      <c r="C256" s="11">
        <v>52</v>
      </c>
      <c r="D256" s="204">
        <f t="shared" si="10"/>
        <v>0.14939869897120686</v>
      </c>
      <c r="E256" s="204">
        <f t="shared" si="9"/>
        <v>5.8048447768499926E-2</v>
      </c>
      <c r="G256" s="10">
        <v>30</v>
      </c>
      <c r="H256" s="576">
        <v>0.16500000000000001</v>
      </c>
    </row>
    <row r="257" spans="3:8">
      <c r="C257" s="11">
        <v>51</v>
      </c>
      <c r="D257" s="204">
        <f t="shared" si="10"/>
        <v>0.15045186200524358</v>
      </c>
      <c r="E257" s="204">
        <f t="shared" si="9"/>
        <v>5.7473710661881117E-2</v>
      </c>
      <c r="G257" s="10" t="s">
        <v>2250</v>
      </c>
      <c r="H257" s="201" t="s">
        <v>1661</v>
      </c>
    </row>
    <row r="258" spans="3:8">
      <c r="C258" s="11">
        <v>50</v>
      </c>
      <c r="D258" s="204">
        <f t="shared" si="10"/>
        <v>0.1515124491492886</v>
      </c>
      <c r="E258" s="204">
        <f t="shared" si="9"/>
        <v>5.6904664021664469E-2</v>
      </c>
    </row>
    <row r="259" spans="3:8">
      <c r="C259" s="11">
        <v>49</v>
      </c>
      <c r="D259" s="204">
        <f t="shared" si="10"/>
        <v>0.1525805127384578</v>
      </c>
      <c r="E259" s="204">
        <f t="shared" si="9"/>
        <v>5.6341251506598487E-2</v>
      </c>
    </row>
    <row r="260" spans="3:8">
      <c r="C260" s="11">
        <v>48</v>
      </c>
      <c r="D260" s="204">
        <f t="shared" si="10"/>
        <v>0.15365610547679537</v>
      </c>
      <c r="E260" s="204">
        <f t="shared" si="9"/>
        <v>5.5783417333265826E-2</v>
      </c>
    </row>
    <row r="261" spans="3:8">
      <c r="C261" s="11">
        <v>47</v>
      </c>
      <c r="D261" s="204">
        <f t="shared" si="10"/>
        <v>0.15473928043987448</v>
      </c>
      <c r="E261" s="204">
        <f t="shared" si="9"/>
        <v>5.5231106270560222E-2</v>
      </c>
    </row>
    <row r="262" spans="3:8">
      <c r="C262" s="11">
        <v>46</v>
      </c>
      <c r="D262" s="204">
        <f t="shared" si="10"/>
        <v>0.15583009107741638</v>
      </c>
      <c r="E262" s="204">
        <f t="shared" si="9"/>
        <v>5.4684263634218043E-2</v>
      </c>
    </row>
    <row r="263" spans="3:8">
      <c r="C263" s="11">
        <v>45</v>
      </c>
      <c r="D263" s="204">
        <f t="shared" si="10"/>
        <v>0.15692859121592787</v>
      </c>
      <c r="E263" s="204">
        <f t="shared" si="9"/>
        <v>5.4142835281404005E-2</v>
      </c>
    </row>
    <row r="264" spans="3:8">
      <c r="C264" s="11">
        <v>44</v>
      </c>
      <c r="D264" s="204">
        <f t="shared" si="10"/>
        <v>0.15803483506135738</v>
      </c>
      <c r="E264" s="204">
        <f t="shared" si="9"/>
        <v>5.3606767605350499E-2</v>
      </c>
    </row>
    <row r="265" spans="3:8">
      <c r="C265" s="11">
        <v>43</v>
      </c>
      <c r="D265" s="204">
        <f t="shared" si="10"/>
        <v>0.15914887720176976</v>
      </c>
      <c r="E265" s="204">
        <f t="shared" si="9"/>
        <v>5.3076007530049998E-2</v>
      </c>
    </row>
    <row r="266" spans="3:8">
      <c r="C266" s="11">
        <v>42</v>
      </c>
      <c r="D266" s="204">
        <f t="shared" si="10"/>
        <v>0.16027077261004005</v>
      </c>
      <c r="E266" s="204">
        <f t="shared" si="9"/>
        <v>5.2550502504999999E-2</v>
      </c>
    </row>
    <row r="267" spans="3:8">
      <c r="C267" s="11">
        <v>41</v>
      </c>
      <c r="D267" s="204">
        <f t="shared" si="10"/>
        <v>0.16140057664656601</v>
      </c>
      <c r="E267" s="204">
        <f t="shared" si="9"/>
        <v>5.2030200499999998E-2</v>
      </c>
    </row>
    <row r="268" spans="3:8">
      <c r="C268" s="11">
        <v>40</v>
      </c>
      <c r="D268" s="204">
        <f t="shared" si="10"/>
        <v>0.16253834506200002</v>
      </c>
      <c r="E268" s="204">
        <f t="shared" si="9"/>
        <v>5.151505E-2</v>
      </c>
    </row>
    <row r="269" spans="3:8">
      <c r="C269" s="11">
        <v>39</v>
      </c>
      <c r="D269" s="204">
        <f t="shared" si="10"/>
        <v>0.16368413400000001</v>
      </c>
      <c r="E269" s="204">
        <f t="shared" si="9"/>
        <v>5.1005000000000002E-2</v>
      </c>
    </row>
    <row r="270" spans="3:8">
      <c r="C270" s="11">
        <v>38</v>
      </c>
      <c r="D270" s="204">
        <f t="shared" si="10"/>
        <v>0.16483800000000001</v>
      </c>
      <c r="E270" s="204">
        <f t="shared" si="9"/>
        <v>5.0500000000000003E-2</v>
      </c>
    </row>
    <row r="271" spans="3:8">
      <c r="C271" s="11">
        <v>37</v>
      </c>
      <c r="D271" s="513">
        <v>0.16600000000000001</v>
      </c>
      <c r="E271" s="513">
        <v>0.05</v>
      </c>
    </row>
    <row r="272" spans="3:8">
      <c r="C272" s="109" t="s">
        <v>2250</v>
      </c>
      <c r="D272" s="201" t="s">
        <v>1661</v>
      </c>
      <c r="E272" s="201" t="s">
        <v>1662</v>
      </c>
    </row>
    <row r="273" spans="1:31">
      <c r="L273" s="799">
        <v>0.25</v>
      </c>
      <c r="P273" s="799">
        <v>0.25</v>
      </c>
      <c r="T273" s="799">
        <v>0.1</v>
      </c>
      <c r="X273" s="799">
        <v>7.4999999999999997E-2</v>
      </c>
      <c r="AB273" s="799">
        <v>0.05</v>
      </c>
    </row>
    <row r="274" spans="1:31" s="201" customFormat="1">
      <c r="A274" s="109" t="s">
        <v>1734</v>
      </c>
      <c r="D274" s="535" t="s">
        <v>1729</v>
      </c>
      <c r="E274" s="536" t="str">
        <f>D274</f>
        <v>Y-1</v>
      </c>
      <c r="F274" s="536" t="str">
        <f t="shared" ref="F274:G274" si="11">E274</f>
        <v>Y-1</v>
      </c>
      <c r="G274" s="537" t="str">
        <f t="shared" si="11"/>
        <v>Y-1</v>
      </c>
      <c r="H274" s="535" t="s">
        <v>405</v>
      </c>
      <c r="I274" s="536" t="str">
        <f>H274</f>
        <v>Y0</v>
      </c>
      <c r="J274" s="536" t="str">
        <f t="shared" ref="J274:K274" si="12">I274</f>
        <v>Y0</v>
      </c>
      <c r="K274" s="537" t="str">
        <f t="shared" si="12"/>
        <v>Y0</v>
      </c>
      <c r="L274" s="535" t="s">
        <v>1278</v>
      </c>
      <c r="M274" s="536" t="str">
        <f>L274</f>
        <v>Y1</v>
      </c>
      <c r="N274" s="536" t="str">
        <f t="shared" ref="N274:O274" si="13">M274</f>
        <v>Y1</v>
      </c>
      <c r="O274" s="537" t="str">
        <f t="shared" si="13"/>
        <v>Y1</v>
      </c>
      <c r="P274" s="535" t="s">
        <v>1279</v>
      </c>
      <c r="Q274" s="536" t="str">
        <f>P274</f>
        <v>Y2</v>
      </c>
      <c r="R274" s="536" t="str">
        <f t="shared" ref="R274:S274" si="14">Q274</f>
        <v>Y2</v>
      </c>
      <c r="S274" s="536" t="str">
        <f t="shared" si="14"/>
        <v>Y2</v>
      </c>
      <c r="T274" s="535" t="s">
        <v>2052</v>
      </c>
      <c r="U274" s="536" t="str">
        <f>T274</f>
        <v>Y3</v>
      </c>
      <c r="V274" s="536" t="str">
        <f t="shared" ref="V274" si="15">U274</f>
        <v>Y3</v>
      </c>
      <c r="W274" s="536" t="str">
        <f t="shared" ref="W274" si="16">V274</f>
        <v>Y3</v>
      </c>
      <c r="X274" s="535" t="s">
        <v>2408</v>
      </c>
      <c r="Y274" s="536" t="str">
        <f>X274</f>
        <v>Y4</v>
      </c>
      <c r="Z274" s="536" t="str">
        <f t="shared" ref="Z274" si="17">Y274</f>
        <v>Y4</v>
      </c>
      <c r="AA274" s="536" t="str">
        <f t="shared" ref="AA274" si="18">Z274</f>
        <v>Y4</v>
      </c>
      <c r="AB274" s="535" t="s">
        <v>2413</v>
      </c>
      <c r="AC274" s="536" t="str">
        <f>AB274</f>
        <v>Y5</v>
      </c>
      <c r="AD274" s="536" t="str">
        <f t="shared" ref="AD274" si="19">AC274</f>
        <v>Y5</v>
      </c>
      <c r="AE274" s="536" t="str">
        <f t="shared" ref="AE274" si="20">AD274</f>
        <v>Y5</v>
      </c>
    </row>
    <row r="275" spans="1:31">
      <c r="C275" s="11" t="s">
        <v>1730</v>
      </c>
      <c r="D275" s="538" t="s">
        <v>899</v>
      </c>
      <c r="E275" s="539" t="s">
        <v>900</v>
      </c>
      <c r="F275" s="539" t="s">
        <v>901</v>
      </c>
      <c r="G275" s="540" t="s">
        <v>902</v>
      </c>
      <c r="H275" s="538" t="s">
        <v>899</v>
      </c>
      <c r="I275" s="539" t="s">
        <v>900</v>
      </c>
      <c r="J275" s="539" t="s">
        <v>901</v>
      </c>
      <c r="K275" s="540" t="s">
        <v>902</v>
      </c>
      <c r="L275" s="538" t="s">
        <v>899</v>
      </c>
      <c r="M275" s="539" t="s">
        <v>900</v>
      </c>
      <c r="N275" s="539" t="s">
        <v>901</v>
      </c>
      <c r="O275" s="540" t="s">
        <v>902</v>
      </c>
      <c r="P275" s="538" t="s">
        <v>899</v>
      </c>
      <c r="Q275" s="539" t="s">
        <v>900</v>
      </c>
      <c r="R275" s="539" t="s">
        <v>901</v>
      </c>
      <c r="S275" s="539" t="s">
        <v>902</v>
      </c>
      <c r="T275" s="538" t="s">
        <v>899</v>
      </c>
      <c r="U275" s="539" t="s">
        <v>900</v>
      </c>
      <c r="V275" s="539" t="s">
        <v>901</v>
      </c>
      <c r="W275" s="539" t="s">
        <v>902</v>
      </c>
      <c r="X275" s="538" t="s">
        <v>899</v>
      </c>
      <c r="Y275" s="539" t="s">
        <v>900</v>
      </c>
      <c r="Z275" s="539" t="s">
        <v>901</v>
      </c>
      <c r="AA275" s="539" t="s">
        <v>902</v>
      </c>
      <c r="AB275" s="538" t="s">
        <v>899</v>
      </c>
      <c r="AC275" s="539" t="s">
        <v>900</v>
      </c>
      <c r="AD275" s="539" t="s">
        <v>901</v>
      </c>
      <c r="AE275" s="539" t="s">
        <v>902</v>
      </c>
    </row>
    <row r="276" spans="1:31">
      <c r="C276" s="11" t="s">
        <v>1732</v>
      </c>
      <c r="D276" s="757">
        <f>9000000/1.5</f>
        <v>6000000</v>
      </c>
      <c r="E276" s="758">
        <f>11000000/1.5</f>
        <v>7333333.333333333</v>
      </c>
      <c r="F276" s="758">
        <f>17000000/1.5</f>
        <v>11333333.333333334</v>
      </c>
      <c r="G276" s="759">
        <f>25000000/1.5</f>
        <v>16666666.666666666</v>
      </c>
      <c r="H276" s="757">
        <f>D276*1.25</f>
        <v>7500000</v>
      </c>
      <c r="I276" s="758">
        <f t="shared" ref="I276:K276" si="21">E276*1.25</f>
        <v>9166666.666666666</v>
      </c>
      <c r="J276" s="758">
        <f t="shared" si="21"/>
        <v>14166666.666666668</v>
      </c>
      <c r="K276" s="759">
        <f t="shared" si="21"/>
        <v>20833333.333333332</v>
      </c>
      <c r="L276" s="757">
        <f>H276*(1+$L$273)</f>
        <v>9375000</v>
      </c>
      <c r="M276" s="758">
        <f>I276*1*(1+$L$273)</f>
        <v>11458333.333333332</v>
      </c>
      <c r="N276" s="758">
        <f>J276*(1+$L$273)</f>
        <v>17708333.333333336</v>
      </c>
      <c r="O276" s="759">
        <f>K276*(1+$L$273)</f>
        <v>26041666.666666664</v>
      </c>
      <c r="P276" s="757">
        <f>L276*(1+$P$273)</f>
        <v>11718750</v>
      </c>
      <c r="Q276" s="758">
        <f t="shared" ref="Q276:S276" si="22">M276*(1+$P$273)</f>
        <v>14322916.666666664</v>
      </c>
      <c r="R276" s="758">
        <f t="shared" si="22"/>
        <v>22135416.666666672</v>
      </c>
      <c r="S276" s="758">
        <f t="shared" si="22"/>
        <v>32552083.333333328</v>
      </c>
      <c r="T276" s="757">
        <f>P276*(1+$T$273)</f>
        <v>12890625.000000002</v>
      </c>
      <c r="U276" s="758">
        <f t="shared" ref="U276:W276" si="23">Q276*(1+$T$273)</f>
        <v>15755208.333333332</v>
      </c>
      <c r="V276" s="758">
        <f t="shared" si="23"/>
        <v>24348958.33333334</v>
      </c>
      <c r="W276" s="758">
        <f t="shared" si="23"/>
        <v>35807291.666666664</v>
      </c>
      <c r="X276" s="757">
        <f>T276*(1+$X$273)</f>
        <v>13857421.875000002</v>
      </c>
      <c r="Y276" s="758">
        <f t="shared" ref="Y276:AA276" si="24">U276*(1+$X$273)</f>
        <v>16936848.958333332</v>
      </c>
      <c r="Z276" s="758">
        <f t="shared" si="24"/>
        <v>26175130.20833334</v>
      </c>
      <c r="AA276" s="758">
        <f t="shared" si="24"/>
        <v>38492838.541666664</v>
      </c>
      <c r="AB276" s="757">
        <f>X276*(1+$AB$273)</f>
        <v>14550292.968750002</v>
      </c>
      <c r="AC276" s="758">
        <f t="shared" ref="AC276:AE276" si="25">Y276*(1+$AB$273)</f>
        <v>17783691.40625</v>
      </c>
      <c r="AD276" s="758">
        <f t="shared" si="25"/>
        <v>27483886.718750007</v>
      </c>
      <c r="AE276" s="758">
        <f t="shared" si="25"/>
        <v>40417480.46875</v>
      </c>
    </row>
    <row r="277" spans="1:31">
      <c r="C277" s="11" t="s">
        <v>1660</v>
      </c>
      <c r="D277" s="541">
        <f>D258</f>
        <v>0.1515124491492886</v>
      </c>
      <c r="E277" s="542">
        <f>D277</f>
        <v>0.1515124491492886</v>
      </c>
      <c r="F277" s="542">
        <f t="shared" ref="F277:G277" si="26">E277</f>
        <v>0.1515124491492886</v>
      </c>
      <c r="G277" s="543">
        <f t="shared" si="26"/>
        <v>0.1515124491492886</v>
      </c>
      <c r="H277" s="541">
        <f t="shared" ref="H277:O277" si="27">G277</f>
        <v>0.1515124491492886</v>
      </c>
      <c r="I277" s="542">
        <f t="shared" si="27"/>
        <v>0.1515124491492886</v>
      </c>
      <c r="J277" s="542">
        <f t="shared" si="27"/>
        <v>0.1515124491492886</v>
      </c>
      <c r="K277" s="543">
        <f t="shared" si="27"/>
        <v>0.1515124491492886</v>
      </c>
      <c r="L277" s="541">
        <f t="shared" si="27"/>
        <v>0.1515124491492886</v>
      </c>
      <c r="M277" s="542">
        <f t="shared" si="27"/>
        <v>0.1515124491492886</v>
      </c>
      <c r="N277" s="542">
        <f t="shared" si="27"/>
        <v>0.1515124491492886</v>
      </c>
      <c r="O277" s="543">
        <f t="shared" si="27"/>
        <v>0.1515124491492886</v>
      </c>
      <c r="P277" s="541">
        <f t="shared" ref="P277:S277" si="28">O277</f>
        <v>0.1515124491492886</v>
      </c>
      <c r="Q277" s="542">
        <f t="shared" si="28"/>
        <v>0.1515124491492886</v>
      </c>
      <c r="R277" s="542">
        <f t="shared" si="28"/>
        <v>0.1515124491492886</v>
      </c>
      <c r="S277" s="542">
        <f t="shared" si="28"/>
        <v>0.1515124491492886</v>
      </c>
      <c r="T277" s="541">
        <f t="shared" ref="T277" si="29">S277</f>
        <v>0.1515124491492886</v>
      </c>
      <c r="U277" s="542">
        <f t="shared" ref="U277" si="30">T277</f>
        <v>0.1515124491492886</v>
      </c>
      <c r="V277" s="542">
        <f t="shared" ref="V277" si="31">U277</f>
        <v>0.1515124491492886</v>
      </c>
      <c r="W277" s="542">
        <f t="shared" ref="W277" si="32">V277</f>
        <v>0.1515124491492886</v>
      </c>
      <c r="X277" s="541">
        <f t="shared" ref="X277" si="33">W277</f>
        <v>0.1515124491492886</v>
      </c>
      <c r="Y277" s="542">
        <f t="shared" ref="Y277" si="34">X277</f>
        <v>0.1515124491492886</v>
      </c>
      <c r="Z277" s="542">
        <f t="shared" ref="Z277" si="35">Y277</f>
        <v>0.1515124491492886</v>
      </c>
      <c r="AA277" s="542">
        <f t="shared" ref="AA277" si="36">Z277</f>
        <v>0.1515124491492886</v>
      </c>
      <c r="AB277" s="541">
        <f t="shared" ref="AB277" si="37">AA277</f>
        <v>0.1515124491492886</v>
      </c>
      <c r="AC277" s="542">
        <f t="shared" ref="AC277" si="38">AB277</f>
        <v>0.1515124491492886</v>
      </c>
      <c r="AD277" s="542">
        <f t="shared" ref="AD277" si="39">AC277</f>
        <v>0.1515124491492886</v>
      </c>
      <c r="AE277" s="542">
        <f t="shared" ref="AE277" si="40">AD277</f>
        <v>0.1515124491492886</v>
      </c>
    </row>
    <row r="278" spans="1:31" s="563" customFormat="1">
      <c r="C278" s="564" t="s">
        <v>1733</v>
      </c>
      <c r="D278" s="565"/>
      <c r="E278" s="566">
        <f t="shared" ref="E278:G278" si="41">(SUM(E280:E299)-SUM(D280:D299))*4-E276</f>
        <v>-1363612.0423435988</v>
      </c>
      <c r="F278" s="566">
        <f t="shared" si="41"/>
        <v>-1818149.389791457</v>
      </c>
      <c r="G278" s="567">
        <f t="shared" si="41"/>
        <v>-2272686.7372393254</v>
      </c>
      <c r="H278" s="568">
        <f t="shared" ref="H278:J278" si="42">(SUM(H280:H299)-SUM(G280:G299))*4-H276</f>
        <v>-1681788.1855571121</v>
      </c>
      <c r="I278" s="566">
        <f t="shared" si="42"/>
        <v>-2268099.1358800922</v>
      </c>
      <c r="J278" s="566">
        <f t="shared" si="42"/>
        <v>-3259818.2131834887</v>
      </c>
      <c r="K278" s="567">
        <f>(SUM(K280:K299)-SUM(J280:J299))*4-K276</f>
        <v>-4453553.8893525638</v>
      </c>
      <c r="L278" s="568">
        <f t="shared" ref="L278:N278" si="43">(SUM(L280:L299)-SUM(K280:K299))*4-L276</f>
        <v>-2563319.7072326839</v>
      </c>
      <c r="M278" s="566">
        <f t="shared" si="43"/>
        <v>-3313317.9980913438</v>
      </c>
      <c r="N278" s="566">
        <f t="shared" si="43"/>
        <v>-4912341.5348708406</v>
      </c>
      <c r="O278" s="567">
        <f>(SUM(O280:O299)-SUM(N280:N299))*4-O276</f>
        <v>-6935294.3894352689</v>
      </c>
      <c r="P278" s="568">
        <f t="shared" ref="P278:R278" si="44">(SUM(P280:P299)-SUM(O280:O299))*4-P276</f>
        <v>-3595374.0712118149</v>
      </c>
      <c r="Q278" s="566">
        <f t="shared" si="44"/>
        <v>-4547389.2198923603</v>
      </c>
      <c r="R278" s="566">
        <f t="shared" si="44"/>
        <v>-6851093.5915500969</v>
      </c>
      <c r="S278" s="566">
        <f>(SUM(S280:S299)-SUM(R280:R299))*4-S276</f>
        <v>-9830147.6475166827</v>
      </c>
      <c r="T278" s="568">
        <f t="shared" ref="T278" si="45">(SUM(T280:T299)-SUM(S280:S299))*4-T276</f>
        <v>-17716791.653542876</v>
      </c>
      <c r="U278" s="566">
        <f t="shared" ref="U278" si="46">(SUM(U280:U299)-SUM(T280:T299))*4-U276</f>
        <v>-21783711.658412594</v>
      </c>
      <c r="V278" s="566">
        <f t="shared" ref="V278" si="47">(SUM(V280:V299)-SUM(U280:U299))*4-V276</f>
        <v>-33515817.147583272</v>
      </c>
      <c r="W278" s="566">
        <f>(SUM(W280:W299)-SUM(V280:V299))*4-W276</f>
        <v>-49080095.43935407</v>
      </c>
      <c r="X278" s="568">
        <f t="shared" ref="X278" si="48">(SUM(X280:X299)-SUM(W280:W299))*4-X276</f>
        <v>-17952364.198861957</v>
      </c>
      <c r="Y278" s="566">
        <f t="shared" ref="Y278" si="49">(SUM(Y280:Y299)-SUM(X280:X299))*4-Y276</f>
        <v>-22051958.979925204</v>
      </c>
      <c r="Z278" s="566">
        <f t="shared" ref="Z278" si="50">(SUM(Z280:Z299)-SUM(Y280:Y299))*4-Z276</f>
        <v>-33953095.792630553</v>
      </c>
      <c r="AA278" s="566">
        <f>(SUM(AA280:AA299)-SUM(Z280:Z299))*4-AA276</f>
        <v>-49754647.307676263</v>
      </c>
      <c r="AB278" s="568">
        <f t="shared" ref="AB278" si="51">(SUM(AB280:AB299)-SUM(AA280:AA299))*4-AB276</f>
        <v>-18024800.551998585</v>
      </c>
      <c r="AC278" s="566">
        <f t="shared" ref="AC278" si="52">(SUM(AC280:AC299)-SUM(AB280:AB299))*4-AC276</f>
        <v>-22123798.580802381</v>
      </c>
      <c r="AD278" s="566">
        <f t="shared" ref="AD278" si="53">(SUM(AD280:AD299)-SUM(AC280:AC299))*4-AD276</f>
        <v>-34083393.68797148</v>
      </c>
      <c r="AE278" s="566">
        <f>(SUM(AE280:AE299)-SUM(AD280:AD299))*4-AE276</f>
        <v>-49972985.006770551</v>
      </c>
    </row>
    <row r="279" spans="1:31">
      <c r="D279" s="538"/>
      <c r="E279" s="544"/>
      <c r="F279" s="544"/>
      <c r="G279" s="545"/>
      <c r="H279" s="546"/>
      <c r="I279" s="544"/>
      <c r="J279" s="544"/>
      <c r="K279" s="545"/>
      <c r="L279" s="546"/>
      <c r="M279" s="544"/>
      <c r="N279" s="544"/>
      <c r="O279" s="545"/>
      <c r="P279" s="538"/>
      <c r="Q279" s="539"/>
      <c r="R279" s="539"/>
      <c r="S279" s="539"/>
      <c r="T279" s="538"/>
      <c r="U279" s="539"/>
      <c r="V279" s="539"/>
      <c r="W279" s="539"/>
      <c r="X279" s="538"/>
      <c r="Y279" s="539"/>
      <c r="Z279" s="539"/>
      <c r="AA279" s="539"/>
      <c r="AB279" s="538"/>
      <c r="AC279" s="539"/>
      <c r="AD279" s="539"/>
      <c r="AE279" s="539"/>
    </row>
    <row r="280" spans="1:31" s="75" customFormat="1">
      <c r="B280" s="75" t="s">
        <v>1735</v>
      </c>
      <c r="C280" s="436" t="s">
        <v>899</v>
      </c>
      <c r="D280" s="548">
        <v>1275000</v>
      </c>
      <c r="E280" s="549">
        <f>D280</f>
        <v>1275000</v>
      </c>
      <c r="F280" s="549">
        <f t="shared" ref="F280:G280" si="54">E280</f>
        <v>1275000</v>
      </c>
      <c r="G280" s="550">
        <f t="shared" si="54"/>
        <v>1275000</v>
      </c>
      <c r="H280" s="548">
        <f>G280*(1-H$277)</f>
        <v>1081821.6273346569</v>
      </c>
      <c r="I280" s="549">
        <f>H280</f>
        <v>1081821.6273346569</v>
      </c>
      <c r="J280" s="549">
        <f>I280</f>
        <v>1081821.6273346569</v>
      </c>
      <c r="K280" s="550">
        <f>J280</f>
        <v>1081821.6273346569</v>
      </c>
      <c r="L280" s="548">
        <f>K280*(1-L$277)</f>
        <v>917912.18303451396</v>
      </c>
      <c r="M280" s="549">
        <f>L280</f>
        <v>917912.18303451396</v>
      </c>
      <c r="N280" s="549">
        <f>M280</f>
        <v>917912.18303451396</v>
      </c>
      <c r="O280" s="550">
        <f>N280</f>
        <v>917912.18303451396</v>
      </c>
      <c r="P280" s="548">
        <f>O280*(1-P$277)</f>
        <v>778837.06007898459</v>
      </c>
      <c r="Q280" s="549">
        <f t="shared" ref="Q280:S280" si="55">P280</f>
        <v>778837.06007898459</v>
      </c>
      <c r="R280" s="549">
        <f t="shared" si="55"/>
        <v>778837.06007898459</v>
      </c>
      <c r="S280" s="549">
        <f t="shared" si="55"/>
        <v>778837.06007898459</v>
      </c>
      <c r="T280" s="548">
        <f>S280*(1-T$277)</f>
        <v>660833.54961818596</v>
      </c>
      <c r="U280" s="549">
        <f t="shared" ref="U280" si="56">T280</f>
        <v>660833.54961818596</v>
      </c>
      <c r="V280" s="549">
        <f t="shared" ref="V280:V281" si="57">U280</f>
        <v>660833.54961818596</v>
      </c>
      <c r="W280" s="549">
        <f t="shared" ref="W280:W281" si="58">V280</f>
        <v>660833.54961818596</v>
      </c>
      <c r="X280" s="548">
        <f>W280*(1-X$277)</f>
        <v>560709.04003551661</v>
      </c>
      <c r="Y280" s="549">
        <f t="shared" ref="Y280" si="59">X280</f>
        <v>560709.04003551661</v>
      </c>
      <c r="Z280" s="549">
        <f t="shared" ref="Z280:Z281" si="60">Y280</f>
        <v>560709.04003551661</v>
      </c>
      <c r="AA280" s="549">
        <f t="shared" ref="AA280:AA281" si="61">Z280</f>
        <v>560709.04003551661</v>
      </c>
      <c r="AB280" s="548">
        <f>AA280*(1-AB$277)</f>
        <v>475754.64011958893</v>
      </c>
      <c r="AC280" s="549">
        <f t="shared" ref="AC280" si="62">AB280</f>
        <v>475754.64011958893</v>
      </c>
      <c r="AD280" s="549">
        <f t="shared" ref="AD280:AD281" si="63">AC280</f>
        <v>475754.64011958893</v>
      </c>
      <c r="AE280" s="549">
        <f t="shared" ref="AE280:AE281" si="64">AD280</f>
        <v>475754.64011958893</v>
      </c>
    </row>
    <row r="281" spans="1:31" s="75" customFormat="1">
      <c r="B281" s="75" t="s">
        <v>1735</v>
      </c>
      <c r="C281" s="436" t="s">
        <v>900</v>
      </c>
      <c r="D281" s="551">
        <v>2250000</v>
      </c>
      <c r="E281" s="552">
        <f>D281*(1-E$277)</f>
        <v>1909096.9894141005</v>
      </c>
      <c r="F281" s="549">
        <f t="shared" ref="F281:G281" si="65">E281</f>
        <v>1909096.9894141005</v>
      </c>
      <c r="G281" s="550">
        <f t="shared" si="65"/>
        <v>1909096.9894141005</v>
      </c>
      <c r="H281" s="551">
        <f>G281</f>
        <v>1909096.9894141005</v>
      </c>
      <c r="I281" s="552">
        <f>H281*(1-I$277)</f>
        <v>1619845.0288844367</v>
      </c>
      <c r="J281" s="549">
        <f>I281</f>
        <v>1619845.0288844367</v>
      </c>
      <c r="K281" s="550">
        <f>J281</f>
        <v>1619845.0288844367</v>
      </c>
      <c r="L281" s="551">
        <f>K281</f>
        <v>1619845.0288844367</v>
      </c>
      <c r="M281" s="552">
        <f>L281*(1-M$277)</f>
        <v>1374418.3413158555</v>
      </c>
      <c r="N281" s="549">
        <f>M281</f>
        <v>1374418.3413158555</v>
      </c>
      <c r="O281" s="550">
        <f>N281</f>
        <v>1374418.3413158555</v>
      </c>
      <c r="P281" s="551">
        <f>O281</f>
        <v>1374418.3413158555</v>
      </c>
      <c r="Q281" s="552">
        <f>P281*(1-Q$277)</f>
        <v>1166176.8522673873</v>
      </c>
      <c r="R281" s="549">
        <f t="shared" ref="R281:S281" si="66">Q281</f>
        <v>1166176.8522673873</v>
      </c>
      <c r="S281" s="549">
        <f t="shared" si="66"/>
        <v>1166176.8522673873</v>
      </c>
      <c r="T281" s="551">
        <f>S281</f>
        <v>1166176.8522673873</v>
      </c>
      <c r="U281" s="552">
        <f>T281*(1-U$277)</f>
        <v>989486.54123914731</v>
      </c>
      <c r="V281" s="549">
        <f t="shared" si="57"/>
        <v>989486.54123914731</v>
      </c>
      <c r="W281" s="549">
        <f t="shared" si="58"/>
        <v>989486.54123914731</v>
      </c>
      <c r="X281" s="551">
        <f>W281</f>
        <v>989486.54123914731</v>
      </c>
      <c r="Y281" s="552">
        <f>X281*(1-Y$277)</f>
        <v>839567.01197574555</v>
      </c>
      <c r="Z281" s="549">
        <f t="shared" si="60"/>
        <v>839567.01197574555</v>
      </c>
      <c r="AA281" s="549">
        <f t="shared" si="61"/>
        <v>839567.01197574555</v>
      </c>
      <c r="AB281" s="551">
        <f>AA281</f>
        <v>839567.01197574555</v>
      </c>
      <c r="AC281" s="552">
        <f>AB281*(1-AC$277)</f>
        <v>712362.1577663502</v>
      </c>
      <c r="AD281" s="549">
        <f t="shared" si="63"/>
        <v>712362.1577663502</v>
      </c>
      <c r="AE281" s="549">
        <f t="shared" si="64"/>
        <v>712362.1577663502</v>
      </c>
    </row>
    <row r="282" spans="1:31" s="75" customFormat="1">
      <c r="B282" s="75" t="s">
        <v>1735</v>
      </c>
      <c r="C282" s="436" t="s">
        <v>901</v>
      </c>
      <c r="D282" s="551">
        <v>3000000</v>
      </c>
      <c r="E282" s="549">
        <f>D282</f>
        <v>3000000</v>
      </c>
      <c r="F282" s="552">
        <f>E282*(1-F$277)</f>
        <v>2545462.6525521339</v>
      </c>
      <c r="G282" s="550">
        <f>F282</f>
        <v>2545462.6525521339</v>
      </c>
      <c r="H282" s="551">
        <f>G282</f>
        <v>2545462.6525521339</v>
      </c>
      <c r="I282" s="549">
        <f>H282</f>
        <v>2545462.6525521339</v>
      </c>
      <c r="J282" s="552">
        <f>I282*(1-J$277)</f>
        <v>2159793.3718459154</v>
      </c>
      <c r="K282" s="550">
        <f>J282</f>
        <v>2159793.3718459154</v>
      </c>
      <c r="L282" s="551">
        <f>K282</f>
        <v>2159793.3718459154</v>
      </c>
      <c r="M282" s="549">
        <f>L282</f>
        <v>2159793.3718459154</v>
      </c>
      <c r="N282" s="552">
        <f>M282*(1-N$277)</f>
        <v>1832557.7884211405</v>
      </c>
      <c r="O282" s="550">
        <f>N282</f>
        <v>1832557.7884211405</v>
      </c>
      <c r="P282" s="551">
        <f t="shared" ref="P282:Q282" si="67">O282</f>
        <v>1832557.7884211405</v>
      </c>
      <c r="Q282" s="549">
        <f t="shared" si="67"/>
        <v>1832557.7884211405</v>
      </c>
      <c r="R282" s="552">
        <f>Q282*(1-R$277)</f>
        <v>1554902.4696898495</v>
      </c>
      <c r="S282" s="549">
        <f>R282</f>
        <v>1554902.4696898495</v>
      </c>
      <c r="T282" s="551">
        <f t="shared" ref="T282" si="68">S282</f>
        <v>1554902.4696898495</v>
      </c>
      <c r="U282" s="549">
        <f t="shared" ref="U282:U284" si="69">T282</f>
        <v>1554902.4696898495</v>
      </c>
      <c r="V282" s="552">
        <f>U282*(1-V$277)</f>
        <v>1319315.388318863</v>
      </c>
      <c r="W282" s="549">
        <f>V282</f>
        <v>1319315.388318863</v>
      </c>
      <c r="X282" s="551">
        <f t="shared" ref="X282" si="70">W282</f>
        <v>1319315.388318863</v>
      </c>
      <c r="Y282" s="549">
        <f t="shared" ref="Y282:Y284" si="71">X282</f>
        <v>1319315.388318863</v>
      </c>
      <c r="Z282" s="552">
        <f>Y282*(1-Z$277)</f>
        <v>1119422.6826343273</v>
      </c>
      <c r="AA282" s="549">
        <f>Z282</f>
        <v>1119422.6826343273</v>
      </c>
      <c r="AB282" s="551">
        <f t="shared" ref="AB282" si="72">AA282</f>
        <v>1119422.6826343273</v>
      </c>
      <c r="AC282" s="549">
        <f t="shared" ref="AC282:AC284" si="73">AB282</f>
        <v>1119422.6826343273</v>
      </c>
      <c r="AD282" s="552">
        <f>AC282*(1-AD$277)</f>
        <v>949816.21035513352</v>
      </c>
      <c r="AE282" s="549">
        <f>AD282</f>
        <v>949816.21035513352</v>
      </c>
    </row>
    <row r="283" spans="1:31" s="75" customFormat="1">
      <c r="B283" s="75" t="s">
        <v>1735</v>
      </c>
      <c r="C283" s="436" t="s">
        <v>902</v>
      </c>
      <c r="D283" s="551">
        <v>3750000</v>
      </c>
      <c r="E283" s="549">
        <f>D283</f>
        <v>3750000</v>
      </c>
      <c r="F283" s="549">
        <f>E283</f>
        <v>3750000</v>
      </c>
      <c r="G283" s="553">
        <f>F283*(1-G$277)</f>
        <v>3181828.3156901677</v>
      </c>
      <c r="H283" s="551">
        <f>G283</f>
        <v>3181828.3156901677</v>
      </c>
      <c r="I283" s="549">
        <f>H283</f>
        <v>3181828.3156901677</v>
      </c>
      <c r="J283" s="549">
        <f>I283</f>
        <v>3181828.3156901677</v>
      </c>
      <c r="K283" s="553">
        <f>J283*(1-K$277)</f>
        <v>2699741.7148073944</v>
      </c>
      <c r="L283" s="551">
        <f>K283</f>
        <v>2699741.7148073944</v>
      </c>
      <c r="M283" s="549">
        <f>L283</f>
        <v>2699741.7148073944</v>
      </c>
      <c r="N283" s="549">
        <f>M283</f>
        <v>2699741.7148073944</v>
      </c>
      <c r="O283" s="553">
        <f>N283*(1-O$277)</f>
        <v>2290697.2355264258</v>
      </c>
      <c r="P283" s="551">
        <f>O283</f>
        <v>2290697.2355264258</v>
      </c>
      <c r="Q283" s="549">
        <f t="shared" ref="Q283:Q284" si="74">P283</f>
        <v>2290697.2355264258</v>
      </c>
      <c r="R283" s="549">
        <f t="shared" ref="R283:R285" si="75">Q283</f>
        <v>2290697.2355264258</v>
      </c>
      <c r="S283" s="552">
        <f>R283*(1-S$277)</f>
        <v>1943628.0871123122</v>
      </c>
      <c r="T283" s="551">
        <f>S283</f>
        <v>1943628.0871123122</v>
      </c>
      <c r="U283" s="549">
        <f t="shared" si="69"/>
        <v>1943628.0871123122</v>
      </c>
      <c r="V283" s="549">
        <f t="shared" ref="V283:V285" si="76">U283</f>
        <v>1943628.0871123122</v>
      </c>
      <c r="W283" s="552">
        <f>V283*(1-W$277)</f>
        <v>1649144.2353985789</v>
      </c>
      <c r="X283" s="551">
        <f>W283</f>
        <v>1649144.2353985789</v>
      </c>
      <c r="Y283" s="549">
        <f t="shared" si="71"/>
        <v>1649144.2353985789</v>
      </c>
      <c r="Z283" s="549">
        <f t="shared" ref="Z283:Z285" si="77">Y283</f>
        <v>1649144.2353985789</v>
      </c>
      <c r="AA283" s="552">
        <f>Z283*(1-AA$277)</f>
        <v>1399278.3532929092</v>
      </c>
      <c r="AB283" s="551">
        <f>AA283</f>
        <v>1399278.3532929092</v>
      </c>
      <c r="AC283" s="549">
        <f t="shared" si="73"/>
        <v>1399278.3532929092</v>
      </c>
      <c r="AD283" s="549">
        <f t="shared" ref="AD283:AD285" si="78">AC283</f>
        <v>1399278.3532929092</v>
      </c>
      <c r="AE283" s="552">
        <f>AD283*(1-AE$277)</f>
        <v>1187270.262943917</v>
      </c>
    </row>
    <row r="284" spans="1:31" s="75" customFormat="1">
      <c r="B284" s="75" t="s">
        <v>1729</v>
      </c>
      <c r="C284" s="436" t="s">
        <v>899</v>
      </c>
      <c r="D284" s="554">
        <f>D$276/4</f>
        <v>1500000</v>
      </c>
      <c r="E284" s="555">
        <f>D284</f>
        <v>1500000</v>
      </c>
      <c r="F284" s="555">
        <f>E284</f>
        <v>1500000</v>
      </c>
      <c r="G284" s="556">
        <f>F284</f>
        <v>1500000</v>
      </c>
      <c r="H284" s="548">
        <f>G284*(1-H$277)</f>
        <v>1272731.3262760669</v>
      </c>
      <c r="I284" s="549">
        <f>H284</f>
        <v>1272731.3262760669</v>
      </c>
      <c r="J284" s="549">
        <f>I284</f>
        <v>1272731.3262760669</v>
      </c>
      <c r="K284" s="550">
        <f>J284</f>
        <v>1272731.3262760669</v>
      </c>
      <c r="L284" s="548">
        <f>K284*(1-L$277)</f>
        <v>1079896.6859229577</v>
      </c>
      <c r="M284" s="549">
        <f>L284</f>
        <v>1079896.6859229577</v>
      </c>
      <c r="N284" s="549">
        <f>M284</f>
        <v>1079896.6859229577</v>
      </c>
      <c r="O284" s="550">
        <f>N284</f>
        <v>1079896.6859229577</v>
      </c>
      <c r="P284" s="548">
        <f>O284*(1-P$277)</f>
        <v>916278.89421057026</v>
      </c>
      <c r="Q284" s="549">
        <f t="shared" si="74"/>
        <v>916278.89421057026</v>
      </c>
      <c r="R284" s="549">
        <f t="shared" si="75"/>
        <v>916278.89421057026</v>
      </c>
      <c r="S284" s="549">
        <f t="shared" ref="S284:S286" si="79">R284</f>
        <v>916278.89421057026</v>
      </c>
      <c r="T284" s="548">
        <f>S284*(1-T$277)</f>
        <v>777451.23484492477</v>
      </c>
      <c r="U284" s="549">
        <f t="shared" si="69"/>
        <v>777451.23484492477</v>
      </c>
      <c r="V284" s="549">
        <f t="shared" si="76"/>
        <v>777451.23484492477</v>
      </c>
      <c r="W284" s="549">
        <f t="shared" ref="W284:W286" si="80">V284</f>
        <v>777451.23484492477</v>
      </c>
      <c r="X284" s="548">
        <f>W284*(1-X$277)</f>
        <v>659657.6941594315</v>
      </c>
      <c r="Y284" s="549">
        <f t="shared" si="71"/>
        <v>659657.6941594315</v>
      </c>
      <c r="Z284" s="549">
        <f t="shared" si="77"/>
        <v>659657.6941594315</v>
      </c>
      <c r="AA284" s="549">
        <f t="shared" ref="AA284:AA286" si="81">Z284</f>
        <v>659657.6941594315</v>
      </c>
      <c r="AB284" s="548">
        <f>AA284*(1-AB$277)</f>
        <v>559711.34131716366</v>
      </c>
      <c r="AC284" s="549">
        <f t="shared" si="73"/>
        <v>559711.34131716366</v>
      </c>
      <c r="AD284" s="549">
        <f t="shared" si="78"/>
        <v>559711.34131716366</v>
      </c>
      <c r="AE284" s="549">
        <f t="shared" ref="AE284:AE286" si="82">AD284</f>
        <v>559711.34131716366</v>
      </c>
    </row>
    <row r="285" spans="1:31" s="75" customFormat="1">
      <c r="B285" s="75" t="s">
        <v>1729</v>
      </c>
      <c r="C285" s="436" t="s">
        <v>900</v>
      </c>
      <c r="D285" s="551"/>
      <c r="E285" s="557">
        <f>E$276/4</f>
        <v>1833333.3333333333</v>
      </c>
      <c r="F285" s="555">
        <f>E285</f>
        <v>1833333.3333333333</v>
      </c>
      <c r="G285" s="556">
        <f>F285</f>
        <v>1833333.3333333333</v>
      </c>
      <c r="H285" s="551">
        <f>G285</f>
        <v>1833333.3333333333</v>
      </c>
      <c r="I285" s="552">
        <f>H285*(1-I$277)</f>
        <v>1555560.5098929708</v>
      </c>
      <c r="J285" s="549">
        <f>I285</f>
        <v>1555560.5098929708</v>
      </c>
      <c r="K285" s="550">
        <f>J285</f>
        <v>1555560.5098929708</v>
      </c>
      <c r="L285" s="551">
        <f>K285</f>
        <v>1555560.5098929708</v>
      </c>
      <c r="M285" s="552">
        <f>L285*(1-M$277)</f>
        <v>1319873.7272391706</v>
      </c>
      <c r="N285" s="549">
        <f>M285</f>
        <v>1319873.7272391706</v>
      </c>
      <c r="O285" s="550">
        <f>N285</f>
        <v>1319873.7272391706</v>
      </c>
      <c r="P285" s="551">
        <f t="shared" ref="P285:R287" si="83">O285</f>
        <v>1319873.7272391706</v>
      </c>
      <c r="Q285" s="552">
        <f>P285*(1-Q$277)</f>
        <v>1119896.4262573638</v>
      </c>
      <c r="R285" s="549">
        <f t="shared" si="75"/>
        <v>1119896.4262573638</v>
      </c>
      <c r="S285" s="549">
        <f t="shared" si="79"/>
        <v>1119896.4262573638</v>
      </c>
      <c r="T285" s="551">
        <f t="shared" ref="T285:T287" si="84">S285</f>
        <v>1119896.4262573638</v>
      </c>
      <c r="U285" s="552">
        <f>T285*(1-U$277)</f>
        <v>950218.17592157482</v>
      </c>
      <c r="V285" s="549">
        <f t="shared" si="76"/>
        <v>950218.17592157482</v>
      </c>
      <c r="W285" s="549">
        <f t="shared" si="80"/>
        <v>950218.17592157482</v>
      </c>
      <c r="X285" s="551">
        <f t="shared" ref="X285:X287" si="85">W285</f>
        <v>950218.17592157482</v>
      </c>
      <c r="Y285" s="552">
        <f>X285*(1-Y$277)</f>
        <v>806248.29286152741</v>
      </c>
      <c r="Z285" s="549">
        <f t="shared" si="77"/>
        <v>806248.29286152741</v>
      </c>
      <c r="AA285" s="549">
        <f t="shared" si="81"/>
        <v>806248.29286152741</v>
      </c>
      <c r="AB285" s="551">
        <f t="shared" ref="AB285:AB287" si="86">AA285</f>
        <v>806248.29286152741</v>
      </c>
      <c r="AC285" s="552">
        <f>AB285*(1-AC$277)</f>
        <v>684091.63938764448</v>
      </c>
      <c r="AD285" s="549">
        <f t="shared" si="78"/>
        <v>684091.63938764448</v>
      </c>
      <c r="AE285" s="549">
        <f t="shared" si="82"/>
        <v>684091.63938764448</v>
      </c>
    </row>
    <row r="286" spans="1:31" s="75" customFormat="1">
      <c r="B286" s="75" t="s">
        <v>1729</v>
      </c>
      <c r="C286" s="436" t="s">
        <v>901</v>
      </c>
      <c r="D286" s="551"/>
      <c r="E286" s="549"/>
      <c r="F286" s="557">
        <f>F$276/4</f>
        <v>2833333.3333333335</v>
      </c>
      <c r="G286" s="556">
        <f>F286</f>
        <v>2833333.3333333335</v>
      </c>
      <c r="H286" s="551">
        <f>G286</f>
        <v>2833333.3333333335</v>
      </c>
      <c r="I286" s="549">
        <f>H286</f>
        <v>2833333.3333333335</v>
      </c>
      <c r="J286" s="552">
        <f>I286*(1-J$277)</f>
        <v>2404048.0607436826</v>
      </c>
      <c r="K286" s="550">
        <f>J286</f>
        <v>2404048.0607436826</v>
      </c>
      <c r="L286" s="551">
        <f>K286</f>
        <v>2404048.0607436826</v>
      </c>
      <c r="M286" s="549">
        <f>L286</f>
        <v>2404048.0607436826</v>
      </c>
      <c r="N286" s="552">
        <f>M286*(1-N$277)</f>
        <v>2039804.8511878094</v>
      </c>
      <c r="O286" s="550">
        <f>N286</f>
        <v>2039804.8511878094</v>
      </c>
      <c r="P286" s="551">
        <f t="shared" si="83"/>
        <v>2039804.8511878094</v>
      </c>
      <c r="Q286" s="549">
        <f t="shared" si="83"/>
        <v>2039804.8511878094</v>
      </c>
      <c r="R286" s="552">
        <f>Q286*(1-R$277)</f>
        <v>1730749.0223977442</v>
      </c>
      <c r="S286" s="549">
        <f t="shared" si="79"/>
        <v>1730749.0223977442</v>
      </c>
      <c r="T286" s="551">
        <f t="shared" si="84"/>
        <v>1730749.0223977442</v>
      </c>
      <c r="U286" s="549">
        <f t="shared" ref="U286:U288" si="87">T286</f>
        <v>1730749.0223977442</v>
      </c>
      <c r="V286" s="552">
        <f>U286*(1-V$277)</f>
        <v>1468518.9991515251</v>
      </c>
      <c r="W286" s="549">
        <f t="shared" si="80"/>
        <v>1468518.9991515251</v>
      </c>
      <c r="X286" s="551">
        <f t="shared" si="85"/>
        <v>1468518.9991515251</v>
      </c>
      <c r="Y286" s="549">
        <f t="shared" ref="Y286:Y288" si="88">X286</f>
        <v>1468518.9991515251</v>
      </c>
      <c r="Z286" s="552">
        <f>Y286*(1-Z$277)</f>
        <v>1246020.0889678155</v>
      </c>
      <c r="AA286" s="549">
        <f t="shared" si="81"/>
        <v>1246020.0889678155</v>
      </c>
      <c r="AB286" s="551">
        <f t="shared" si="86"/>
        <v>1246020.0889678155</v>
      </c>
      <c r="AC286" s="549">
        <f t="shared" ref="AC286:AC288" si="89">AB286</f>
        <v>1246020.0889678155</v>
      </c>
      <c r="AD286" s="552">
        <f>AC286*(1-AD$277)</f>
        <v>1057232.5335990873</v>
      </c>
      <c r="AE286" s="549">
        <f t="shared" si="82"/>
        <v>1057232.5335990873</v>
      </c>
    </row>
    <row r="287" spans="1:31" s="75" customFormat="1">
      <c r="B287" s="75" t="s">
        <v>1729</v>
      </c>
      <c r="C287" s="436" t="s">
        <v>902</v>
      </c>
      <c r="D287" s="551"/>
      <c r="E287" s="549"/>
      <c r="F287" s="549"/>
      <c r="G287" s="558">
        <f>G$276/4</f>
        <v>4166666.6666666665</v>
      </c>
      <c r="H287" s="551">
        <f>G287</f>
        <v>4166666.6666666665</v>
      </c>
      <c r="I287" s="549">
        <f>H287</f>
        <v>4166666.6666666665</v>
      </c>
      <c r="J287" s="549">
        <f>I287</f>
        <v>4166666.6666666665</v>
      </c>
      <c r="K287" s="553">
        <f>J287*(1-K$277)</f>
        <v>3535364.7952112975</v>
      </c>
      <c r="L287" s="551">
        <f>K287</f>
        <v>3535364.7952112975</v>
      </c>
      <c r="M287" s="549">
        <f>L287</f>
        <v>3535364.7952112975</v>
      </c>
      <c r="N287" s="549">
        <f>M287</f>
        <v>3535364.7952112975</v>
      </c>
      <c r="O287" s="553">
        <f>N287*(1-O$277)</f>
        <v>2999713.0164526603</v>
      </c>
      <c r="P287" s="551">
        <f t="shared" si="83"/>
        <v>2999713.0164526603</v>
      </c>
      <c r="Q287" s="549">
        <f t="shared" si="83"/>
        <v>2999713.0164526603</v>
      </c>
      <c r="R287" s="549">
        <f t="shared" si="83"/>
        <v>2999713.0164526603</v>
      </c>
      <c r="S287" s="552">
        <f>R287*(1-S$277)</f>
        <v>2545219.1505849175</v>
      </c>
      <c r="T287" s="551">
        <f t="shared" si="84"/>
        <v>2545219.1505849175</v>
      </c>
      <c r="U287" s="549">
        <f t="shared" si="87"/>
        <v>2545219.1505849175</v>
      </c>
      <c r="V287" s="549">
        <f t="shared" ref="V287:V289" si="90">U287</f>
        <v>2545219.1505849175</v>
      </c>
      <c r="W287" s="552">
        <f>V287*(1-W$277)</f>
        <v>2159586.7634581248</v>
      </c>
      <c r="X287" s="551">
        <f t="shared" si="85"/>
        <v>2159586.7634581248</v>
      </c>
      <c r="Y287" s="549">
        <f t="shared" si="88"/>
        <v>2159586.7634581248</v>
      </c>
      <c r="Z287" s="549">
        <f t="shared" ref="Z287:Z289" si="91">Y287</f>
        <v>2159586.7634581248</v>
      </c>
      <c r="AA287" s="552">
        <f>Z287*(1-AA$277)</f>
        <v>1832382.4837761989</v>
      </c>
      <c r="AB287" s="551">
        <f t="shared" si="86"/>
        <v>1832382.4837761989</v>
      </c>
      <c r="AC287" s="549">
        <f t="shared" si="89"/>
        <v>1832382.4837761989</v>
      </c>
      <c r="AD287" s="549">
        <f t="shared" ref="AD287:AD289" si="92">AC287</f>
        <v>1832382.4837761989</v>
      </c>
      <c r="AE287" s="552">
        <f>AD287*(1-AE$277)</f>
        <v>1554753.7258810103</v>
      </c>
    </row>
    <row r="288" spans="1:31" s="75" customFormat="1">
      <c r="B288" s="75" t="s">
        <v>405</v>
      </c>
      <c r="C288" s="436" t="s">
        <v>899</v>
      </c>
      <c r="D288" s="559"/>
      <c r="E288" s="560"/>
      <c r="F288" s="560"/>
      <c r="G288" s="561"/>
      <c r="H288" s="554">
        <f>H$276/4</f>
        <v>1875000</v>
      </c>
      <c r="I288" s="555">
        <f>H288</f>
        <v>1875000</v>
      </c>
      <c r="J288" s="555">
        <f>I288</f>
        <v>1875000</v>
      </c>
      <c r="K288" s="556">
        <f>J288</f>
        <v>1875000</v>
      </c>
      <c r="L288" s="548">
        <f>K288*(1-L$277)</f>
        <v>1590914.1578450839</v>
      </c>
      <c r="M288" s="549">
        <f>L288</f>
        <v>1590914.1578450839</v>
      </c>
      <c r="N288" s="549">
        <f>M288</f>
        <v>1590914.1578450839</v>
      </c>
      <c r="O288" s="550">
        <f>N288</f>
        <v>1590914.1578450839</v>
      </c>
      <c r="P288" s="548">
        <f>O288*(1-P$277)</f>
        <v>1349870.8574036972</v>
      </c>
      <c r="Q288" s="549">
        <f t="shared" ref="Q288:S288" si="93">P288</f>
        <v>1349870.8574036972</v>
      </c>
      <c r="R288" s="549">
        <f t="shared" si="93"/>
        <v>1349870.8574036972</v>
      </c>
      <c r="S288" s="549">
        <f t="shared" si="93"/>
        <v>1349870.8574036972</v>
      </c>
      <c r="T288" s="548">
        <f>S288*(1-T$277)</f>
        <v>1145348.6177632129</v>
      </c>
      <c r="U288" s="549">
        <f t="shared" si="87"/>
        <v>1145348.6177632129</v>
      </c>
      <c r="V288" s="549">
        <f t="shared" si="90"/>
        <v>1145348.6177632129</v>
      </c>
      <c r="W288" s="549">
        <f t="shared" ref="W288:W290" si="94">V288</f>
        <v>1145348.6177632129</v>
      </c>
      <c r="X288" s="548">
        <f>W288*(1-X$277)</f>
        <v>971814.0435561561</v>
      </c>
      <c r="Y288" s="549">
        <f t="shared" si="88"/>
        <v>971814.0435561561</v>
      </c>
      <c r="Z288" s="549">
        <f t="shared" si="91"/>
        <v>971814.0435561561</v>
      </c>
      <c r="AA288" s="549">
        <f t="shared" ref="AA288:AA290" si="95">Z288</f>
        <v>971814.0435561561</v>
      </c>
      <c r="AB288" s="548">
        <f>AA288*(1-AB$277)</f>
        <v>824572.11769928946</v>
      </c>
      <c r="AC288" s="549">
        <f t="shared" si="89"/>
        <v>824572.11769928946</v>
      </c>
      <c r="AD288" s="549">
        <f t="shared" si="92"/>
        <v>824572.11769928946</v>
      </c>
      <c r="AE288" s="549">
        <f t="shared" ref="AE288:AE290" si="96">AD288</f>
        <v>824572.11769928946</v>
      </c>
    </row>
    <row r="289" spans="2:31" s="75" customFormat="1">
      <c r="B289" s="75" t="s">
        <v>405</v>
      </c>
      <c r="C289" s="436" t="s">
        <v>900</v>
      </c>
      <c r="D289" s="559"/>
      <c r="E289" s="560"/>
      <c r="F289" s="560"/>
      <c r="G289" s="561"/>
      <c r="H289" s="551"/>
      <c r="I289" s="557">
        <f>I$276/4</f>
        <v>2291666.6666666665</v>
      </c>
      <c r="J289" s="555">
        <f>I289</f>
        <v>2291666.6666666665</v>
      </c>
      <c r="K289" s="556">
        <f>J289</f>
        <v>2291666.6666666665</v>
      </c>
      <c r="L289" s="551">
        <f>K289</f>
        <v>2291666.6666666665</v>
      </c>
      <c r="M289" s="552">
        <f>L289*(1-M$277)</f>
        <v>1944450.6373662134</v>
      </c>
      <c r="N289" s="549">
        <f>M289</f>
        <v>1944450.6373662134</v>
      </c>
      <c r="O289" s="550">
        <f>N289</f>
        <v>1944450.6373662134</v>
      </c>
      <c r="P289" s="551">
        <f>O289</f>
        <v>1944450.6373662134</v>
      </c>
      <c r="Q289" s="552">
        <f>P289*(1-Q$277)</f>
        <v>1649842.1590489631</v>
      </c>
      <c r="R289" s="549">
        <f t="shared" ref="R289:S289" si="97">Q289</f>
        <v>1649842.1590489631</v>
      </c>
      <c r="S289" s="549">
        <f t="shared" si="97"/>
        <v>1649842.1590489631</v>
      </c>
      <c r="T289" s="551">
        <f>S289</f>
        <v>1649842.1590489631</v>
      </c>
      <c r="U289" s="552">
        <f>T289*(1-U$277)</f>
        <v>1399870.5328217046</v>
      </c>
      <c r="V289" s="549">
        <f t="shared" si="90"/>
        <v>1399870.5328217046</v>
      </c>
      <c r="W289" s="549">
        <f t="shared" si="94"/>
        <v>1399870.5328217046</v>
      </c>
      <c r="X289" s="551">
        <f>W289</f>
        <v>1399870.5328217046</v>
      </c>
      <c r="Y289" s="552">
        <f>X289*(1-Y$277)</f>
        <v>1187772.7199019685</v>
      </c>
      <c r="Z289" s="549">
        <f t="shared" si="91"/>
        <v>1187772.7199019685</v>
      </c>
      <c r="AA289" s="549">
        <f t="shared" si="95"/>
        <v>1187772.7199019685</v>
      </c>
      <c r="AB289" s="551">
        <f>AA289</f>
        <v>1187772.7199019685</v>
      </c>
      <c r="AC289" s="552">
        <f>AB289*(1-AC$277)</f>
        <v>1007810.3660769092</v>
      </c>
      <c r="AD289" s="549">
        <f t="shared" si="92"/>
        <v>1007810.3660769092</v>
      </c>
      <c r="AE289" s="549">
        <f t="shared" si="96"/>
        <v>1007810.3660769092</v>
      </c>
    </row>
    <row r="290" spans="2:31" s="75" customFormat="1">
      <c r="B290" s="75" t="s">
        <v>405</v>
      </c>
      <c r="C290" s="436" t="s">
        <v>901</v>
      </c>
      <c r="D290" s="559"/>
      <c r="E290" s="560"/>
      <c r="F290" s="560"/>
      <c r="G290" s="561"/>
      <c r="H290" s="551"/>
      <c r="I290" s="549"/>
      <c r="J290" s="557">
        <f>J$276/4</f>
        <v>3541666.666666667</v>
      </c>
      <c r="K290" s="556">
        <f>J290</f>
        <v>3541666.666666667</v>
      </c>
      <c r="L290" s="551">
        <f>K290</f>
        <v>3541666.666666667</v>
      </c>
      <c r="M290" s="549">
        <f>L290</f>
        <v>3541666.666666667</v>
      </c>
      <c r="N290" s="552">
        <f>M290*(1-N$277)</f>
        <v>3005060.0759296031</v>
      </c>
      <c r="O290" s="550">
        <f>N290</f>
        <v>3005060.0759296031</v>
      </c>
      <c r="P290" s="551">
        <f t="shared" ref="P290:Q290" si="98">O290</f>
        <v>3005060.0759296031</v>
      </c>
      <c r="Q290" s="549">
        <f t="shared" si="98"/>
        <v>3005060.0759296031</v>
      </c>
      <c r="R290" s="552">
        <f>Q290*(1-R$277)</f>
        <v>2549756.0639847615</v>
      </c>
      <c r="S290" s="549">
        <f t="shared" ref="S290" si="99">R290</f>
        <v>2549756.0639847615</v>
      </c>
      <c r="T290" s="551">
        <f t="shared" ref="T290:T291" si="100">S290</f>
        <v>2549756.0639847615</v>
      </c>
      <c r="U290" s="549">
        <f t="shared" ref="U290:U292" si="101">T290</f>
        <v>2549756.0639847615</v>
      </c>
      <c r="V290" s="552">
        <f>U290*(1-V$277)</f>
        <v>2163436.2779971799</v>
      </c>
      <c r="W290" s="549">
        <f t="shared" si="94"/>
        <v>2163436.2779971799</v>
      </c>
      <c r="X290" s="551">
        <f t="shared" ref="X290:X291" si="102">W290</f>
        <v>2163436.2779971799</v>
      </c>
      <c r="Y290" s="549">
        <f t="shared" ref="Y290:Y292" si="103">X290</f>
        <v>2163436.2779971799</v>
      </c>
      <c r="Z290" s="552">
        <f>Y290*(1-Z$277)</f>
        <v>1835648.7489394059</v>
      </c>
      <c r="AA290" s="549">
        <f t="shared" si="95"/>
        <v>1835648.7489394059</v>
      </c>
      <c r="AB290" s="551">
        <f t="shared" ref="AB290:AB291" si="104">AA290</f>
        <v>1835648.7489394059</v>
      </c>
      <c r="AC290" s="549">
        <f t="shared" ref="AC290:AC292" si="105">AB290</f>
        <v>1835648.7489394059</v>
      </c>
      <c r="AD290" s="552">
        <f>AC290*(1-AD$277)</f>
        <v>1557525.1112097688</v>
      </c>
      <c r="AE290" s="549">
        <f t="shared" si="96"/>
        <v>1557525.1112097688</v>
      </c>
    </row>
    <row r="291" spans="2:31" s="75" customFormat="1">
      <c r="B291" s="75" t="s">
        <v>405</v>
      </c>
      <c r="C291" s="436" t="s">
        <v>902</v>
      </c>
      <c r="D291" s="559"/>
      <c r="E291" s="560"/>
      <c r="F291" s="560"/>
      <c r="G291" s="561"/>
      <c r="H291" s="551"/>
      <c r="I291" s="549"/>
      <c r="J291" s="549"/>
      <c r="K291" s="558">
        <f>K$276/4</f>
        <v>5208333.333333333</v>
      </c>
      <c r="L291" s="551">
        <f>K291</f>
        <v>5208333.333333333</v>
      </c>
      <c r="M291" s="549">
        <f>L291</f>
        <v>5208333.333333333</v>
      </c>
      <c r="N291" s="549">
        <f>M291</f>
        <v>5208333.333333333</v>
      </c>
      <c r="O291" s="553">
        <f>N291*(1-O$277)</f>
        <v>4419205.9940141216</v>
      </c>
      <c r="P291" s="551">
        <f t="shared" ref="P291:R291" si="106">O291</f>
        <v>4419205.9940141216</v>
      </c>
      <c r="Q291" s="549">
        <f t="shared" si="106"/>
        <v>4419205.9940141216</v>
      </c>
      <c r="R291" s="549">
        <f t="shared" si="106"/>
        <v>4419205.9940141216</v>
      </c>
      <c r="S291" s="552">
        <f>R291*(1-S$277)</f>
        <v>3749641.2705658255</v>
      </c>
      <c r="T291" s="551">
        <f t="shared" si="100"/>
        <v>3749641.2705658255</v>
      </c>
      <c r="U291" s="549">
        <f t="shared" si="101"/>
        <v>3749641.2705658255</v>
      </c>
      <c r="V291" s="549">
        <f t="shared" ref="V291:V293" si="107">U291</f>
        <v>3749641.2705658255</v>
      </c>
      <c r="W291" s="552">
        <f>V291*(1-W$277)</f>
        <v>3181523.9382311469</v>
      </c>
      <c r="X291" s="551">
        <f t="shared" si="102"/>
        <v>3181523.9382311469</v>
      </c>
      <c r="Y291" s="549">
        <f t="shared" si="103"/>
        <v>3181523.9382311469</v>
      </c>
      <c r="Z291" s="549">
        <f t="shared" ref="Z291:Z293" si="108">Y291</f>
        <v>3181523.9382311469</v>
      </c>
      <c r="AA291" s="552">
        <f>Z291*(1-AA$277)</f>
        <v>2699483.4543226557</v>
      </c>
      <c r="AB291" s="551">
        <f t="shared" si="104"/>
        <v>2699483.4543226557</v>
      </c>
      <c r="AC291" s="549">
        <f t="shared" si="105"/>
        <v>2699483.4543226557</v>
      </c>
      <c r="AD291" s="549">
        <f t="shared" ref="AD291:AD293" si="109">AC291</f>
        <v>2699483.4543226557</v>
      </c>
      <c r="AE291" s="552">
        <f>AD291*(1-AE$277)</f>
        <v>2290478.1047202484</v>
      </c>
    </row>
    <row r="292" spans="2:31" s="75" customFormat="1">
      <c r="B292" s="75" t="s">
        <v>1278</v>
      </c>
      <c r="C292" s="436" t="s">
        <v>899</v>
      </c>
      <c r="D292" s="559"/>
      <c r="E292" s="560"/>
      <c r="F292" s="560"/>
      <c r="G292" s="561"/>
      <c r="H292" s="559"/>
      <c r="I292" s="560"/>
      <c r="J292" s="560"/>
      <c r="K292" s="561"/>
      <c r="L292" s="554">
        <f>L$276/4</f>
        <v>2343750</v>
      </c>
      <c r="M292" s="555">
        <f>L292</f>
        <v>2343750</v>
      </c>
      <c r="N292" s="555">
        <f>M292</f>
        <v>2343750</v>
      </c>
      <c r="O292" s="556">
        <f>N292</f>
        <v>2343750</v>
      </c>
      <c r="P292" s="548">
        <f>O292*(1-P$277)</f>
        <v>1988642.6973063548</v>
      </c>
      <c r="Q292" s="549">
        <f t="shared" ref="Q292:S292" si="110">P292</f>
        <v>1988642.6973063548</v>
      </c>
      <c r="R292" s="549">
        <f t="shared" si="110"/>
        <v>1988642.6973063548</v>
      </c>
      <c r="S292" s="549">
        <f t="shared" si="110"/>
        <v>1988642.6973063548</v>
      </c>
      <c r="T292" s="548">
        <f>S292*(1-T$277)</f>
        <v>1687338.5717546216</v>
      </c>
      <c r="U292" s="549">
        <f t="shared" si="101"/>
        <v>1687338.5717546216</v>
      </c>
      <c r="V292" s="549">
        <f t="shared" si="107"/>
        <v>1687338.5717546216</v>
      </c>
      <c r="W292" s="549">
        <f t="shared" ref="W292:W293" si="111">V292</f>
        <v>1687338.5717546216</v>
      </c>
      <c r="X292" s="548">
        <f>W292*(1-X$277)</f>
        <v>1431685.7722040161</v>
      </c>
      <c r="Y292" s="549">
        <f t="shared" si="103"/>
        <v>1431685.7722040161</v>
      </c>
      <c r="Z292" s="549">
        <f t="shared" si="108"/>
        <v>1431685.7722040161</v>
      </c>
      <c r="AA292" s="549">
        <f t="shared" ref="AA292:AA293" si="112">Z292</f>
        <v>1431685.7722040161</v>
      </c>
      <c r="AB292" s="548">
        <f>AA292*(1-AB$277)</f>
        <v>1214767.554445195</v>
      </c>
      <c r="AC292" s="549">
        <f t="shared" si="105"/>
        <v>1214767.554445195</v>
      </c>
      <c r="AD292" s="549">
        <f t="shared" si="109"/>
        <v>1214767.554445195</v>
      </c>
      <c r="AE292" s="549">
        <f t="shared" ref="AE292:AE293" si="113">AD292</f>
        <v>1214767.554445195</v>
      </c>
    </row>
    <row r="293" spans="2:31" s="75" customFormat="1">
      <c r="B293" s="75" t="s">
        <v>1278</v>
      </c>
      <c r="C293" s="436" t="s">
        <v>900</v>
      </c>
      <c r="D293" s="559"/>
      <c r="E293" s="560"/>
      <c r="F293" s="560"/>
      <c r="G293" s="561"/>
      <c r="H293" s="559"/>
      <c r="I293" s="560"/>
      <c r="J293" s="560"/>
      <c r="K293" s="561"/>
      <c r="L293" s="551"/>
      <c r="M293" s="557">
        <f>M$276/4</f>
        <v>2864583.333333333</v>
      </c>
      <c r="N293" s="555">
        <f>M293</f>
        <v>2864583.333333333</v>
      </c>
      <c r="O293" s="556">
        <f>N293</f>
        <v>2864583.333333333</v>
      </c>
      <c r="P293" s="559">
        <f t="shared" ref="P293:Q294" si="114">O293</f>
        <v>2864583.333333333</v>
      </c>
      <c r="Q293" s="552">
        <f>P293*(1-Q$277)</f>
        <v>2430563.2967077666</v>
      </c>
      <c r="R293" s="549">
        <f t="shared" ref="R293:S293" si="115">Q293</f>
        <v>2430563.2967077666</v>
      </c>
      <c r="S293" s="549">
        <f t="shared" si="115"/>
        <v>2430563.2967077666</v>
      </c>
      <c r="T293" s="559">
        <f t="shared" ref="T293:T295" si="116">S293</f>
        <v>2430563.2967077666</v>
      </c>
      <c r="U293" s="552">
        <f>T293*(1-U$277)</f>
        <v>2062302.6988112037</v>
      </c>
      <c r="V293" s="549">
        <f t="shared" si="107"/>
        <v>2062302.6988112037</v>
      </c>
      <c r="W293" s="549">
        <f t="shared" si="111"/>
        <v>2062302.6988112037</v>
      </c>
      <c r="X293" s="559">
        <f t="shared" ref="X293:X295" si="117">W293</f>
        <v>2062302.6988112037</v>
      </c>
      <c r="Y293" s="552">
        <f>X293*(1-Y$277)</f>
        <v>1749838.1660271306</v>
      </c>
      <c r="Z293" s="549">
        <f t="shared" si="108"/>
        <v>1749838.1660271306</v>
      </c>
      <c r="AA293" s="549">
        <f t="shared" si="112"/>
        <v>1749838.1660271306</v>
      </c>
      <c r="AB293" s="559">
        <f t="shared" ref="AB293:AB295" si="118">AA293</f>
        <v>1749838.1660271306</v>
      </c>
      <c r="AC293" s="552">
        <f>AB293*(1-AC$277)</f>
        <v>1484715.8998774604</v>
      </c>
      <c r="AD293" s="549">
        <f t="shared" si="109"/>
        <v>1484715.8998774604</v>
      </c>
      <c r="AE293" s="549">
        <f t="shared" si="113"/>
        <v>1484715.8998774604</v>
      </c>
    </row>
    <row r="294" spans="2:31" s="75" customFormat="1">
      <c r="B294" s="75" t="s">
        <v>1278</v>
      </c>
      <c r="C294" s="436" t="s">
        <v>901</v>
      </c>
      <c r="D294" s="559"/>
      <c r="E294" s="560"/>
      <c r="F294" s="560"/>
      <c r="G294" s="561"/>
      <c r="H294" s="559"/>
      <c r="I294" s="560"/>
      <c r="J294" s="560"/>
      <c r="K294" s="561"/>
      <c r="L294" s="551"/>
      <c r="M294" s="549"/>
      <c r="N294" s="557">
        <f>N$276/4</f>
        <v>4427083.333333334</v>
      </c>
      <c r="O294" s="556">
        <f>N294</f>
        <v>4427083.333333334</v>
      </c>
      <c r="P294" s="559">
        <f t="shared" si="114"/>
        <v>4427083.333333334</v>
      </c>
      <c r="Q294" s="560">
        <f t="shared" si="114"/>
        <v>4427083.333333334</v>
      </c>
      <c r="R294" s="552">
        <f>Q294*(1-R$277)</f>
        <v>3756325.0949120042</v>
      </c>
      <c r="S294" s="549">
        <f>R294</f>
        <v>3756325.0949120042</v>
      </c>
      <c r="T294" s="559">
        <f t="shared" si="116"/>
        <v>3756325.0949120042</v>
      </c>
      <c r="U294" s="560">
        <f t="shared" ref="U294:U296" si="119">T294</f>
        <v>3756325.0949120042</v>
      </c>
      <c r="V294" s="552">
        <f>U294*(1-V$277)</f>
        <v>3187195.0799809522</v>
      </c>
      <c r="W294" s="549">
        <f>V294</f>
        <v>3187195.0799809522</v>
      </c>
      <c r="X294" s="559">
        <f t="shared" si="117"/>
        <v>3187195.0799809522</v>
      </c>
      <c r="Y294" s="560">
        <f t="shared" ref="Y294:Y296" si="120">X294</f>
        <v>3187195.0799809522</v>
      </c>
      <c r="Z294" s="552">
        <f>Y294*(1-Z$277)</f>
        <v>2704295.3474964751</v>
      </c>
      <c r="AA294" s="549">
        <f>Z294</f>
        <v>2704295.3474964751</v>
      </c>
      <c r="AB294" s="559">
        <f t="shared" si="118"/>
        <v>2704295.3474964751</v>
      </c>
      <c r="AC294" s="560">
        <f t="shared" ref="AC294:AC296" si="121">AB294</f>
        <v>2704295.3474964751</v>
      </c>
      <c r="AD294" s="552">
        <f>AC294*(1-AD$277)</f>
        <v>2294560.9361742577</v>
      </c>
      <c r="AE294" s="549">
        <f>AD294</f>
        <v>2294560.9361742577</v>
      </c>
    </row>
    <row r="295" spans="2:31" s="75" customFormat="1">
      <c r="B295" s="75" t="s">
        <v>1278</v>
      </c>
      <c r="C295" s="436" t="s">
        <v>902</v>
      </c>
      <c r="D295" s="559"/>
      <c r="E295" s="560"/>
      <c r="F295" s="560"/>
      <c r="G295" s="561"/>
      <c r="H295" s="559"/>
      <c r="I295" s="560"/>
      <c r="J295" s="560"/>
      <c r="K295" s="561"/>
      <c r="L295" s="551"/>
      <c r="M295" s="549"/>
      <c r="N295" s="549"/>
      <c r="O295" s="558">
        <f>O$276/4</f>
        <v>6510416.666666666</v>
      </c>
      <c r="P295" s="559">
        <f>O295</f>
        <v>6510416.666666666</v>
      </c>
      <c r="Q295" s="560">
        <f t="shared" ref="Q295:S298" si="122">P295</f>
        <v>6510416.666666666</v>
      </c>
      <c r="R295" s="560">
        <f t="shared" si="122"/>
        <v>6510416.666666666</v>
      </c>
      <c r="S295" s="552">
        <f>R295*(1-S$277)</f>
        <v>5524007.492517652</v>
      </c>
      <c r="T295" s="559">
        <f t="shared" si="116"/>
        <v>5524007.492517652</v>
      </c>
      <c r="U295" s="560">
        <f t="shared" si="119"/>
        <v>5524007.492517652</v>
      </c>
      <c r="V295" s="560">
        <f t="shared" ref="V295:V297" si="123">U295</f>
        <v>5524007.492517652</v>
      </c>
      <c r="W295" s="552">
        <f>V295*(1-W$277)</f>
        <v>4687051.5882072821</v>
      </c>
      <c r="X295" s="559">
        <f t="shared" si="117"/>
        <v>4687051.5882072821</v>
      </c>
      <c r="Y295" s="560">
        <f t="shared" si="120"/>
        <v>4687051.5882072821</v>
      </c>
      <c r="Z295" s="560">
        <f t="shared" ref="Z295:Z297" si="124">Y295</f>
        <v>4687051.5882072821</v>
      </c>
      <c r="AA295" s="552">
        <f>Z295*(1-AA$277)</f>
        <v>3976904.9227889339</v>
      </c>
      <c r="AB295" s="559">
        <f t="shared" si="118"/>
        <v>3976904.9227889339</v>
      </c>
      <c r="AC295" s="560">
        <f t="shared" si="121"/>
        <v>3976904.9227889339</v>
      </c>
      <c r="AD295" s="560">
        <f t="shared" ref="AD295:AD297" si="125">AC295</f>
        <v>3976904.9227889339</v>
      </c>
      <c r="AE295" s="552">
        <f>AD295*(1-AE$277)</f>
        <v>3374354.3179033198</v>
      </c>
    </row>
    <row r="296" spans="2:31" s="75" customFormat="1">
      <c r="B296" s="75" t="s">
        <v>1279</v>
      </c>
      <c r="C296" s="436" t="s">
        <v>899</v>
      </c>
      <c r="D296" s="551"/>
      <c r="E296" s="549"/>
      <c r="F296" s="549"/>
      <c r="G296" s="550"/>
      <c r="H296" s="551"/>
      <c r="I296" s="549"/>
      <c r="J296" s="549"/>
      <c r="K296" s="550"/>
      <c r="L296" s="551"/>
      <c r="M296" s="549"/>
      <c r="N296" s="549"/>
      <c r="O296" s="550"/>
      <c r="P296" s="554">
        <f>P$276/4</f>
        <v>2929687.5</v>
      </c>
      <c r="Q296" s="555">
        <f t="shared" si="122"/>
        <v>2929687.5</v>
      </c>
      <c r="R296" s="555">
        <f t="shared" si="122"/>
        <v>2929687.5</v>
      </c>
      <c r="S296" s="555">
        <f t="shared" si="122"/>
        <v>2929687.5</v>
      </c>
      <c r="T296" s="552">
        <f>S296*(1-T$277)</f>
        <v>2485803.3716329434</v>
      </c>
      <c r="U296" s="560">
        <f t="shared" si="119"/>
        <v>2485803.3716329434</v>
      </c>
      <c r="V296" s="560">
        <f t="shared" si="123"/>
        <v>2485803.3716329434</v>
      </c>
      <c r="W296" s="560">
        <f t="shared" ref="W296:W298" si="126">V296</f>
        <v>2485803.3716329434</v>
      </c>
      <c r="X296" s="552">
        <f>W296*(1-X$277)</f>
        <v>2109173.2146932767</v>
      </c>
      <c r="Y296" s="560">
        <f t="shared" si="120"/>
        <v>2109173.2146932767</v>
      </c>
      <c r="Z296" s="560">
        <f t="shared" si="124"/>
        <v>2109173.2146932767</v>
      </c>
      <c r="AA296" s="560">
        <f t="shared" ref="AA296:AA298" si="127">Z296</f>
        <v>2109173.2146932767</v>
      </c>
      <c r="AB296" s="552">
        <f>AA296*(1-AB$277)</f>
        <v>1789607.21525502</v>
      </c>
      <c r="AC296" s="560">
        <f t="shared" si="121"/>
        <v>1789607.21525502</v>
      </c>
      <c r="AD296" s="560">
        <f t="shared" si="125"/>
        <v>1789607.21525502</v>
      </c>
      <c r="AE296" s="560">
        <f t="shared" ref="AE296:AE298" si="128">AD296</f>
        <v>1789607.21525502</v>
      </c>
    </row>
    <row r="297" spans="2:31" s="75" customFormat="1">
      <c r="B297" s="75" t="s">
        <v>1279</v>
      </c>
      <c r="C297" s="436" t="s">
        <v>900</v>
      </c>
      <c r="D297" s="551"/>
      <c r="E297" s="549"/>
      <c r="F297" s="549"/>
      <c r="G297" s="550"/>
      <c r="H297" s="551"/>
      <c r="I297" s="549"/>
      <c r="J297" s="549"/>
      <c r="K297" s="550"/>
      <c r="L297" s="551"/>
      <c r="M297" s="549"/>
      <c r="N297" s="549"/>
      <c r="O297" s="550"/>
      <c r="P297" s="551"/>
      <c r="Q297" s="557">
        <f>Q$276/4</f>
        <v>3580729.166666666</v>
      </c>
      <c r="R297" s="555">
        <f t="shared" si="122"/>
        <v>3580729.166666666</v>
      </c>
      <c r="S297" s="555">
        <f t="shared" si="122"/>
        <v>3580729.166666666</v>
      </c>
      <c r="T297" s="559">
        <f>S297</f>
        <v>3580729.166666666</v>
      </c>
      <c r="U297" s="552">
        <f>T297*(1-U$277)</f>
        <v>3038204.1208847081</v>
      </c>
      <c r="V297" s="560">
        <f t="shared" si="123"/>
        <v>3038204.1208847081</v>
      </c>
      <c r="W297" s="560">
        <f t="shared" si="126"/>
        <v>3038204.1208847081</v>
      </c>
      <c r="X297" s="559">
        <f>W297</f>
        <v>3038204.1208847081</v>
      </c>
      <c r="Y297" s="552">
        <f>X297*(1-Y$277)</f>
        <v>2577878.3735140045</v>
      </c>
      <c r="Z297" s="560">
        <f t="shared" si="124"/>
        <v>2577878.3735140045</v>
      </c>
      <c r="AA297" s="560">
        <f t="shared" si="127"/>
        <v>2577878.3735140045</v>
      </c>
      <c r="AB297" s="559">
        <f>AA297</f>
        <v>2577878.3735140045</v>
      </c>
      <c r="AC297" s="552">
        <f>AB297*(1-AC$277)</f>
        <v>2187297.7075339132</v>
      </c>
      <c r="AD297" s="560">
        <f t="shared" si="125"/>
        <v>2187297.7075339132</v>
      </c>
      <c r="AE297" s="560">
        <f t="shared" si="128"/>
        <v>2187297.7075339132</v>
      </c>
    </row>
    <row r="298" spans="2:31" s="75" customFormat="1">
      <c r="B298" s="75" t="s">
        <v>1279</v>
      </c>
      <c r="C298" s="436" t="s">
        <v>901</v>
      </c>
      <c r="D298" s="551"/>
      <c r="E298" s="549"/>
      <c r="F298" s="549"/>
      <c r="G298" s="550"/>
      <c r="H298" s="551"/>
      <c r="I298" s="549"/>
      <c r="J298" s="549"/>
      <c r="K298" s="550"/>
      <c r="L298" s="551"/>
      <c r="M298" s="549"/>
      <c r="N298" s="549"/>
      <c r="O298" s="550"/>
      <c r="P298" s="551"/>
      <c r="Q298" s="549"/>
      <c r="R298" s="557">
        <f>R$276/4</f>
        <v>5533854.1666666679</v>
      </c>
      <c r="S298" s="555">
        <f t="shared" si="122"/>
        <v>5533854.1666666679</v>
      </c>
      <c r="T298" s="559">
        <f>S298</f>
        <v>5533854.1666666679</v>
      </c>
      <c r="U298" s="559">
        <f>T298</f>
        <v>5533854.1666666679</v>
      </c>
      <c r="V298" s="552">
        <f>U298*(1-V$277)</f>
        <v>4695406.3686400056</v>
      </c>
      <c r="W298" s="560">
        <f t="shared" si="126"/>
        <v>4695406.3686400056</v>
      </c>
      <c r="X298" s="559">
        <f>W298</f>
        <v>4695406.3686400056</v>
      </c>
      <c r="Y298" s="559">
        <f>X298</f>
        <v>4695406.3686400056</v>
      </c>
      <c r="Z298" s="552">
        <f>Y298*(1-Z$277)</f>
        <v>3983993.8499761908</v>
      </c>
      <c r="AA298" s="560">
        <f t="shared" si="127"/>
        <v>3983993.8499761908</v>
      </c>
      <c r="AB298" s="559">
        <f>AA298</f>
        <v>3983993.8499761908</v>
      </c>
      <c r="AC298" s="559">
        <f>AB298</f>
        <v>3983993.8499761908</v>
      </c>
      <c r="AD298" s="552">
        <f>AC298*(1-AD$277)</f>
        <v>3380369.1843705946</v>
      </c>
      <c r="AE298" s="560">
        <f t="shared" si="128"/>
        <v>3380369.1843705946</v>
      </c>
    </row>
    <row r="299" spans="2:31" s="75" customFormat="1">
      <c r="B299" s="75" t="s">
        <v>1279</v>
      </c>
      <c r="C299" s="436" t="s">
        <v>902</v>
      </c>
      <c r="D299" s="551"/>
      <c r="E299" s="549"/>
      <c r="F299" s="549"/>
      <c r="G299" s="550"/>
      <c r="H299" s="551"/>
      <c r="I299" s="549"/>
      <c r="J299" s="549"/>
      <c r="K299" s="550"/>
      <c r="L299" s="551"/>
      <c r="M299" s="549"/>
      <c r="N299" s="549"/>
      <c r="O299" s="550"/>
      <c r="P299" s="551"/>
      <c r="Q299" s="549"/>
      <c r="R299" s="549"/>
      <c r="S299" s="557">
        <f>S$276/4</f>
        <v>8138020.8333333321</v>
      </c>
      <c r="T299" s="559">
        <f>S299</f>
        <v>8138020.8333333321</v>
      </c>
      <c r="U299" s="559">
        <f t="shared" ref="U299:W302" si="129">T299</f>
        <v>8138020.8333333321</v>
      </c>
      <c r="V299" s="559">
        <f t="shared" si="129"/>
        <v>8138020.8333333321</v>
      </c>
      <c r="W299" s="552">
        <f>V299*(1-W$277)</f>
        <v>6905009.3656470645</v>
      </c>
      <c r="X299" s="559">
        <f>W299</f>
        <v>6905009.3656470645</v>
      </c>
      <c r="Y299" s="559">
        <f t="shared" ref="Y299:Z299" si="130">X299</f>
        <v>6905009.3656470645</v>
      </c>
      <c r="Z299" s="559">
        <f t="shared" si="130"/>
        <v>6905009.3656470645</v>
      </c>
      <c r="AA299" s="552">
        <f>Z299*(1-AA$277)</f>
        <v>5858814.4852591017</v>
      </c>
      <c r="AB299" s="559">
        <f>AA299</f>
        <v>5858814.4852591017</v>
      </c>
      <c r="AC299" s="559">
        <f t="shared" ref="AC299:AD299" si="131">AB299</f>
        <v>5858814.4852591017</v>
      </c>
      <c r="AD299" s="559">
        <f t="shared" si="131"/>
        <v>5858814.4852591017</v>
      </c>
      <c r="AE299" s="552">
        <f>AD299*(1-AE$277)</f>
        <v>4971131.1534861661</v>
      </c>
    </row>
    <row r="300" spans="2:31" s="75" customFormat="1">
      <c r="B300" s="75" t="s">
        <v>2052</v>
      </c>
      <c r="C300" s="436" t="s">
        <v>899</v>
      </c>
      <c r="D300" s="551"/>
      <c r="E300" s="549"/>
      <c r="F300" s="549"/>
      <c r="G300" s="550"/>
      <c r="H300" s="551"/>
      <c r="I300" s="549"/>
      <c r="J300" s="549"/>
      <c r="K300" s="550"/>
      <c r="L300" s="551"/>
      <c r="M300" s="549"/>
      <c r="N300" s="549"/>
      <c r="O300" s="550"/>
      <c r="P300" s="551"/>
      <c r="Q300" s="549"/>
      <c r="R300" s="549"/>
      <c r="S300" s="560"/>
      <c r="T300" s="557">
        <f>T$276/4</f>
        <v>3222656.2500000005</v>
      </c>
      <c r="U300" s="762">
        <f t="shared" si="129"/>
        <v>3222656.2500000005</v>
      </c>
      <c r="V300" s="762">
        <f t="shared" si="129"/>
        <v>3222656.2500000005</v>
      </c>
      <c r="W300" s="762">
        <f t="shared" si="129"/>
        <v>3222656.2500000005</v>
      </c>
      <c r="X300" s="552">
        <f>W300*(1-X$277)</f>
        <v>2734383.7087962381</v>
      </c>
      <c r="Y300" s="559">
        <f t="shared" ref="Y300:AA300" si="132">X300</f>
        <v>2734383.7087962381</v>
      </c>
      <c r="Z300" s="559">
        <f t="shared" si="132"/>
        <v>2734383.7087962381</v>
      </c>
      <c r="AA300" s="559">
        <f t="shared" si="132"/>
        <v>2734383.7087962381</v>
      </c>
      <c r="AB300" s="552">
        <f>AA300*(1-AB$277)</f>
        <v>2320090.5361626046</v>
      </c>
      <c r="AC300" s="559">
        <f t="shared" ref="AC300:AE300" si="133">AB300</f>
        <v>2320090.5361626046</v>
      </c>
      <c r="AD300" s="559">
        <f t="shared" si="133"/>
        <v>2320090.5361626046</v>
      </c>
      <c r="AE300" s="559">
        <f t="shared" si="133"/>
        <v>2320090.5361626046</v>
      </c>
    </row>
    <row r="301" spans="2:31" s="75" customFormat="1">
      <c r="B301" s="75" t="s">
        <v>2052</v>
      </c>
      <c r="C301" s="436" t="s">
        <v>900</v>
      </c>
      <c r="D301" s="551"/>
      <c r="E301" s="549"/>
      <c r="F301" s="549"/>
      <c r="G301" s="550"/>
      <c r="H301" s="551"/>
      <c r="I301" s="549"/>
      <c r="J301" s="549"/>
      <c r="K301" s="550"/>
      <c r="L301" s="551"/>
      <c r="M301" s="549"/>
      <c r="N301" s="549"/>
      <c r="O301" s="550"/>
      <c r="P301" s="551"/>
      <c r="Q301" s="549"/>
      <c r="R301" s="549"/>
      <c r="S301" s="560"/>
      <c r="T301" s="551"/>
      <c r="U301" s="557">
        <f>U$276/4</f>
        <v>3938802.083333333</v>
      </c>
      <c r="V301" s="762">
        <f t="shared" si="129"/>
        <v>3938802.083333333</v>
      </c>
      <c r="W301" s="762">
        <f t="shared" si="129"/>
        <v>3938802.083333333</v>
      </c>
      <c r="X301" s="559">
        <f>W301</f>
        <v>3938802.083333333</v>
      </c>
      <c r="Y301" s="552">
        <f>X301*(1-Y$277)</f>
        <v>3342024.5329731791</v>
      </c>
      <c r="Z301" s="559">
        <f t="shared" ref="Z301:AA301" si="134">Y301</f>
        <v>3342024.5329731791</v>
      </c>
      <c r="AA301" s="559">
        <f t="shared" si="134"/>
        <v>3342024.5329731791</v>
      </c>
      <c r="AB301" s="559">
        <f>AA301</f>
        <v>3342024.5329731791</v>
      </c>
      <c r="AC301" s="552">
        <f>AB301*(1-AC$277)</f>
        <v>2835666.2108654054</v>
      </c>
      <c r="AD301" s="559">
        <f t="shared" ref="AD301:AE302" si="135">AC301</f>
        <v>2835666.2108654054</v>
      </c>
      <c r="AE301" s="559">
        <f t="shared" si="135"/>
        <v>2835666.2108654054</v>
      </c>
    </row>
    <row r="302" spans="2:31" s="75" customFormat="1">
      <c r="B302" s="75" t="s">
        <v>2052</v>
      </c>
      <c r="C302" s="436" t="s">
        <v>901</v>
      </c>
      <c r="D302" s="551"/>
      <c r="E302" s="549"/>
      <c r="F302" s="549"/>
      <c r="G302" s="550"/>
      <c r="H302" s="551"/>
      <c r="I302" s="549"/>
      <c r="J302" s="549"/>
      <c r="K302" s="550"/>
      <c r="L302" s="551"/>
      <c r="M302" s="549"/>
      <c r="N302" s="549"/>
      <c r="O302" s="550"/>
      <c r="P302" s="551"/>
      <c r="Q302" s="549"/>
      <c r="R302" s="549"/>
      <c r="S302" s="560"/>
      <c r="T302" s="551"/>
      <c r="U302" s="549"/>
      <c r="V302" s="557">
        <f>V$276/4</f>
        <v>6087239.5833333349</v>
      </c>
      <c r="W302" s="762">
        <f t="shared" si="129"/>
        <v>6087239.5833333349</v>
      </c>
      <c r="X302" s="559">
        <f>W302</f>
        <v>6087239.5833333349</v>
      </c>
      <c r="Y302" s="559">
        <f>X302</f>
        <v>6087239.5833333349</v>
      </c>
      <c r="Z302" s="552">
        <f>Y302*(1-Z$277)</f>
        <v>5164947.0055040065</v>
      </c>
      <c r="AA302" s="559">
        <f t="shared" ref="AA302" si="136">Z302</f>
        <v>5164947.0055040065</v>
      </c>
      <c r="AB302" s="559">
        <f>AA302</f>
        <v>5164947.0055040065</v>
      </c>
      <c r="AC302" s="559">
        <f>AB302</f>
        <v>5164947.0055040065</v>
      </c>
      <c r="AD302" s="552">
        <f>AC302*(1-AD$277)</f>
        <v>4382393.2349738106</v>
      </c>
      <c r="AE302" s="559">
        <f t="shared" si="135"/>
        <v>4382393.2349738106</v>
      </c>
    </row>
    <row r="303" spans="2:31" s="75" customFormat="1">
      <c r="B303" s="75" t="s">
        <v>2052</v>
      </c>
      <c r="C303" s="436" t="s">
        <v>902</v>
      </c>
      <c r="D303" s="551"/>
      <c r="E303" s="549"/>
      <c r="F303" s="549"/>
      <c r="G303" s="550"/>
      <c r="H303" s="551"/>
      <c r="I303" s="549"/>
      <c r="J303" s="549"/>
      <c r="K303" s="550"/>
      <c r="L303" s="551"/>
      <c r="M303" s="549"/>
      <c r="N303" s="549"/>
      <c r="O303" s="550"/>
      <c r="P303" s="551"/>
      <c r="Q303" s="549"/>
      <c r="R303" s="549"/>
      <c r="S303" s="560"/>
      <c r="T303" s="551"/>
      <c r="U303" s="549"/>
      <c r="V303" s="549"/>
      <c r="W303" s="557">
        <f>W$276/4</f>
        <v>8951822.916666666</v>
      </c>
      <c r="X303" s="559">
        <f t="shared" ref="X303:Z303" si="137">W303</f>
        <v>8951822.916666666</v>
      </c>
      <c r="Y303" s="559">
        <f t="shared" si="137"/>
        <v>8951822.916666666</v>
      </c>
      <c r="Z303" s="559">
        <f t="shared" si="137"/>
        <v>8951822.916666666</v>
      </c>
      <c r="AA303" s="552">
        <f>Z303*(1-AA$277)</f>
        <v>7595510.3022117708</v>
      </c>
      <c r="AB303" s="559">
        <f t="shared" ref="AB303:AD303" si="138">AA303</f>
        <v>7595510.3022117708</v>
      </c>
      <c r="AC303" s="559">
        <f t="shared" si="138"/>
        <v>7595510.3022117708</v>
      </c>
      <c r="AD303" s="559">
        <f t="shared" si="138"/>
        <v>7595510.3022117708</v>
      </c>
      <c r="AE303" s="552">
        <f>AD303*(1-AE$277)</f>
        <v>6444695.933785012</v>
      </c>
    </row>
    <row r="304" spans="2:31" s="75" customFormat="1">
      <c r="B304" s="75" t="s">
        <v>2408</v>
      </c>
      <c r="C304" s="436" t="s">
        <v>899</v>
      </c>
      <c r="D304" s="551"/>
      <c r="E304" s="549"/>
      <c r="F304" s="549"/>
      <c r="G304" s="550"/>
      <c r="H304" s="551"/>
      <c r="I304" s="549"/>
      <c r="J304" s="549"/>
      <c r="K304" s="550"/>
      <c r="L304" s="551"/>
      <c r="M304" s="549"/>
      <c r="N304" s="549"/>
      <c r="O304" s="550"/>
      <c r="P304" s="551"/>
      <c r="Q304" s="549"/>
      <c r="R304" s="549"/>
      <c r="S304" s="560"/>
      <c r="T304" s="551"/>
      <c r="U304" s="549"/>
      <c r="V304" s="549"/>
      <c r="W304" s="560"/>
      <c r="X304" s="557">
        <f>X$276/4</f>
        <v>3464355.4687500005</v>
      </c>
      <c r="Y304" s="559">
        <f t="shared" ref="Y304:AA304" si="139">X304</f>
        <v>3464355.4687500005</v>
      </c>
      <c r="Z304" s="559">
        <f t="shared" si="139"/>
        <v>3464355.4687500005</v>
      </c>
      <c r="AA304" s="559">
        <f t="shared" si="139"/>
        <v>3464355.4687500005</v>
      </c>
      <c r="AB304" s="552">
        <f>AA304*(1-AB$277)</f>
        <v>2939462.4869559561</v>
      </c>
      <c r="AC304" s="559">
        <f t="shared" ref="AB304:AE310" si="140">AB304</f>
        <v>2939462.4869559561</v>
      </c>
      <c r="AD304" s="559">
        <f t="shared" si="140"/>
        <v>2939462.4869559561</v>
      </c>
      <c r="AE304" s="559">
        <f t="shared" si="140"/>
        <v>2939462.4869559561</v>
      </c>
    </row>
    <row r="305" spans="2:31" s="75" customFormat="1">
      <c r="B305" s="75" t="s">
        <v>2408</v>
      </c>
      <c r="C305" s="436" t="s">
        <v>900</v>
      </c>
      <c r="D305" s="551"/>
      <c r="E305" s="549"/>
      <c r="F305" s="549"/>
      <c r="G305" s="550"/>
      <c r="H305" s="551"/>
      <c r="I305" s="549"/>
      <c r="J305" s="549"/>
      <c r="K305" s="550"/>
      <c r="L305" s="551"/>
      <c r="M305" s="549"/>
      <c r="N305" s="549"/>
      <c r="O305" s="550"/>
      <c r="P305" s="551"/>
      <c r="Q305" s="549"/>
      <c r="R305" s="549"/>
      <c r="S305" s="560"/>
      <c r="T305" s="551"/>
      <c r="U305" s="549"/>
      <c r="V305" s="549"/>
      <c r="W305" s="560"/>
      <c r="X305" s="551"/>
      <c r="Y305" s="557">
        <f>Y$276/4</f>
        <v>4234212.239583333</v>
      </c>
      <c r="Z305" s="559">
        <f>Y305</f>
        <v>4234212.239583333</v>
      </c>
      <c r="AA305" s="559">
        <f>Z305</f>
        <v>4234212.239583333</v>
      </c>
      <c r="AB305" s="559">
        <f t="shared" si="140"/>
        <v>4234212.239583333</v>
      </c>
      <c r="AC305" s="552">
        <f>AB305*(1-AC$277)</f>
        <v>3592676.3729461678</v>
      </c>
      <c r="AD305" s="559">
        <f>AC305</f>
        <v>3592676.3729461678</v>
      </c>
      <c r="AE305" s="559">
        <f>AD305</f>
        <v>3592676.3729461678</v>
      </c>
    </row>
    <row r="306" spans="2:31" s="75" customFormat="1">
      <c r="B306" s="75" t="s">
        <v>2408</v>
      </c>
      <c r="C306" s="436" t="s">
        <v>901</v>
      </c>
      <c r="D306" s="551"/>
      <c r="E306" s="549"/>
      <c r="F306" s="549"/>
      <c r="G306" s="550"/>
      <c r="H306" s="551"/>
      <c r="I306" s="549"/>
      <c r="J306" s="549"/>
      <c r="K306" s="550"/>
      <c r="L306" s="551"/>
      <c r="M306" s="549"/>
      <c r="N306" s="549"/>
      <c r="O306" s="550"/>
      <c r="P306" s="551"/>
      <c r="Q306" s="549"/>
      <c r="R306" s="549"/>
      <c r="S306" s="560"/>
      <c r="T306" s="551"/>
      <c r="U306" s="549"/>
      <c r="V306" s="549"/>
      <c r="W306" s="560"/>
      <c r="X306" s="551"/>
      <c r="Y306" s="549"/>
      <c r="Z306" s="557">
        <f>Z$276/4</f>
        <v>6543782.5520833349</v>
      </c>
      <c r="AA306" s="559">
        <f>Z306</f>
        <v>6543782.5520833349</v>
      </c>
      <c r="AB306" s="559">
        <f t="shared" si="140"/>
        <v>6543782.5520833349</v>
      </c>
      <c r="AC306" s="559">
        <f t="shared" si="140"/>
        <v>6543782.5520833349</v>
      </c>
      <c r="AD306" s="552">
        <f>AC306*(1-AD$277)</f>
        <v>5552318.0309168063</v>
      </c>
      <c r="AE306" s="559">
        <f>AD306</f>
        <v>5552318.0309168063</v>
      </c>
    </row>
    <row r="307" spans="2:31" s="75" customFormat="1">
      <c r="B307" s="75" t="s">
        <v>2408</v>
      </c>
      <c r="C307" s="436" t="s">
        <v>902</v>
      </c>
      <c r="D307" s="551"/>
      <c r="E307" s="549"/>
      <c r="F307" s="549"/>
      <c r="G307" s="550"/>
      <c r="H307" s="551"/>
      <c r="I307" s="549"/>
      <c r="J307" s="549"/>
      <c r="K307" s="550"/>
      <c r="L307" s="551"/>
      <c r="M307" s="549"/>
      <c r="N307" s="549"/>
      <c r="O307" s="550"/>
      <c r="P307" s="551"/>
      <c r="Q307" s="549"/>
      <c r="R307" s="549"/>
      <c r="S307" s="560"/>
      <c r="T307" s="551"/>
      <c r="U307" s="549"/>
      <c r="V307" s="549"/>
      <c r="W307" s="560"/>
      <c r="X307" s="551"/>
      <c r="Y307" s="549"/>
      <c r="Z307" s="549"/>
      <c r="AA307" s="557">
        <f>AA$276/4</f>
        <v>9623209.635416666</v>
      </c>
      <c r="AB307" s="559">
        <f t="shared" si="140"/>
        <v>9623209.635416666</v>
      </c>
      <c r="AC307" s="559">
        <f t="shared" si="140"/>
        <v>9623209.635416666</v>
      </c>
      <c r="AD307" s="559">
        <f t="shared" si="140"/>
        <v>9623209.635416666</v>
      </c>
      <c r="AE307" s="552">
        <f>AD307*(1-AE$277)</f>
        <v>8165173.5748776542</v>
      </c>
    </row>
    <row r="308" spans="2:31" s="75" customFormat="1">
      <c r="B308" s="75" t="s">
        <v>2413</v>
      </c>
      <c r="C308" s="436" t="s">
        <v>899</v>
      </c>
      <c r="D308" s="551"/>
      <c r="E308" s="549"/>
      <c r="F308" s="549"/>
      <c r="G308" s="550"/>
      <c r="H308" s="551"/>
      <c r="I308" s="549"/>
      <c r="J308" s="549"/>
      <c r="K308" s="550"/>
      <c r="L308" s="551"/>
      <c r="M308" s="549"/>
      <c r="N308" s="549"/>
      <c r="O308" s="550"/>
      <c r="P308" s="551"/>
      <c r="Q308" s="549"/>
      <c r="R308" s="549"/>
      <c r="S308" s="560"/>
      <c r="T308" s="551"/>
      <c r="U308" s="549"/>
      <c r="V308" s="549"/>
      <c r="W308" s="560"/>
      <c r="X308" s="551"/>
      <c r="Y308" s="549"/>
      <c r="Z308" s="549"/>
      <c r="AA308" s="560"/>
      <c r="AB308" s="557">
        <f>AB$276/4</f>
        <v>3637573.2421875005</v>
      </c>
      <c r="AC308" s="559">
        <f t="shared" si="140"/>
        <v>3637573.2421875005</v>
      </c>
      <c r="AD308" s="559">
        <f t="shared" si="140"/>
        <v>3637573.2421875005</v>
      </c>
      <c r="AE308" s="559">
        <f t="shared" si="140"/>
        <v>3637573.2421875005</v>
      </c>
    </row>
    <row r="309" spans="2:31" s="75" customFormat="1">
      <c r="B309" s="75" t="s">
        <v>2413</v>
      </c>
      <c r="C309" s="436" t="s">
        <v>900</v>
      </c>
      <c r="D309" s="551"/>
      <c r="E309" s="549"/>
      <c r="F309" s="549"/>
      <c r="G309" s="550"/>
      <c r="H309" s="551"/>
      <c r="I309" s="549"/>
      <c r="J309" s="549"/>
      <c r="K309" s="550"/>
      <c r="L309" s="551"/>
      <c r="M309" s="549"/>
      <c r="N309" s="549"/>
      <c r="O309" s="550"/>
      <c r="P309" s="551"/>
      <c r="Q309" s="549"/>
      <c r="R309" s="549"/>
      <c r="S309" s="560"/>
      <c r="T309" s="551"/>
      <c r="U309" s="549"/>
      <c r="V309" s="549"/>
      <c r="W309" s="560"/>
      <c r="X309" s="551"/>
      <c r="Y309" s="549"/>
      <c r="Z309" s="549"/>
      <c r="AA309" s="560"/>
      <c r="AB309" s="551"/>
      <c r="AC309" s="557">
        <f>AC$276/4</f>
        <v>4445922.8515625</v>
      </c>
      <c r="AD309" s="559">
        <f t="shared" si="140"/>
        <v>4445922.8515625</v>
      </c>
      <c r="AE309" s="559">
        <f t="shared" si="140"/>
        <v>4445922.8515625</v>
      </c>
    </row>
    <row r="310" spans="2:31" s="75" customFormat="1">
      <c r="B310" s="75" t="s">
        <v>2413</v>
      </c>
      <c r="C310" s="436" t="s">
        <v>901</v>
      </c>
      <c r="D310" s="551"/>
      <c r="E310" s="549"/>
      <c r="F310" s="549"/>
      <c r="G310" s="550"/>
      <c r="H310" s="551"/>
      <c r="I310" s="549"/>
      <c r="J310" s="549"/>
      <c r="K310" s="550"/>
      <c r="L310" s="551"/>
      <c r="M310" s="549"/>
      <c r="N310" s="549"/>
      <c r="O310" s="550"/>
      <c r="P310" s="551"/>
      <c r="Q310" s="549"/>
      <c r="R310" s="549"/>
      <c r="S310" s="560"/>
      <c r="T310" s="551"/>
      <c r="U310" s="549"/>
      <c r="V310" s="549"/>
      <c r="W310" s="560"/>
      <c r="X310" s="551"/>
      <c r="Y310" s="549"/>
      <c r="Z310" s="549"/>
      <c r="AA310" s="560"/>
      <c r="AB310" s="551"/>
      <c r="AC310" s="549"/>
      <c r="AD310" s="557">
        <f>AD$276/4</f>
        <v>6870971.6796875019</v>
      </c>
      <c r="AE310" s="559">
        <f t="shared" si="140"/>
        <v>6870971.6796875019</v>
      </c>
    </row>
    <row r="311" spans="2:31" s="75" customFormat="1">
      <c r="B311" s="75" t="s">
        <v>2413</v>
      </c>
      <c r="C311" s="436" t="s">
        <v>902</v>
      </c>
      <c r="D311" s="551"/>
      <c r="E311" s="549"/>
      <c r="F311" s="549"/>
      <c r="G311" s="550"/>
      <c r="H311" s="551"/>
      <c r="I311" s="549"/>
      <c r="J311" s="549"/>
      <c r="K311" s="550"/>
      <c r="L311" s="551"/>
      <c r="M311" s="549"/>
      <c r="N311" s="549"/>
      <c r="O311" s="550"/>
      <c r="P311" s="551"/>
      <c r="Q311" s="549"/>
      <c r="R311" s="549"/>
      <c r="S311" s="560"/>
      <c r="T311" s="551"/>
      <c r="U311" s="549"/>
      <c r="V311" s="549"/>
      <c r="W311" s="560"/>
      <c r="X311" s="551"/>
      <c r="Y311" s="549"/>
      <c r="Z311" s="549"/>
      <c r="AA311" s="560"/>
      <c r="AB311" s="551"/>
      <c r="AC311" s="549"/>
      <c r="AD311" s="549"/>
      <c r="AE311" s="557">
        <f>AE$276/4</f>
        <v>10104370.1171875</v>
      </c>
    </row>
    <row r="312" spans="2:31" s="75" customFormat="1">
      <c r="C312" s="436" t="s">
        <v>1731</v>
      </c>
      <c r="D312" s="551">
        <f t="shared" ref="D312:S312" si="141">SUM(D280:D299)</f>
        <v>11775000</v>
      </c>
      <c r="E312" s="549">
        <f t="shared" si="141"/>
        <v>13267430.322747434</v>
      </c>
      <c r="F312" s="549">
        <f t="shared" si="141"/>
        <v>15646226.308632903</v>
      </c>
      <c r="G312" s="550">
        <f t="shared" si="141"/>
        <v>19244721.290989738</v>
      </c>
      <c r="H312" s="551">
        <f t="shared" si="141"/>
        <v>20699274.24460046</v>
      </c>
      <c r="I312" s="549">
        <f t="shared" si="141"/>
        <v>22423916.127297103</v>
      </c>
      <c r="J312" s="549">
        <f t="shared" si="141"/>
        <v>25150628.240667898</v>
      </c>
      <c r="K312" s="550">
        <f t="shared" si="141"/>
        <v>29245573.10166309</v>
      </c>
      <c r="L312" s="551">
        <f t="shared" si="141"/>
        <v>30948493.174854919</v>
      </c>
      <c r="M312" s="549">
        <f t="shared" si="141"/>
        <v>32984747.008665416</v>
      </c>
      <c r="N312" s="549">
        <f t="shared" si="141"/>
        <v>36183744.95828104</v>
      </c>
      <c r="O312" s="550">
        <f t="shared" si="141"/>
        <v>40960338.027588889</v>
      </c>
      <c r="P312" s="551">
        <f t="shared" si="141"/>
        <v>42991182.009785935</v>
      </c>
      <c r="Q312" s="549">
        <f t="shared" si="141"/>
        <v>45435063.871479511</v>
      </c>
      <c r="R312" s="549">
        <f t="shared" si="141"/>
        <v>49256144.640258655</v>
      </c>
      <c r="S312" s="549">
        <f t="shared" si="141"/>
        <v>54936628.561712816</v>
      </c>
      <c r="T312" s="549">
        <f t="shared" ref="T312:AE312" si="142">SUM(T280:T311)</f>
        <v>56952743.148327097</v>
      </c>
      <c r="U312" s="549">
        <f t="shared" si="142"/>
        <v>59384419.400390618</v>
      </c>
      <c r="V312" s="549">
        <f t="shared" si="142"/>
        <v>63179944.28016147</v>
      </c>
      <c r="W312" s="549">
        <f t="shared" si="142"/>
        <v>68813566.253656283</v>
      </c>
      <c r="X312" s="549">
        <f t="shared" si="142"/>
        <v>70765913.600237042</v>
      </c>
      <c r="Y312" s="549">
        <f t="shared" si="142"/>
        <v>73124570.784062237</v>
      </c>
      <c r="Z312" s="549">
        <f t="shared" si="142"/>
        <v>76801569.362241939</v>
      </c>
      <c r="AA312" s="549">
        <f t="shared" si="142"/>
        <v>82253014.191701323</v>
      </c>
      <c r="AB312" s="549">
        <f t="shared" si="142"/>
        <v>84082774.383648992</v>
      </c>
      <c r="AC312" s="549">
        <f t="shared" si="142"/>
        <v>86295776.252828464</v>
      </c>
      <c r="AD312" s="549">
        <f t="shared" si="142"/>
        <v>89742852.898513868</v>
      </c>
      <c r="AE312" s="549">
        <f t="shared" si="142"/>
        <v>94849496.452230453</v>
      </c>
    </row>
    <row r="313" spans="2:31" s="75" customFormat="1">
      <c r="C313" s="436" t="s">
        <v>492</v>
      </c>
      <c r="D313" s="551"/>
      <c r="E313" s="549"/>
      <c r="F313" s="549"/>
      <c r="G313" s="562">
        <f>SUM(D312:G312)</f>
        <v>59933377.922370076</v>
      </c>
      <c r="H313" s="551"/>
      <c r="I313" s="549"/>
      <c r="J313" s="549"/>
      <c r="K313" s="562">
        <f>SUM(H312:K312)</f>
        <v>97519391.714228541</v>
      </c>
      <c r="L313" s="551"/>
      <c r="M313" s="549"/>
      <c r="N313" s="549"/>
      <c r="O313" s="562">
        <f>SUM(L312:O312)</f>
        <v>141077323.16939026</v>
      </c>
      <c r="P313" s="551"/>
      <c r="Q313" s="549"/>
      <c r="R313" s="549"/>
      <c r="S313" s="761">
        <f>SUM(P312:S312)</f>
        <v>192619019.08323693</v>
      </c>
      <c r="T313" s="551"/>
      <c r="U313" s="549"/>
      <c r="V313" s="549"/>
      <c r="W313" s="761">
        <f>SUM(T312:W312)</f>
        <v>248330673.08253545</v>
      </c>
      <c r="X313" s="551"/>
      <c r="Y313" s="549"/>
      <c r="Z313" s="549"/>
      <c r="AA313" s="761">
        <f>SUM(X312:AA312)</f>
        <v>302945067.93824255</v>
      </c>
      <c r="AB313" s="551"/>
      <c r="AC313" s="549"/>
      <c r="AD313" s="549"/>
      <c r="AE313" s="761">
        <f>SUM(AB312:AE312)</f>
        <v>354970899.98722178</v>
      </c>
    </row>
    <row r="314" spans="2:31" s="576" customFormat="1">
      <c r="C314" s="577"/>
      <c r="D314" s="578"/>
      <c r="E314" s="579"/>
      <c r="F314" s="579"/>
      <c r="G314" s="580"/>
      <c r="H314" s="578"/>
      <c r="I314" s="579"/>
      <c r="J314" s="579"/>
      <c r="K314" s="580"/>
      <c r="L314" s="578"/>
      <c r="M314" s="579"/>
      <c r="N314" s="579"/>
      <c r="O314" s="581">
        <f>O313/K313-1</f>
        <v>0.446659179158994</v>
      </c>
      <c r="P314" s="582"/>
      <c r="Q314" s="583"/>
      <c r="R314" s="583"/>
      <c r="S314" s="583">
        <f>S313/O313-1</f>
        <v>0.36534359141448292</v>
      </c>
      <c r="T314" s="582"/>
      <c r="U314" s="583"/>
      <c r="V314" s="583"/>
      <c r="W314" s="583">
        <f>W313/S313-1</f>
        <v>0.28923236274619235</v>
      </c>
      <c r="X314" s="582"/>
      <c r="Y314" s="583"/>
      <c r="Z314" s="583"/>
      <c r="AA314" s="583">
        <f>AA313/W313-1</f>
        <v>0.21992609361452264</v>
      </c>
      <c r="AB314" s="582"/>
      <c r="AC314" s="583"/>
      <c r="AD314" s="583"/>
      <c r="AE314" s="583">
        <f>AE313/AA313-1</f>
        <v>0.17173355025401849</v>
      </c>
    </row>
    <row r="315" spans="2:31">
      <c r="D315" s="10" t="s">
        <v>1737</v>
      </c>
      <c r="E315" s="10" t="s">
        <v>1738</v>
      </c>
      <c r="F315" s="10" t="s">
        <v>1739</v>
      </c>
      <c r="G315" s="10" t="s">
        <v>1740</v>
      </c>
      <c r="H315" s="10" t="s">
        <v>1741</v>
      </c>
      <c r="I315" s="10" t="s">
        <v>1742</v>
      </c>
      <c r="J315" s="10" t="s">
        <v>1743</v>
      </c>
      <c r="K315" s="10" t="s">
        <v>1744</v>
      </c>
      <c r="L315" s="10" t="s">
        <v>1745</v>
      </c>
      <c r="M315" s="10" t="s">
        <v>1746</v>
      </c>
      <c r="N315" s="10" t="s">
        <v>1747</v>
      </c>
      <c r="O315" s="10" t="s">
        <v>1748</v>
      </c>
      <c r="P315" s="10" t="s">
        <v>1749</v>
      </c>
      <c r="Q315" s="10" t="s">
        <v>1750</v>
      </c>
      <c r="R315" s="10" t="s">
        <v>1751</v>
      </c>
      <c r="S315" s="10" t="s">
        <v>1752</v>
      </c>
      <c r="T315" s="10" t="s">
        <v>2404</v>
      </c>
      <c r="U315" s="10" t="s">
        <v>2405</v>
      </c>
      <c r="V315" s="10" t="s">
        <v>2406</v>
      </c>
      <c r="W315" s="10" t="s">
        <v>2407</v>
      </c>
      <c r="X315" s="10" t="s">
        <v>2409</v>
      </c>
      <c r="Y315" s="10" t="s">
        <v>2410</v>
      </c>
      <c r="Z315" s="10" t="s">
        <v>2411</v>
      </c>
      <c r="AA315" s="10" t="s">
        <v>2412</v>
      </c>
      <c r="AB315" s="10" t="s">
        <v>2414</v>
      </c>
      <c r="AC315" s="10" t="s">
        <v>2415</v>
      </c>
      <c r="AD315" s="10" t="s">
        <v>2416</v>
      </c>
      <c r="AE315" s="10" t="s">
        <v>2417</v>
      </c>
    </row>
    <row r="316" spans="2:31">
      <c r="T316" s="760"/>
      <c r="U316" s="760"/>
      <c r="V316" s="760"/>
      <c r="W316" s="760"/>
      <c r="X316" s="760"/>
      <c r="Y316" s="760"/>
      <c r="Z316" s="760"/>
      <c r="AA316" s="760"/>
      <c r="AB316" s="760"/>
      <c r="AC316" s="760"/>
      <c r="AD316" s="760"/>
      <c r="AE316" s="760"/>
    </row>
    <row r="317" spans="2:31">
      <c r="T317" s="760"/>
      <c r="U317" s="760"/>
      <c r="V317" s="760"/>
      <c r="W317" s="760"/>
      <c r="X317" s="760"/>
      <c r="Y317" s="760"/>
      <c r="Z317" s="760"/>
      <c r="AA317" s="760"/>
      <c r="AB317" s="760"/>
      <c r="AC317" s="760"/>
      <c r="AD317" s="760"/>
      <c r="AE317" s="760"/>
    </row>
    <row r="318" spans="2:31">
      <c r="T318" s="760"/>
      <c r="U318" s="760"/>
      <c r="V318" s="760"/>
      <c r="W318" s="760"/>
      <c r="X318" s="760"/>
      <c r="Y318" s="760"/>
      <c r="Z318" s="760"/>
      <c r="AA318" s="760"/>
      <c r="AB318" s="760"/>
      <c r="AC318" s="760"/>
      <c r="AD318" s="760"/>
      <c r="AE318" s="760"/>
    </row>
    <row r="319" spans="2:31">
      <c r="T319" s="760"/>
      <c r="U319" s="760"/>
      <c r="V319" s="760"/>
      <c r="W319" s="760"/>
      <c r="X319" s="760"/>
      <c r="Y319" s="760"/>
      <c r="Z319" s="760"/>
      <c r="AA319" s="760"/>
      <c r="AB319" s="760"/>
      <c r="AC319" s="760"/>
      <c r="AD319" s="760"/>
      <c r="AE319" s="760"/>
    </row>
    <row r="366" spans="4:13">
      <c r="D366" s="10" t="s">
        <v>2077</v>
      </c>
      <c r="E366" s="10" t="s">
        <v>384</v>
      </c>
      <c r="F366" s="10" t="s">
        <v>2272</v>
      </c>
      <c r="G366" s="10" t="s">
        <v>2032</v>
      </c>
      <c r="H366" s="10" t="s">
        <v>470</v>
      </c>
      <c r="I366" s="10" t="s">
        <v>1153</v>
      </c>
      <c r="J366" s="10" t="s">
        <v>1943</v>
      </c>
      <c r="K366" s="10" t="s">
        <v>2078</v>
      </c>
      <c r="L366" s="10" t="s">
        <v>2271</v>
      </c>
      <c r="M366" s="10" t="s">
        <v>2081</v>
      </c>
    </row>
    <row r="367" spans="4:13">
      <c r="D367" s="640" t="str">
        <f>Wobbler!D25</f>
        <v>Acquimania!</v>
      </c>
      <c r="E367" s="641" t="s">
        <v>3061</v>
      </c>
      <c r="F367" s="200"/>
      <c r="G367" s="200" t="s">
        <v>2080</v>
      </c>
      <c r="H367" s="200" t="s">
        <v>2079</v>
      </c>
      <c r="I367" s="200"/>
      <c r="J367" s="200"/>
      <c r="K367" s="200"/>
      <c r="L367" s="200"/>
      <c r="M367" s="200" t="s">
        <v>2273</v>
      </c>
    </row>
    <row r="368" spans="4:13">
      <c r="D368" s="640" t="str">
        <f>Wobbler!D26</f>
        <v>Macro-financial Issues</v>
      </c>
      <c r="E368" s="640" t="s">
        <v>3062</v>
      </c>
      <c r="F368" s="200"/>
      <c r="G368" s="200"/>
      <c r="H368" s="200"/>
      <c r="I368" s="200"/>
      <c r="J368" s="200"/>
      <c r="K368" s="200"/>
      <c r="L368" s="200" t="s">
        <v>3060</v>
      </c>
      <c r="M368" s="200"/>
    </row>
    <row r="369" spans="4:13">
      <c r="D369" s="640" t="str">
        <f>Wobbler!D27</f>
        <v>Exec Office Visit</v>
      </c>
      <c r="E369" s="640" t="s">
        <v>3815</v>
      </c>
      <c r="F369" s="200"/>
      <c r="G369" s="200" t="s">
        <v>2080</v>
      </c>
      <c r="H369" s="200" t="s">
        <v>2079</v>
      </c>
      <c r="I369" s="200" t="s">
        <v>2079</v>
      </c>
      <c r="J369" s="200"/>
      <c r="K369" s="200"/>
      <c r="L369" s="200"/>
      <c r="M369" s="200" t="s">
        <v>2274</v>
      </c>
    </row>
    <row r="370" spans="4:13">
      <c r="D370" s="640" t="str">
        <f>Wobbler!D28</f>
        <v>Post-Diligence Discoveries</v>
      </c>
      <c r="E370" s="640" t="s">
        <v>3063</v>
      </c>
      <c r="F370" s="200"/>
      <c r="G370" s="200"/>
      <c r="H370" s="200"/>
      <c r="I370" s="200"/>
      <c r="J370" s="200" t="s">
        <v>2079</v>
      </c>
      <c r="K370" s="200" t="s">
        <v>2079</v>
      </c>
      <c r="L370" s="200"/>
      <c r="M370" s="200" t="s">
        <v>3657</v>
      </c>
    </row>
    <row r="371" spans="4:13">
      <c r="D371" s="640" t="str">
        <f>Wobbler!D29</f>
        <v>Security Breach</v>
      </c>
      <c r="E371" s="640" t="s">
        <v>3066</v>
      </c>
      <c r="F371" s="200"/>
      <c r="G371" s="200"/>
      <c r="H371" s="200"/>
      <c r="I371" s="200" t="s">
        <v>2079</v>
      </c>
      <c r="J371" s="200"/>
      <c r="K371" s="200"/>
      <c r="L371" s="200"/>
      <c r="M371" s="200" t="s">
        <v>3655</v>
      </c>
    </row>
    <row r="372" spans="4:13">
      <c r="D372" s="640" t="str">
        <f>Wobbler!D30</f>
        <v>Executive Sponsor Change of Heart</v>
      </c>
      <c r="E372" s="640" t="s">
        <v>3065</v>
      </c>
      <c r="F372" s="200"/>
      <c r="G372" s="200"/>
      <c r="H372" s="200"/>
      <c r="I372" s="200"/>
      <c r="J372" s="200" t="s">
        <v>2079</v>
      </c>
      <c r="K372" s="742" t="s">
        <v>2079</v>
      </c>
      <c r="L372" s="200"/>
      <c r="M372" s="200" t="s">
        <v>3656</v>
      </c>
    </row>
    <row r="373" spans="4:13">
      <c r="D373" s="640" t="str">
        <f>Wobbler!D31</f>
        <v>Acquired CEO Goes Rogue</v>
      </c>
      <c r="E373" s="640" t="s">
        <v>3064</v>
      </c>
      <c r="F373" s="200"/>
      <c r="G373" s="200"/>
      <c r="H373" s="200" t="s">
        <v>2079</v>
      </c>
      <c r="I373" s="200"/>
      <c r="J373" s="200"/>
      <c r="K373" s="200"/>
      <c r="L373" s="200"/>
      <c r="M373" s="200"/>
    </row>
    <row r="374" spans="4:13">
      <c r="D374" s="640" t="str">
        <f>Wobbler!D32</f>
        <v>Employee Experience Disruption</v>
      </c>
      <c r="E374" s="640" t="s">
        <v>3972</v>
      </c>
      <c r="F374" s="200"/>
      <c r="G374" s="200" t="s">
        <v>2080</v>
      </c>
      <c r="H374" s="200" t="s">
        <v>2276</v>
      </c>
      <c r="I374" s="200"/>
      <c r="J374" s="200"/>
      <c r="K374" s="200"/>
      <c r="L374" s="742"/>
      <c r="M374" s="200"/>
    </row>
    <row r="375" spans="4:13">
      <c r="M375" s="10" t="s">
        <v>2275</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sheetPr>
  <dimension ref="A1:G33"/>
  <sheetViews>
    <sheetView workbookViewId="0">
      <selection activeCell="E11" sqref="E11"/>
    </sheetView>
  </sheetViews>
  <sheetFormatPr defaultRowHeight="13.8"/>
  <cols>
    <col min="1" max="2" width="2.7265625" customWidth="1"/>
    <col min="3" max="3" width="24.7265625" customWidth="1"/>
    <col min="4" max="7" width="14.7265625" customWidth="1"/>
  </cols>
  <sheetData>
    <row r="1" spans="1:7" s="18" customFormat="1">
      <c r="A1" s="18" t="s">
        <v>192</v>
      </c>
    </row>
    <row r="4" spans="1:7">
      <c r="B4" s="65" t="s">
        <v>109</v>
      </c>
    </row>
    <row r="5" spans="1:7">
      <c r="D5" s="67">
        <v>1000000</v>
      </c>
      <c r="E5" s="66" t="s">
        <v>203</v>
      </c>
    </row>
    <row r="6" spans="1:7">
      <c r="E6" s="66"/>
    </row>
    <row r="7" spans="1:7">
      <c r="E7" s="66"/>
    </row>
    <row r="8" spans="1:7">
      <c r="E8" s="66"/>
    </row>
    <row r="9" spans="1:7">
      <c r="B9" s="65" t="s">
        <v>242</v>
      </c>
      <c r="E9" t="s">
        <v>193</v>
      </c>
      <c r="F9" t="s">
        <v>194</v>
      </c>
      <c r="G9" t="s">
        <v>195</v>
      </c>
    </row>
    <row r="10" spans="1:7">
      <c r="B10" s="65"/>
      <c r="C10" t="s">
        <v>262</v>
      </c>
      <c r="D10" s="20" t="str">
        <f>INDEX(E10:G10,glossary_Language)</f>
        <v>Salesforce</v>
      </c>
      <c r="E10" s="1" t="s">
        <v>396</v>
      </c>
      <c r="F10" s="1"/>
      <c r="G10" s="1"/>
    </row>
    <row r="11" spans="1:7">
      <c r="B11" s="65"/>
      <c r="C11" t="s">
        <v>263</v>
      </c>
      <c r="D11" s="20" t="str">
        <f>INDEX(E11:G11,glossary_Language)</f>
        <v>Acquisitions For Growth</v>
      </c>
      <c r="E11" s="1" t="s">
        <v>3970</v>
      </c>
      <c r="F11" s="1"/>
      <c r="G11" s="1"/>
    </row>
    <row r="12" spans="1:7">
      <c r="C12" t="s">
        <v>197</v>
      </c>
      <c r="D12" s="20" t="str">
        <f>INDEX(E12:G12,glossary_Language)</f>
        <v>Team Name</v>
      </c>
      <c r="E12" s="1" t="s">
        <v>41</v>
      </c>
      <c r="F12" s="1"/>
      <c r="G12" s="1"/>
    </row>
    <row r="13" spans="1:7">
      <c r="C13" t="s">
        <v>198</v>
      </c>
      <c r="D13" s="20" t="str">
        <f>INDEX(E13:G13,glossary_Language)</f>
        <v>Team Number</v>
      </c>
      <c r="E13" s="1" t="s">
        <v>91</v>
      </c>
      <c r="F13" s="1"/>
      <c r="G13" s="1"/>
    </row>
    <row r="14" spans="1:7">
      <c r="C14" t="s">
        <v>199</v>
      </c>
      <c r="D14" s="20" t="str">
        <f>INDEX(E14:G14,glossary_Language)</f>
        <v>Round</v>
      </c>
      <c r="E14" s="1" t="s">
        <v>43</v>
      </c>
      <c r="F14" s="1"/>
      <c r="G14" s="1"/>
    </row>
    <row r="16" spans="1:7">
      <c r="C16" t="s">
        <v>240</v>
      </c>
      <c r="D16" s="20" t="str">
        <f>INDEX(E16:G16,glossary_Language)</f>
        <v>Mn</v>
      </c>
      <c r="E16" s="1" t="s">
        <v>241</v>
      </c>
      <c r="F16" s="1"/>
      <c r="G16" s="1"/>
    </row>
    <row r="18" spans="3:7">
      <c r="C18" t="s">
        <v>216</v>
      </c>
      <c r="D18" s="20" t="str">
        <f>INDEX(E18:G18,glossary_Language)</f>
        <v>Product 1</v>
      </c>
      <c r="E18" s="1" t="s">
        <v>217</v>
      </c>
      <c r="F18" s="1"/>
      <c r="G18" s="1"/>
    </row>
    <row r="19" spans="3:7">
      <c r="C19" t="s">
        <v>222</v>
      </c>
      <c r="D19" s="20" t="str">
        <f>INDEX(E19:G19,glossary_Language)</f>
        <v>Seg A</v>
      </c>
      <c r="E19" s="1" t="s">
        <v>225</v>
      </c>
      <c r="F19" s="1"/>
      <c r="G19" s="1"/>
    </row>
    <row r="20" spans="3:7">
      <c r="C20" t="s">
        <v>223</v>
      </c>
      <c r="D20" s="20" t="str">
        <f>INDEX(E20:G20,glossary_Language)</f>
        <v>Seg B</v>
      </c>
      <c r="E20" s="1" t="s">
        <v>226</v>
      </c>
      <c r="F20" s="1"/>
      <c r="G20" s="1"/>
    </row>
    <row r="21" spans="3:7">
      <c r="C21" t="s">
        <v>224</v>
      </c>
      <c r="D21" s="20" t="str">
        <f>INDEX(E21:G21,glossary_Language)</f>
        <v>Seg C</v>
      </c>
      <c r="E21" s="1" t="s">
        <v>227</v>
      </c>
      <c r="F21" s="1"/>
      <c r="G21" s="1"/>
    </row>
    <row r="23" spans="3:7">
      <c r="C23" t="s">
        <v>220</v>
      </c>
      <c r="D23" s="20" t="str">
        <f>INDEX(E23:G23,glossary_Language)</f>
        <v>Forecast</v>
      </c>
      <c r="E23" s="1" t="s">
        <v>221</v>
      </c>
      <c r="F23" s="1"/>
      <c r="G23" s="1"/>
    </row>
    <row r="24" spans="3:7">
      <c r="C24" t="s">
        <v>218</v>
      </c>
      <c r="D24" s="20" t="str">
        <f>INDEX(E24:G24,glossary_Language)</f>
        <v>Price</v>
      </c>
      <c r="E24" s="1" t="s">
        <v>219</v>
      </c>
      <c r="F24" s="1"/>
      <c r="G24" s="1"/>
    </row>
    <row r="25" spans="3:7">
      <c r="C25" t="s">
        <v>228</v>
      </c>
      <c r="D25" s="20" t="str">
        <f>INDEX(E25:G25,glossary_Language)</f>
        <v>Marketing</v>
      </c>
      <c r="E25" s="1" t="s">
        <v>229</v>
      </c>
      <c r="F25" s="1"/>
      <c r="G25" s="1"/>
    </row>
    <row r="27" spans="3:7">
      <c r="C27" t="s">
        <v>200</v>
      </c>
      <c r="D27" s="20" t="str">
        <f>INDEX(E27:G27,glossary_Language)</f>
        <v>Strategic Initiatives</v>
      </c>
      <c r="E27" s="1" t="s">
        <v>191</v>
      </c>
      <c r="F27" s="1"/>
      <c r="G27" s="1"/>
    </row>
    <row r="30" spans="3:7">
      <c r="C30" t="s">
        <v>231</v>
      </c>
      <c r="D30" s="20" t="str">
        <f>INDEX(E30:G30,glossary_Language)</f>
        <v>Revenue</v>
      </c>
      <c r="E30" s="1" t="s">
        <v>140</v>
      </c>
      <c r="F30" s="1"/>
      <c r="G30" s="1"/>
    </row>
    <row r="31" spans="3:7">
      <c r="C31" t="s">
        <v>235</v>
      </c>
      <c r="D31" s="20" t="str">
        <f>INDEX(E31:G31,glossary_Language)</f>
        <v>COGS</v>
      </c>
      <c r="E31" s="1" t="s">
        <v>234</v>
      </c>
      <c r="F31" s="1"/>
      <c r="G31" s="1"/>
    </row>
    <row r="32" spans="3:7">
      <c r="C32" t="s">
        <v>236</v>
      </c>
      <c r="D32" s="20" t="str">
        <f>INDEX(E32:G32,glossary_Language)</f>
        <v>Gross Profit</v>
      </c>
      <c r="E32" s="1" t="s">
        <v>237</v>
      </c>
      <c r="F32" s="1"/>
      <c r="G32" s="1"/>
    </row>
    <row r="33" spans="3:7">
      <c r="C33" t="s">
        <v>238</v>
      </c>
      <c r="D33" s="20" t="str">
        <f>INDEX(E33:G33,glossary_Language)</f>
        <v>Gross Margin</v>
      </c>
      <c r="E33" s="1" t="s">
        <v>239</v>
      </c>
      <c r="F33" s="1"/>
      <c r="G33" s="1"/>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F12"/>
  <sheetViews>
    <sheetView workbookViewId="0"/>
  </sheetViews>
  <sheetFormatPr defaultRowHeight="13.8"/>
  <cols>
    <col min="2" max="2" width="14.453125" bestFit="1" customWidth="1"/>
    <col min="3" max="6" width="12.7265625" bestFit="1" customWidth="1"/>
  </cols>
  <sheetData>
    <row r="1" spans="2:6">
      <c r="C1" t="s">
        <v>405</v>
      </c>
      <c r="D1" t="s">
        <v>1278</v>
      </c>
      <c r="E1" t="s">
        <v>1279</v>
      </c>
      <c r="F1" t="s">
        <v>2052</v>
      </c>
    </row>
    <row r="2" spans="2:6">
      <c r="B2" t="s">
        <v>2054</v>
      </c>
      <c r="C2" s="625">
        <v>6667216000</v>
      </c>
      <c r="D2" s="625">
        <f>C2*(1.13)</f>
        <v>7533954079.999999</v>
      </c>
      <c r="E2" s="625">
        <f>D2*(1.11)</f>
        <v>8362689028.7999992</v>
      </c>
      <c r="F2" s="625">
        <f>E2*(1.1)</f>
        <v>9198957931.6800003</v>
      </c>
    </row>
    <row r="3" spans="2:6">
      <c r="B3" t="s">
        <v>2054</v>
      </c>
      <c r="C3" s="627">
        <v>0.13</v>
      </c>
      <c r="D3" s="626">
        <f>D2/C2-1</f>
        <v>0.12999999999999989</v>
      </c>
      <c r="E3" s="626">
        <f t="shared" ref="E3" si="0">E2/D2-1</f>
        <v>0.1100000000000001</v>
      </c>
      <c r="F3" s="626">
        <f t="shared" ref="F3" si="1">F2/E2-1</f>
        <v>0.10000000000000009</v>
      </c>
    </row>
    <row r="4" spans="2:6">
      <c r="B4" t="s">
        <v>593</v>
      </c>
      <c r="C4" s="625">
        <f>Data!K313</f>
        <v>97519391.714228541</v>
      </c>
      <c r="D4" s="625">
        <f>Data!O313</f>
        <v>141077323.16939026</v>
      </c>
      <c r="E4" s="625">
        <f>Data!S313</f>
        <v>192619019.08323693</v>
      </c>
      <c r="F4" s="625">
        <f>E4*1.35</f>
        <v>260035675.76236987</v>
      </c>
    </row>
    <row r="5" spans="2:6">
      <c r="B5" t="s">
        <v>593</v>
      </c>
      <c r="C5" s="627">
        <v>0.4</v>
      </c>
      <c r="D5" s="626">
        <f>D4/C4-1</f>
        <v>0.446659179158994</v>
      </c>
      <c r="E5" s="626">
        <f t="shared" ref="E5:F5" si="2">E4/D4-1</f>
        <v>0.36534359141448292</v>
      </c>
      <c r="F5" s="626">
        <f t="shared" si="2"/>
        <v>0.35000000000000009</v>
      </c>
    </row>
    <row r="9" spans="2:6">
      <c r="C9" t="s">
        <v>140</v>
      </c>
      <c r="D9" t="s">
        <v>3029</v>
      </c>
    </row>
    <row r="10" spans="2:6">
      <c r="B10" t="s">
        <v>2053</v>
      </c>
      <c r="C10" s="627">
        <v>0.5</v>
      </c>
      <c r="D10" s="627">
        <v>0.1</v>
      </c>
      <c r="F10" s="627">
        <v>0.03</v>
      </c>
    </row>
    <row r="11" spans="2:6">
      <c r="B11" t="s">
        <v>3028</v>
      </c>
      <c r="C11" s="627">
        <f>1-C10-C12</f>
        <v>0.35</v>
      </c>
      <c r="D11" s="627">
        <v>0.65</v>
      </c>
    </row>
    <row r="12" spans="2:6">
      <c r="B12" t="s">
        <v>3027</v>
      </c>
      <c r="C12" s="627">
        <v>0.15</v>
      </c>
      <c r="D12" s="627">
        <v>0.45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sheetPr>
  <dimension ref="A1:U262"/>
  <sheetViews>
    <sheetView topLeftCell="A246" workbookViewId="0">
      <selection activeCell="E249" sqref="E249"/>
    </sheetView>
  </sheetViews>
  <sheetFormatPr defaultColWidth="8.81640625" defaultRowHeight="12.6"/>
  <cols>
    <col min="1" max="1" width="8.81640625" style="252" customWidth="1"/>
    <col min="2" max="3" width="8.81640625" style="252"/>
    <col min="4" max="4" width="26.90625" style="252" bestFit="1" customWidth="1"/>
    <col min="5" max="10" width="9.90625" style="252" customWidth="1"/>
    <col min="11" max="14" width="9.90625" style="252" hidden="1" customWidth="1"/>
    <col min="15" max="15" width="22.36328125" style="252" bestFit="1" customWidth="1"/>
    <col min="16" max="16" width="9.6328125" style="252" bestFit="1" customWidth="1"/>
    <col min="17" max="16384" width="8.81640625" style="252"/>
  </cols>
  <sheetData>
    <row r="1" spans="1:21" s="319" customFormat="1">
      <c r="A1" s="319" t="s">
        <v>594</v>
      </c>
      <c r="E1" s="320" t="s">
        <v>8</v>
      </c>
      <c r="F1" s="320" t="s">
        <v>9</v>
      </c>
      <c r="G1" s="320" t="s">
        <v>10</v>
      </c>
      <c r="H1" s="320" t="s">
        <v>11</v>
      </c>
      <c r="I1" s="320" t="s">
        <v>12</v>
      </c>
      <c r="J1" s="320" t="s">
        <v>595</v>
      </c>
      <c r="K1" s="320" t="s">
        <v>596</v>
      </c>
      <c r="L1" s="320" t="s">
        <v>597</v>
      </c>
      <c r="M1" s="320" t="s">
        <v>598</v>
      </c>
      <c r="N1" s="320" t="s">
        <v>599</v>
      </c>
      <c r="O1" s="319" t="s">
        <v>600</v>
      </c>
      <c r="Q1" s="319">
        <f>COUNTIF(P:P,"Graph Type")</f>
        <v>13</v>
      </c>
      <c r="R1" s="319" t="s">
        <v>601</v>
      </c>
    </row>
    <row r="3" spans="1:21" s="321" customFormat="1">
      <c r="B3" s="322" t="s">
        <v>602</v>
      </c>
      <c r="C3" s="322"/>
      <c r="D3" s="322"/>
      <c r="E3" s="322"/>
      <c r="F3" s="322"/>
      <c r="G3" s="322"/>
      <c r="H3" s="322"/>
      <c r="I3" s="322"/>
      <c r="J3" s="322"/>
      <c r="K3" s="322"/>
      <c r="L3" s="322"/>
      <c r="M3" s="322"/>
      <c r="N3" s="322"/>
      <c r="O3" s="322"/>
      <c r="P3" s="322"/>
      <c r="Q3" s="322"/>
      <c r="R3" s="322"/>
      <c r="S3" s="322"/>
      <c r="T3" s="322"/>
      <c r="U3" s="322"/>
    </row>
    <row r="4" spans="1:21">
      <c r="D4" s="323"/>
      <c r="F4" s="323"/>
      <c r="G4" s="323"/>
      <c r="H4" s="323"/>
      <c r="I4" s="323"/>
      <c r="J4" s="323"/>
      <c r="K4" s="323"/>
      <c r="L4" s="323"/>
      <c r="M4" s="323"/>
      <c r="N4" s="323"/>
    </row>
    <row r="5" spans="1:21">
      <c r="B5" s="324"/>
      <c r="C5" s="325" t="s">
        <v>603</v>
      </c>
      <c r="D5" s="326"/>
      <c r="F5" s="326"/>
      <c r="G5" s="326"/>
      <c r="H5" s="326"/>
      <c r="I5" s="326"/>
      <c r="J5" s="326"/>
      <c r="K5" s="326"/>
      <c r="L5" s="326"/>
      <c r="M5" s="326"/>
      <c r="N5" s="326"/>
      <c r="R5" s="252" t="s">
        <v>604</v>
      </c>
    </row>
    <row r="6" spans="1:21">
      <c r="B6" s="327"/>
      <c r="C6" s="325" t="s">
        <v>527</v>
      </c>
      <c r="D6" s="326"/>
      <c r="F6" s="326"/>
      <c r="G6" s="326"/>
      <c r="H6" s="326"/>
      <c r="I6" s="326"/>
      <c r="J6" s="326"/>
      <c r="K6" s="326"/>
      <c r="L6" s="326"/>
      <c r="M6" s="326"/>
      <c r="N6" s="326"/>
      <c r="R6" s="252" t="s">
        <v>605</v>
      </c>
    </row>
    <row r="7" spans="1:21">
      <c r="B7" s="246"/>
      <c r="C7" s="325" t="s">
        <v>606</v>
      </c>
      <c r="D7" s="326"/>
      <c r="F7" s="326"/>
      <c r="G7" s="326"/>
      <c r="H7" s="326"/>
      <c r="I7" s="326"/>
      <c r="J7" s="326"/>
      <c r="K7" s="326"/>
      <c r="L7" s="326"/>
      <c r="M7" s="326"/>
      <c r="N7" s="326"/>
      <c r="R7" s="252" t="s">
        <v>607</v>
      </c>
    </row>
    <row r="8" spans="1:21">
      <c r="D8" s="323"/>
      <c r="F8" s="323"/>
      <c r="G8" s="323"/>
      <c r="H8" s="323"/>
      <c r="I8" s="323"/>
      <c r="J8" s="323"/>
      <c r="K8" s="323"/>
      <c r="L8" s="323"/>
      <c r="M8" s="323"/>
      <c r="N8" s="323"/>
      <c r="R8" s="252" t="s">
        <v>608</v>
      </c>
    </row>
    <row r="9" spans="1:21" hidden="1">
      <c r="D9" s="323"/>
      <c r="F9" s="323"/>
      <c r="G9" s="323"/>
      <c r="H9" s="323"/>
      <c r="I9" s="323"/>
      <c r="J9" s="323"/>
      <c r="K9" s="323"/>
      <c r="L9" s="323"/>
      <c r="M9" s="323"/>
      <c r="N9" s="323"/>
      <c r="R9" s="252" t="s">
        <v>609</v>
      </c>
    </row>
    <row r="10" spans="1:21" hidden="1">
      <c r="D10" s="323"/>
      <c r="F10" s="323"/>
      <c r="G10" s="323"/>
      <c r="H10" s="323"/>
      <c r="I10" s="323"/>
      <c r="J10" s="323"/>
      <c r="K10" s="323"/>
      <c r="L10" s="323"/>
      <c r="M10" s="323"/>
      <c r="N10" s="323"/>
      <c r="R10" s="252" t="s">
        <v>610</v>
      </c>
    </row>
    <row r="11" spans="1:21" hidden="1">
      <c r="D11" s="323"/>
      <c r="F11" s="323"/>
      <c r="G11" s="323"/>
      <c r="H11" s="323"/>
      <c r="I11" s="323"/>
      <c r="J11" s="323"/>
      <c r="K11" s="323"/>
      <c r="L11" s="323"/>
      <c r="M11" s="323"/>
      <c r="N11" s="323"/>
      <c r="R11" s="252" t="s">
        <v>611</v>
      </c>
    </row>
    <row r="12" spans="1:21" hidden="1">
      <c r="D12" s="323"/>
      <c r="F12" s="323"/>
      <c r="G12" s="323"/>
      <c r="H12" s="323"/>
      <c r="I12" s="323"/>
      <c r="J12" s="323"/>
      <c r="K12" s="323"/>
      <c r="L12" s="323"/>
      <c r="M12" s="323"/>
      <c r="N12" s="323"/>
    </row>
    <row r="13" spans="1:21" s="321" customFormat="1">
      <c r="B13" s="322" t="s">
        <v>612</v>
      </c>
      <c r="C13" s="322"/>
      <c r="D13" s="322"/>
      <c r="E13" s="322"/>
      <c r="F13" s="322"/>
      <c r="G13" s="322"/>
      <c r="H13" s="322"/>
      <c r="I13" s="322"/>
      <c r="J13" s="322"/>
      <c r="K13" s="322"/>
      <c r="L13" s="322"/>
      <c r="M13" s="322"/>
      <c r="N13" s="322"/>
      <c r="O13" s="322"/>
      <c r="P13" s="322"/>
      <c r="Q13" s="322"/>
      <c r="R13" s="322"/>
      <c r="S13" s="322"/>
      <c r="T13" s="322"/>
      <c r="U13" s="322"/>
    </row>
    <row r="14" spans="1:21">
      <c r="D14" s="323"/>
      <c r="F14" s="323"/>
      <c r="G14" s="323"/>
      <c r="H14" s="323"/>
      <c r="I14" s="323"/>
      <c r="J14" s="323"/>
      <c r="K14" s="323"/>
      <c r="L14" s="323"/>
      <c r="M14" s="323"/>
      <c r="N14" s="323"/>
    </row>
    <row r="15" spans="1:21">
      <c r="B15" s="252" t="s">
        <v>613</v>
      </c>
      <c r="D15" s="328">
        <f>xxNumOfTeams</f>
        <v>6</v>
      </c>
      <c r="E15" s="252" t="s">
        <v>614</v>
      </c>
      <c r="F15" s="329" t="s">
        <v>615</v>
      </c>
      <c r="G15" s="329"/>
      <c r="H15" s="329"/>
      <c r="I15" s="329"/>
      <c r="J15" s="329"/>
      <c r="K15" s="329"/>
      <c r="L15" s="329"/>
      <c r="M15" s="329"/>
      <c r="N15" s="329"/>
    </row>
    <row r="16" spans="1:21">
      <c r="D16" s="323"/>
      <c r="F16" s="323"/>
      <c r="G16" s="323"/>
      <c r="H16" s="323"/>
      <c r="I16" s="323"/>
      <c r="J16" s="323"/>
      <c r="K16" s="323"/>
      <c r="L16" s="323"/>
      <c r="M16" s="323"/>
      <c r="N16" s="323"/>
    </row>
    <row r="17" spans="2:21">
      <c r="D17" s="323"/>
      <c r="F17" s="323"/>
      <c r="G17" s="323"/>
      <c r="H17" s="323"/>
      <c r="I17" s="323"/>
      <c r="J17" s="323"/>
      <c r="K17" s="323"/>
      <c r="L17" s="323"/>
      <c r="M17" s="323"/>
      <c r="N17" s="323"/>
    </row>
    <row r="18" spans="2:21">
      <c r="D18" s="323"/>
      <c r="F18" s="323"/>
      <c r="G18" s="323"/>
      <c r="H18" s="323"/>
      <c r="I18" s="323"/>
      <c r="J18" s="323"/>
      <c r="K18" s="323"/>
      <c r="L18" s="323"/>
      <c r="M18" s="323"/>
      <c r="N18" s="323"/>
    </row>
    <row r="19" spans="2:21">
      <c r="D19" s="323"/>
      <c r="F19" s="323"/>
      <c r="G19" s="323"/>
      <c r="H19" s="323"/>
      <c r="I19" s="323"/>
      <c r="J19" s="323"/>
      <c r="K19" s="323"/>
      <c r="L19" s="323"/>
      <c r="M19" s="323"/>
      <c r="N19" s="323"/>
    </row>
    <row r="20" spans="2:21" s="321" customFormat="1">
      <c r="B20" s="322" t="s">
        <v>594</v>
      </c>
      <c r="C20" s="322"/>
      <c r="D20" s="322"/>
      <c r="E20" s="322"/>
      <c r="F20" s="322"/>
      <c r="G20" s="322"/>
      <c r="H20" s="322"/>
      <c r="I20" s="322"/>
      <c r="J20" s="322"/>
      <c r="K20" s="322"/>
      <c r="L20" s="322"/>
      <c r="M20" s="322"/>
      <c r="N20" s="322"/>
      <c r="O20" s="322"/>
      <c r="P20" s="322"/>
      <c r="Q20" s="322"/>
      <c r="R20" s="322"/>
      <c r="S20" s="322"/>
      <c r="T20" s="322"/>
      <c r="U20" s="322"/>
    </row>
    <row r="21" spans="2:21">
      <c r="D21" s="323"/>
      <c r="F21" s="323"/>
      <c r="G21" s="323"/>
      <c r="H21" s="323"/>
      <c r="I21" s="323"/>
      <c r="J21" s="323"/>
      <c r="K21" s="323"/>
      <c r="L21" s="323"/>
      <c r="M21" s="323"/>
      <c r="N21" s="323"/>
    </row>
    <row r="22" spans="2:21" s="330" customFormat="1">
      <c r="D22" s="331" t="s">
        <v>41</v>
      </c>
      <c r="E22" s="246" t="str">
        <f t="shared" ref="E22:N22" si="0">decTeamName</f>
        <v>Snowflake</v>
      </c>
      <c r="F22" s="246" t="str">
        <f t="shared" si="0"/>
        <v>Snowflake</v>
      </c>
      <c r="G22" s="246" t="str">
        <f t="shared" si="0"/>
        <v>Snowflake</v>
      </c>
      <c r="H22" s="246" t="str">
        <f t="shared" si="0"/>
        <v>Snowflake</v>
      </c>
      <c r="I22" s="246" t="str">
        <f t="shared" si="0"/>
        <v>Snowflake</v>
      </c>
      <c r="J22" s="246" t="str">
        <f t="shared" si="0"/>
        <v>Snowflake</v>
      </c>
      <c r="K22" s="246" t="str">
        <f t="shared" si="0"/>
        <v>Snowflake</v>
      </c>
      <c r="L22" s="246" t="str">
        <f t="shared" si="0"/>
        <v>Snowflake</v>
      </c>
      <c r="M22" s="246" t="str">
        <f t="shared" si="0"/>
        <v>Snowflake</v>
      </c>
      <c r="N22" s="246" t="str">
        <f t="shared" si="0"/>
        <v>Snowflake</v>
      </c>
      <c r="O22" s="330" t="s">
        <v>616</v>
      </c>
    </row>
    <row r="23" spans="2:21" s="330" customFormat="1">
      <c r="E23" s="332" t="str">
        <f>E22&amp; " (1)"</f>
        <v>Snowflake (1)</v>
      </c>
      <c r="F23" s="332" t="str">
        <f>F22&amp; " (2)"</f>
        <v>Snowflake (2)</v>
      </c>
      <c r="G23" s="332" t="str">
        <f>G22&amp; " (3)"</f>
        <v>Snowflake (3)</v>
      </c>
      <c r="H23" s="332" t="str">
        <f>H22&amp; " (4)"</f>
        <v>Snowflake (4)</v>
      </c>
      <c r="I23" s="332" t="str">
        <f>I22&amp; " (5)"</f>
        <v>Snowflake (5)</v>
      </c>
      <c r="J23" s="332" t="str">
        <f>J22&amp; " (6)"</f>
        <v>Snowflake (6)</v>
      </c>
      <c r="K23" s="332" t="str">
        <f>K22&amp; " (7)"</f>
        <v>Snowflake (7)</v>
      </c>
      <c r="L23" s="332" t="str">
        <f>L22&amp; " (8)"</f>
        <v>Snowflake (8)</v>
      </c>
      <c r="M23" s="332" t="str">
        <f>M22&amp; " (9)"</f>
        <v>Snowflake (9)</v>
      </c>
      <c r="N23" s="332" t="str">
        <f>N22&amp; " (10)"</f>
        <v>Snowflake (10)</v>
      </c>
    </row>
    <row r="24" spans="2:21" s="330" customFormat="1" ht="13.2" thickBot="1">
      <c r="E24" s="332"/>
      <c r="F24" s="332"/>
      <c r="G24" s="332"/>
      <c r="H24" s="332"/>
      <c r="I24" s="332"/>
      <c r="J24" s="332"/>
      <c r="K24" s="332"/>
      <c r="L24" s="332"/>
      <c r="M24" s="332"/>
      <c r="N24" s="332"/>
    </row>
    <row r="25" spans="2:21">
      <c r="E25" s="333" t="str">
        <f t="shared" ref="E25:N25" si="1">E$23</f>
        <v>Snowflake (1)</v>
      </c>
      <c r="F25" s="333" t="str">
        <f t="shared" si="1"/>
        <v>Snowflake (2)</v>
      </c>
      <c r="G25" s="333" t="str">
        <f t="shared" si="1"/>
        <v>Snowflake (3)</v>
      </c>
      <c r="H25" s="333" t="str">
        <f t="shared" si="1"/>
        <v>Snowflake (4)</v>
      </c>
      <c r="I25" s="333" t="str">
        <f t="shared" si="1"/>
        <v>Snowflake (5)</v>
      </c>
      <c r="J25" s="333" t="str">
        <f t="shared" si="1"/>
        <v>Snowflake (6)</v>
      </c>
      <c r="K25" s="333" t="str">
        <f t="shared" si="1"/>
        <v>Snowflake (7)</v>
      </c>
      <c r="L25" s="333" t="str">
        <f t="shared" si="1"/>
        <v>Snowflake (8)</v>
      </c>
      <c r="M25" s="333" t="str">
        <f t="shared" si="1"/>
        <v>Snowflake (9)</v>
      </c>
      <c r="N25" s="333" t="str">
        <f t="shared" si="1"/>
        <v>Snowflake (10)</v>
      </c>
      <c r="O25" s="334" t="s">
        <v>604</v>
      </c>
      <c r="P25" s="335" t="s">
        <v>617</v>
      </c>
    </row>
    <row r="26" spans="2:21">
      <c r="D26" s="324" t="str">
        <f>TLInputV2MOMValue1</f>
        <v>Revenue Growth</v>
      </c>
      <c r="E26" s="730">
        <f t="shared" ref="E26:N26" si="2">cbalV2MOMValue1Rank</f>
        <v>0.2</v>
      </c>
      <c r="F26" s="730">
        <f t="shared" si="2"/>
        <v>0.2</v>
      </c>
      <c r="G26" s="730">
        <f t="shared" si="2"/>
        <v>0.2</v>
      </c>
      <c r="H26" s="730">
        <f t="shared" si="2"/>
        <v>0.2</v>
      </c>
      <c r="I26" s="730">
        <f t="shared" si="2"/>
        <v>0.2</v>
      </c>
      <c r="J26" s="730">
        <f t="shared" si="2"/>
        <v>0.2</v>
      </c>
      <c r="K26" s="730">
        <f t="shared" si="2"/>
        <v>0.2</v>
      </c>
      <c r="L26" s="730">
        <f t="shared" si="2"/>
        <v>0.2</v>
      </c>
      <c r="M26" s="730">
        <f t="shared" si="2"/>
        <v>0.2</v>
      </c>
      <c r="N26" s="730">
        <f t="shared" si="2"/>
        <v>0.2</v>
      </c>
      <c r="O26" s="336"/>
      <c r="P26" s="337" t="s">
        <v>58</v>
      </c>
    </row>
    <row r="27" spans="2:21">
      <c r="D27" s="324" t="str">
        <f>TLInputV2MOMValue2</f>
        <v>Customer Satisfaction</v>
      </c>
      <c r="E27" s="730">
        <f t="shared" ref="E27:N27" si="3">cbalV2MOMValue2Rank</f>
        <v>0.2</v>
      </c>
      <c r="F27" s="730">
        <f t="shared" si="3"/>
        <v>0.2</v>
      </c>
      <c r="G27" s="730">
        <f t="shared" si="3"/>
        <v>0.2</v>
      </c>
      <c r="H27" s="730">
        <f t="shared" si="3"/>
        <v>0.2</v>
      </c>
      <c r="I27" s="730">
        <f t="shared" si="3"/>
        <v>0.2</v>
      </c>
      <c r="J27" s="730">
        <f t="shared" si="3"/>
        <v>0.2</v>
      </c>
      <c r="K27" s="730">
        <f t="shared" si="3"/>
        <v>0.2</v>
      </c>
      <c r="L27" s="730">
        <f t="shared" si="3"/>
        <v>0.2</v>
      </c>
      <c r="M27" s="730">
        <f t="shared" si="3"/>
        <v>0.2</v>
      </c>
      <c r="N27" s="730">
        <f t="shared" si="3"/>
        <v>0.2</v>
      </c>
      <c r="O27" s="336"/>
      <c r="P27" s="337" t="s">
        <v>618</v>
      </c>
    </row>
    <row r="28" spans="2:21">
      <c r="D28" s="324" t="str">
        <f>TLInputV2MOMValue3</f>
        <v>Employee Engagement</v>
      </c>
      <c r="E28" s="730">
        <f t="shared" ref="E28:N28" si="4">cbalV2MOMValue3Rank</f>
        <v>0.2</v>
      </c>
      <c r="F28" s="730">
        <f t="shared" si="4"/>
        <v>0.2</v>
      </c>
      <c r="G28" s="730">
        <f t="shared" si="4"/>
        <v>0.2</v>
      </c>
      <c r="H28" s="730">
        <f t="shared" si="4"/>
        <v>0.2</v>
      </c>
      <c r="I28" s="730">
        <f t="shared" si="4"/>
        <v>0.2</v>
      </c>
      <c r="J28" s="730">
        <f t="shared" si="4"/>
        <v>0.2</v>
      </c>
      <c r="K28" s="730">
        <f t="shared" si="4"/>
        <v>0.2</v>
      </c>
      <c r="L28" s="730">
        <f t="shared" si="4"/>
        <v>0.2</v>
      </c>
      <c r="M28" s="730">
        <f t="shared" si="4"/>
        <v>0.2</v>
      </c>
      <c r="N28" s="730">
        <f t="shared" si="4"/>
        <v>0.2</v>
      </c>
      <c r="O28" s="336"/>
      <c r="P28" s="337" t="s">
        <v>619</v>
      </c>
    </row>
    <row r="29" spans="2:21">
      <c r="D29" s="324" t="str">
        <f>TLInputV2MOMValue4</f>
        <v>Trust</v>
      </c>
      <c r="E29" s="730">
        <f t="shared" ref="E29:N29" si="5">cbalV2MOMValue4Rank</f>
        <v>0.2</v>
      </c>
      <c r="F29" s="730">
        <f t="shared" si="5"/>
        <v>0.2</v>
      </c>
      <c r="G29" s="730">
        <f t="shared" si="5"/>
        <v>0.2</v>
      </c>
      <c r="H29" s="730">
        <f t="shared" si="5"/>
        <v>0.2</v>
      </c>
      <c r="I29" s="730">
        <f t="shared" si="5"/>
        <v>0.2</v>
      </c>
      <c r="J29" s="730">
        <f t="shared" si="5"/>
        <v>0.2</v>
      </c>
      <c r="K29" s="730">
        <f t="shared" si="5"/>
        <v>0.2</v>
      </c>
      <c r="L29" s="730">
        <f t="shared" si="5"/>
        <v>0.2</v>
      </c>
      <c r="M29" s="730">
        <f t="shared" si="5"/>
        <v>0.2</v>
      </c>
      <c r="N29" s="730">
        <f t="shared" si="5"/>
        <v>0.2</v>
      </c>
      <c r="O29" s="336" t="s">
        <v>1999</v>
      </c>
      <c r="P29" s="337" t="s">
        <v>620</v>
      </c>
    </row>
    <row r="30" spans="2:21" ht="13.2" thickBot="1">
      <c r="D30" s="324" t="str">
        <f>TLInputV2MOMValue5</f>
        <v>Operating Margin</v>
      </c>
      <c r="E30" s="730">
        <f t="shared" ref="E30:N30" si="6">cbalV2MOMValue5Rank</f>
        <v>0.2</v>
      </c>
      <c r="F30" s="730">
        <f t="shared" si="6"/>
        <v>0.2</v>
      </c>
      <c r="G30" s="730">
        <f t="shared" si="6"/>
        <v>0.2</v>
      </c>
      <c r="H30" s="730">
        <f t="shared" si="6"/>
        <v>0.2</v>
      </c>
      <c r="I30" s="730">
        <f t="shared" si="6"/>
        <v>0.2</v>
      </c>
      <c r="J30" s="730">
        <f t="shared" si="6"/>
        <v>0.2</v>
      </c>
      <c r="K30" s="730">
        <f t="shared" si="6"/>
        <v>0.2</v>
      </c>
      <c r="L30" s="730">
        <f t="shared" si="6"/>
        <v>0.2</v>
      </c>
      <c r="M30" s="730">
        <f t="shared" si="6"/>
        <v>0.2</v>
      </c>
      <c r="N30" s="730">
        <f t="shared" si="6"/>
        <v>0.2</v>
      </c>
      <c r="O30" s="338">
        <v>5</v>
      </c>
      <c r="P30" s="339" t="s">
        <v>621</v>
      </c>
    </row>
    <row r="31" spans="2:21" ht="13.2" thickBot="1"/>
    <row r="32" spans="2:21">
      <c r="E32" s="333" t="str">
        <f t="shared" ref="E32:N32" si="7">E$23</f>
        <v>Snowflake (1)</v>
      </c>
      <c r="F32" s="333" t="str">
        <f t="shared" si="7"/>
        <v>Snowflake (2)</v>
      </c>
      <c r="G32" s="333" t="str">
        <f t="shared" si="7"/>
        <v>Snowflake (3)</v>
      </c>
      <c r="H32" s="333" t="str">
        <f t="shared" si="7"/>
        <v>Snowflake (4)</v>
      </c>
      <c r="I32" s="333" t="str">
        <f t="shared" si="7"/>
        <v>Snowflake (5)</v>
      </c>
      <c r="J32" s="333" t="str">
        <f t="shared" si="7"/>
        <v>Snowflake (6)</v>
      </c>
      <c r="K32" s="333" t="str">
        <f t="shared" si="7"/>
        <v>Snowflake (7)</v>
      </c>
      <c r="L32" s="333" t="str">
        <f t="shared" si="7"/>
        <v>Snowflake (8)</v>
      </c>
      <c r="M32" s="333" t="str">
        <f t="shared" si="7"/>
        <v>Snowflake (9)</v>
      </c>
      <c r="N32" s="333" t="str">
        <f t="shared" si="7"/>
        <v>Snowflake (10)</v>
      </c>
      <c r="O32" s="334"/>
      <c r="P32" s="335" t="s">
        <v>617</v>
      </c>
    </row>
    <row r="33" spans="4:16">
      <c r="D33" s="324" t="s">
        <v>480</v>
      </c>
      <c r="E33" s="246" t="str">
        <f t="shared" ref="E33:N33" si="8">cbalV2MOMVision</f>
        <v>Write your vision statement here.</v>
      </c>
      <c r="F33" s="246" t="str">
        <f t="shared" si="8"/>
        <v>Write your vision statement here.</v>
      </c>
      <c r="G33" s="246" t="str">
        <f t="shared" si="8"/>
        <v>Write your vision statement here.</v>
      </c>
      <c r="H33" s="246" t="str">
        <f t="shared" si="8"/>
        <v>Write your vision statement here.</v>
      </c>
      <c r="I33" s="246" t="str">
        <f t="shared" si="8"/>
        <v>Write your vision statement here.</v>
      </c>
      <c r="J33" s="246" t="str">
        <f t="shared" si="8"/>
        <v>Write your vision statement here.</v>
      </c>
      <c r="K33" s="246" t="str">
        <f t="shared" si="8"/>
        <v>Write your vision statement here.</v>
      </c>
      <c r="L33" s="246" t="str">
        <f t="shared" si="8"/>
        <v>Write your vision statement here.</v>
      </c>
      <c r="M33" s="246" t="str">
        <f t="shared" si="8"/>
        <v>Write your vision statement here.</v>
      </c>
      <c r="N33" s="246" t="str">
        <f t="shared" si="8"/>
        <v>Write your vision statement here.</v>
      </c>
      <c r="O33" s="336"/>
      <c r="P33" s="337" t="s">
        <v>58</v>
      </c>
    </row>
    <row r="34" spans="4:16">
      <c r="D34" s="324" t="str">
        <f>TLInputV2MOMValue1</f>
        <v>Revenue Growth</v>
      </c>
      <c r="E34" s="246" t="str">
        <f t="shared" ref="E34:N34" si="9">decV2MOMValue1Desc</f>
        <v>Insert rationale.</v>
      </c>
      <c r="F34" s="246" t="str">
        <f t="shared" si="9"/>
        <v>Insert rationale.</v>
      </c>
      <c r="G34" s="246" t="str">
        <f t="shared" si="9"/>
        <v>Insert rationale.</v>
      </c>
      <c r="H34" s="246" t="str">
        <f t="shared" si="9"/>
        <v>Insert rationale.</v>
      </c>
      <c r="I34" s="246" t="str">
        <f t="shared" si="9"/>
        <v>Insert rationale.</v>
      </c>
      <c r="J34" s="246" t="str">
        <f t="shared" si="9"/>
        <v>Insert rationale.</v>
      </c>
      <c r="K34" s="246" t="str">
        <f t="shared" si="9"/>
        <v>Insert rationale.</v>
      </c>
      <c r="L34" s="246" t="str">
        <f t="shared" si="9"/>
        <v>Insert rationale.</v>
      </c>
      <c r="M34" s="246" t="str">
        <f t="shared" si="9"/>
        <v>Insert rationale.</v>
      </c>
      <c r="N34" s="246" t="str">
        <f t="shared" si="9"/>
        <v>Insert rationale.</v>
      </c>
      <c r="O34" s="336"/>
      <c r="P34" s="337" t="s">
        <v>618</v>
      </c>
    </row>
    <row r="35" spans="4:16">
      <c r="D35" s="324" t="str">
        <f>TLInputV2MOMValue2</f>
        <v>Customer Satisfaction</v>
      </c>
      <c r="E35" s="246" t="str">
        <f t="shared" ref="E35:N35" si="10">decV2MOMValue2Desc</f>
        <v>Insert rationale.</v>
      </c>
      <c r="F35" s="246" t="str">
        <f t="shared" si="10"/>
        <v>Insert rationale.</v>
      </c>
      <c r="G35" s="246" t="str">
        <f t="shared" si="10"/>
        <v>Insert rationale.</v>
      </c>
      <c r="H35" s="246" t="str">
        <f t="shared" si="10"/>
        <v>Insert rationale.</v>
      </c>
      <c r="I35" s="246" t="str">
        <f t="shared" si="10"/>
        <v>Insert rationale.</v>
      </c>
      <c r="J35" s="246" t="str">
        <f t="shared" si="10"/>
        <v>Insert rationale.</v>
      </c>
      <c r="K35" s="246" t="str">
        <f t="shared" si="10"/>
        <v>Insert rationale.</v>
      </c>
      <c r="L35" s="246" t="str">
        <f t="shared" si="10"/>
        <v>Insert rationale.</v>
      </c>
      <c r="M35" s="246" t="str">
        <f t="shared" si="10"/>
        <v>Insert rationale.</v>
      </c>
      <c r="N35" s="246" t="str">
        <f t="shared" si="10"/>
        <v>Insert rationale.</v>
      </c>
      <c r="O35" s="336"/>
      <c r="P35" s="337" t="s">
        <v>619</v>
      </c>
    </row>
    <row r="36" spans="4:16">
      <c r="D36" s="324" t="str">
        <f>TLInputV2MOMValue3</f>
        <v>Employee Engagement</v>
      </c>
      <c r="E36" s="246" t="str">
        <f t="shared" ref="E36:N36" si="11">decV2MOMValue3Desc</f>
        <v>Insert rationale.</v>
      </c>
      <c r="F36" s="246" t="str">
        <f t="shared" si="11"/>
        <v>Insert rationale.</v>
      </c>
      <c r="G36" s="246" t="str">
        <f t="shared" si="11"/>
        <v>Insert rationale.</v>
      </c>
      <c r="H36" s="246" t="str">
        <f t="shared" si="11"/>
        <v>Insert rationale.</v>
      </c>
      <c r="I36" s="246" t="str">
        <f t="shared" si="11"/>
        <v>Insert rationale.</v>
      </c>
      <c r="J36" s="246" t="str">
        <f t="shared" si="11"/>
        <v>Insert rationale.</v>
      </c>
      <c r="K36" s="246" t="str">
        <f t="shared" si="11"/>
        <v>Insert rationale.</v>
      </c>
      <c r="L36" s="246" t="str">
        <f t="shared" si="11"/>
        <v>Insert rationale.</v>
      </c>
      <c r="M36" s="246" t="str">
        <f t="shared" si="11"/>
        <v>Insert rationale.</v>
      </c>
      <c r="N36" s="246" t="str">
        <f t="shared" si="11"/>
        <v>Insert rationale.</v>
      </c>
      <c r="O36" s="336"/>
      <c r="P36" s="337" t="s">
        <v>620</v>
      </c>
    </row>
    <row r="37" spans="4:16" ht="13.2" thickBot="1">
      <c r="D37" s="324" t="str">
        <f>TLInputV2MOMValue4</f>
        <v>Trust</v>
      </c>
      <c r="E37" s="246" t="str">
        <f t="shared" ref="E37:N37" si="12">decV2MOMValue4Desc</f>
        <v>Insert rationale.</v>
      </c>
      <c r="F37" s="246" t="str">
        <f t="shared" si="12"/>
        <v>Insert rationale.</v>
      </c>
      <c r="G37" s="246" t="str">
        <f t="shared" si="12"/>
        <v>Insert rationale.</v>
      </c>
      <c r="H37" s="246" t="str">
        <f t="shared" si="12"/>
        <v>Insert rationale.</v>
      </c>
      <c r="I37" s="246" t="str">
        <f t="shared" si="12"/>
        <v>Insert rationale.</v>
      </c>
      <c r="J37" s="246" t="str">
        <f t="shared" si="12"/>
        <v>Insert rationale.</v>
      </c>
      <c r="K37" s="246" t="str">
        <f t="shared" si="12"/>
        <v>Insert rationale.</v>
      </c>
      <c r="L37" s="246" t="str">
        <f t="shared" si="12"/>
        <v>Insert rationale.</v>
      </c>
      <c r="M37" s="246" t="str">
        <f t="shared" si="12"/>
        <v>Insert rationale.</v>
      </c>
      <c r="N37" s="246" t="str">
        <f t="shared" si="12"/>
        <v>Insert rationale.</v>
      </c>
      <c r="O37" s="338">
        <v>5</v>
      </c>
      <c r="P37" s="339" t="s">
        <v>621</v>
      </c>
    </row>
    <row r="38" spans="4:16" ht="13.2" thickBot="1"/>
    <row r="39" spans="4:16">
      <c r="E39" s="333" t="str">
        <f t="shared" ref="E39:N39" si="13">E$23</f>
        <v>Snowflake (1)</v>
      </c>
      <c r="F39" s="333" t="str">
        <f t="shared" si="13"/>
        <v>Snowflake (2)</v>
      </c>
      <c r="G39" s="333" t="str">
        <f t="shared" si="13"/>
        <v>Snowflake (3)</v>
      </c>
      <c r="H39" s="333" t="str">
        <f t="shared" si="13"/>
        <v>Snowflake (4)</v>
      </c>
      <c r="I39" s="333" t="str">
        <f t="shared" si="13"/>
        <v>Snowflake (5)</v>
      </c>
      <c r="J39" s="333" t="str">
        <f t="shared" si="13"/>
        <v>Snowflake (6)</v>
      </c>
      <c r="K39" s="333" t="str">
        <f t="shared" si="13"/>
        <v>Snowflake (7)</v>
      </c>
      <c r="L39" s="333" t="str">
        <f t="shared" si="13"/>
        <v>Snowflake (8)</v>
      </c>
      <c r="M39" s="333" t="str">
        <f t="shared" si="13"/>
        <v>Snowflake (9)</v>
      </c>
      <c r="N39" s="333" t="str">
        <f t="shared" si="13"/>
        <v>Snowflake (10)</v>
      </c>
      <c r="O39" s="334" t="s">
        <v>604</v>
      </c>
      <c r="P39" s="335" t="s">
        <v>617</v>
      </c>
    </row>
    <row r="40" spans="4:16">
      <c r="D40" s="324" t="s">
        <v>402</v>
      </c>
      <c r="E40" s="621">
        <f t="shared" ref="E40:N40" si="14">calcIntCostStack</f>
        <v>0</v>
      </c>
      <c r="F40" s="621">
        <f t="shared" si="14"/>
        <v>0</v>
      </c>
      <c r="G40" s="621">
        <f t="shared" si="14"/>
        <v>0</v>
      </c>
      <c r="H40" s="621">
        <f t="shared" si="14"/>
        <v>0</v>
      </c>
      <c r="I40" s="621">
        <f t="shared" si="14"/>
        <v>0</v>
      </c>
      <c r="J40" s="621">
        <f t="shared" si="14"/>
        <v>0</v>
      </c>
      <c r="K40" s="621">
        <f t="shared" si="14"/>
        <v>0</v>
      </c>
      <c r="L40" s="621">
        <f t="shared" si="14"/>
        <v>0</v>
      </c>
      <c r="M40" s="621">
        <f t="shared" si="14"/>
        <v>0</v>
      </c>
      <c r="N40" s="621">
        <f t="shared" si="14"/>
        <v>0</v>
      </c>
      <c r="O40" s="336"/>
      <c r="P40" s="337" t="s">
        <v>58</v>
      </c>
    </row>
    <row r="41" spans="4:16">
      <c r="D41" s="324" t="s">
        <v>400</v>
      </c>
      <c r="E41" s="621">
        <f t="shared" ref="E41:N41" si="15">calcFullHarmExp</f>
        <v>0</v>
      </c>
      <c r="F41" s="621">
        <f t="shared" si="15"/>
        <v>0</v>
      </c>
      <c r="G41" s="621">
        <f t="shared" si="15"/>
        <v>0</v>
      </c>
      <c r="H41" s="621">
        <f t="shared" si="15"/>
        <v>0</v>
      </c>
      <c r="I41" s="621">
        <f t="shared" si="15"/>
        <v>0</v>
      </c>
      <c r="J41" s="621">
        <f t="shared" si="15"/>
        <v>0</v>
      </c>
      <c r="K41" s="621">
        <f t="shared" si="15"/>
        <v>0</v>
      </c>
      <c r="L41" s="621">
        <f t="shared" si="15"/>
        <v>0</v>
      </c>
      <c r="M41" s="621">
        <f t="shared" si="15"/>
        <v>0</v>
      </c>
      <c r="N41" s="621">
        <f t="shared" si="15"/>
        <v>0</v>
      </c>
      <c r="O41" s="336"/>
      <c r="P41" s="337" t="s">
        <v>618</v>
      </c>
    </row>
    <row r="42" spans="4:16">
      <c r="D42" s="324" t="s">
        <v>1251</v>
      </c>
      <c r="E42" s="621">
        <f>calcFullITExp+calcFullRealEstateCost</f>
        <v>0</v>
      </c>
      <c r="F42" s="621">
        <f>calcFullITExp+calcFullRealEstateCost</f>
        <v>0</v>
      </c>
      <c r="G42" s="621">
        <f>calcFullITExp+calcFullRealEstateCost</f>
        <v>0</v>
      </c>
      <c r="H42" s="621">
        <f>calcFullITExp+calcFullRealEstateCost</f>
        <v>0</v>
      </c>
      <c r="I42" s="621">
        <f>calcFullITExp+calcFullRealEstateCost</f>
        <v>0</v>
      </c>
      <c r="J42" s="621">
        <f>calcFullITExp+calcFullREExp</f>
        <v>0</v>
      </c>
      <c r="K42" s="621">
        <f>calcFullITExp+calcFullREExp</f>
        <v>0</v>
      </c>
      <c r="L42" s="621">
        <f>calcFullITExp+calcFullREExp</f>
        <v>0</v>
      </c>
      <c r="M42" s="621">
        <f>calcFullITExp+calcFullREExp</f>
        <v>0</v>
      </c>
      <c r="N42" s="621">
        <f>calcFullITExp+calcFullREExp</f>
        <v>0</v>
      </c>
      <c r="O42" s="336"/>
      <c r="P42" s="337" t="s">
        <v>619</v>
      </c>
    </row>
    <row r="43" spans="4:16">
      <c r="D43" s="324" t="s">
        <v>1153</v>
      </c>
      <c r="E43" s="621">
        <f t="shared" ref="E43:N43" si="16">calcFullTrustExp</f>
        <v>0</v>
      </c>
      <c r="F43" s="621">
        <f t="shared" si="16"/>
        <v>0</v>
      </c>
      <c r="G43" s="621">
        <f t="shared" si="16"/>
        <v>0</v>
      </c>
      <c r="H43" s="621">
        <f t="shared" si="16"/>
        <v>0</v>
      </c>
      <c r="I43" s="621">
        <f t="shared" si="16"/>
        <v>0</v>
      </c>
      <c r="J43" s="621">
        <f t="shared" si="16"/>
        <v>0</v>
      </c>
      <c r="K43" s="621">
        <f t="shared" si="16"/>
        <v>0</v>
      </c>
      <c r="L43" s="621">
        <f t="shared" si="16"/>
        <v>0</v>
      </c>
      <c r="M43" s="621">
        <f t="shared" si="16"/>
        <v>0</v>
      </c>
      <c r="N43" s="621">
        <f t="shared" si="16"/>
        <v>0</v>
      </c>
      <c r="O43" s="336" t="s">
        <v>2009</v>
      </c>
      <c r="P43" s="337" t="s">
        <v>620</v>
      </c>
    </row>
    <row r="44" spans="4:16" ht="13.2" thickBot="1">
      <c r="D44" s="324" t="s">
        <v>1034</v>
      </c>
      <c r="E44" s="621">
        <f t="shared" ref="E44:N44" si="17">calcIntCostOrg62+calcIntCostCSG+calcIntCostBrandInt+calcIntCostLeadPass+calcIntCostExternalSales+calcIntCostOrg62Y2+calcIntCostCSGY2+calcIntCostBrandIntY2+calcIntCostLeadPassY2+calcIntCostExternalSalesY2</f>
        <v>0</v>
      </c>
      <c r="F44" s="621">
        <f t="shared" si="17"/>
        <v>0</v>
      </c>
      <c r="G44" s="621">
        <f t="shared" si="17"/>
        <v>0</v>
      </c>
      <c r="H44" s="621">
        <f t="shared" si="17"/>
        <v>0</v>
      </c>
      <c r="I44" s="621">
        <f t="shared" si="17"/>
        <v>0</v>
      </c>
      <c r="J44" s="621">
        <f t="shared" si="17"/>
        <v>0</v>
      </c>
      <c r="K44" s="621">
        <f t="shared" si="17"/>
        <v>0</v>
      </c>
      <c r="L44" s="621">
        <f t="shared" si="17"/>
        <v>0</v>
      </c>
      <c r="M44" s="621">
        <f t="shared" si="17"/>
        <v>0</v>
      </c>
      <c r="N44" s="621">
        <f t="shared" si="17"/>
        <v>0</v>
      </c>
      <c r="O44" s="338">
        <v>5</v>
      </c>
      <c r="P44" s="339" t="s">
        <v>621</v>
      </c>
    </row>
    <row r="45" spans="4:16" ht="13.2" thickBot="1"/>
    <row r="46" spans="4:16">
      <c r="E46" s="333" t="str">
        <f t="shared" ref="E46:N46" si="18">E$23</f>
        <v>Snowflake (1)</v>
      </c>
      <c r="F46" s="333" t="str">
        <f t="shared" si="18"/>
        <v>Snowflake (2)</v>
      </c>
      <c r="G46" s="333" t="str">
        <f t="shared" si="18"/>
        <v>Snowflake (3)</v>
      </c>
      <c r="H46" s="333" t="str">
        <f t="shared" si="18"/>
        <v>Snowflake (4)</v>
      </c>
      <c r="I46" s="333" t="str">
        <f t="shared" si="18"/>
        <v>Snowflake (5)</v>
      </c>
      <c r="J46" s="333" t="str">
        <f t="shared" si="18"/>
        <v>Snowflake (6)</v>
      </c>
      <c r="K46" s="333" t="str">
        <f t="shared" si="18"/>
        <v>Snowflake (7)</v>
      </c>
      <c r="L46" s="333" t="str">
        <f t="shared" si="18"/>
        <v>Snowflake (8)</v>
      </c>
      <c r="M46" s="333" t="str">
        <f t="shared" si="18"/>
        <v>Snowflake (9)</v>
      </c>
      <c r="N46" s="333" t="str">
        <f t="shared" si="18"/>
        <v>Snowflake (10)</v>
      </c>
      <c r="O46" s="334" t="s">
        <v>608</v>
      </c>
      <c r="P46" s="335" t="s">
        <v>617</v>
      </c>
    </row>
    <row r="47" spans="4:16">
      <c r="D47" s="324" t="s">
        <v>2011</v>
      </c>
      <c r="E47" s="623">
        <f t="shared" ref="E47:N47" si="19">calcEEKeyHarm+calcEENonKeyHarm</f>
        <v>0</v>
      </c>
      <c r="F47" s="623">
        <f t="shared" si="19"/>
        <v>0</v>
      </c>
      <c r="G47" s="623">
        <f t="shared" si="19"/>
        <v>0</v>
      </c>
      <c r="H47" s="623">
        <f t="shared" si="19"/>
        <v>0</v>
      </c>
      <c r="I47" s="623">
        <f t="shared" si="19"/>
        <v>0</v>
      </c>
      <c r="J47" s="623">
        <f t="shared" si="19"/>
        <v>0</v>
      </c>
      <c r="K47" s="623">
        <f t="shared" si="19"/>
        <v>0</v>
      </c>
      <c r="L47" s="623">
        <f t="shared" si="19"/>
        <v>0</v>
      </c>
      <c r="M47" s="623">
        <f t="shared" si="19"/>
        <v>0</v>
      </c>
      <c r="N47" s="623">
        <f t="shared" si="19"/>
        <v>0</v>
      </c>
      <c r="O47" s="336"/>
      <c r="P47" s="337" t="s">
        <v>58</v>
      </c>
    </row>
    <row r="48" spans="4:16">
      <c r="D48" s="324" t="s">
        <v>974</v>
      </c>
      <c r="E48" s="623">
        <f t="shared" ref="E48:N48" si="20">calcEEKeyHarmTime+calcEENonKeyHarmTime</f>
        <v>0</v>
      </c>
      <c r="F48" s="623">
        <f t="shared" si="20"/>
        <v>0</v>
      </c>
      <c r="G48" s="623">
        <f t="shared" si="20"/>
        <v>0</v>
      </c>
      <c r="H48" s="623">
        <f t="shared" si="20"/>
        <v>0</v>
      </c>
      <c r="I48" s="623">
        <f t="shared" si="20"/>
        <v>0</v>
      </c>
      <c r="J48" s="623">
        <f t="shared" si="20"/>
        <v>0</v>
      </c>
      <c r="K48" s="623">
        <f t="shared" si="20"/>
        <v>0</v>
      </c>
      <c r="L48" s="623">
        <f t="shared" si="20"/>
        <v>0</v>
      </c>
      <c r="M48" s="623">
        <f t="shared" si="20"/>
        <v>0</v>
      </c>
      <c r="N48" s="623">
        <f t="shared" si="20"/>
        <v>0</v>
      </c>
      <c r="O48" s="336"/>
      <c r="P48" s="337" t="s">
        <v>618</v>
      </c>
    </row>
    <row r="49" spans="4:16">
      <c r="D49" s="324" t="s">
        <v>3074</v>
      </c>
      <c r="E49" s="623">
        <f t="shared" ref="E49:N49" si="21">calcEEEmpIT+calcEEBackOfficeTimeline</f>
        <v>0</v>
      </c>
      <c r="F49" s="623">
        <f t="shared" si="21"/>
        <v>0</v>
      </c>
      <c r="G49" s="623">
        <f t="shared" si="21"/>
        <v>0</v>
      </c>
      <c r="H49" s="623">
        <f t="shared" si="21"/>
        <v>0</v>
      </c>
      <c r="I49" s="623">
        <f t="shared" si="21"/>
        <v>0</v>
      </c>
      <c r="J49" s="623">
        <f t="shared" si="21"/>
        <v>0</v>
      </c>
      <c r="K49" s="623">
        <f t="shared" si="21"/>
        <v>0</v>
      </c>
      <c r="L49" s="623">
        <f t="shared" si="21"/>
        <v>0</v>
      </c>
      <c r="M49" s="623">
        <f t="shared" si="21"/>
        <v>0</v>
      </c>
      <c r="N49" s="623">
        <f t="shared" si="21"/>
        <v>0</v>
      </c>
      <c r="O49" s="336"/>
      <c r="P49" s="337" t="s">
        <v>619</v>
      </c>
    </row>
    <row r="50" spans="4:16">
      <c r="D50" s="324" t="s">
        <v>2012</v>
      </c>
      <c r="E50" s="623">
        <f t="shared" ref="E50:N50" si="22">calcEEExternalSales</f>
        <v>0</v>
      </c>
      <c r="F50" s="623">
        <f t="shared" si="22"/>
        <v>0</v>
      </c>
      <c r="G50" s="623">
        <f t="shared" si="22"/>
        <v>0</v>
      </c>
      <c r="H50" s="623">
        <f t="shared" si="22"/>
        <v>0</v>
      </c>
      <c r="I50" s="623">
        <f t="shared" si="22"/>
        <v>0</v>
      </c>
      <c r="J50" s="623">
        <f t="shared" si="22"/>
        <v>0</v>
      </c>
      <c r="K50" s="623">
        <f t="shared" si="22"/>
        <v>0</v>
      </c>
      <c r="L50" s="623">
        <f t="shared" si="22"/>
        <v>0</v>
      </c>
      <c r="M50" s="623">
        <f t="shared" si="22"/>
        <v>0</v>
      </c>
      <c r="N50" s="623">
        <f t="shared" si="22"/>
        <v>0</v>
      </c>
      <c r="O50" s="336" t="s">
        <v>2010</v>
      </c>
      <c r="P50" s="337" t="s">
        <v>620</v>
      </c>
    </row>
    <row r="51" spans="4:16" ht="13.2" thickBot="1">
      <c r="D51" s="324" t="s">
        <v>1962</v>
      </c>
      <c r="E51" s="623">
        <f t="shared" ref="E51:N51" si="23">calcEEStack</f>
        <v>0</v>
      </c>
      <c r="F51" s="623">
        <f t="shared" si="23"/>
        <v>0</v>
      </c>
      <c r="G51" s="623">
        <f t="shared" si="23"/>
        <v>0</v>
      </c>
      <c r="H51" s="623">
        <f t="shared" si="23"/>
        <v>0</v>
      </c>
      <c r="I51" s="623">
        <f t="shared" si="23"/>
        <v>0</v>
      </c>
      <c r="J51" s="623">
        <f t="shared" si="23"/>
        <v>0</v>
      </c>
      <c r="K51" s="623">
        <f t="shared" si="23"/>
        <v>0</v>
      </c>
      <c r="L51" s="623">
        <f t="shared" si="23"/>
        <v>0</v>
      </c>
      <c r="M51" s="623">
        <f t="shared" si="23"/>
        <v>0</v>
      </c>
      <c r="N51" s="623">
        <f t="shared" si="23"/>
        <v>0</v>
      </c>
      <c r="O51" s="338">
        <v>11</v>
      </c>
      <c r="P51" s="339" t="s">
        <v>621</v>
      </c>
    </row>
    <row r="52" spans="4:16">
      <c r="D52" s="324" t="s">
        <v>1154</v>
      </c>
      <c r="E52" s="623">
        <f t="shared" ref="E52:N52" si="24">calcEERealEstate+calcEESiteInfra</f>
        <v>0</v>
      </c>
      <c r="F52" s="623">
        <f t="shared" si="24"/>
        <v>0</v>
      </c>
      <c r="G52" s="623">
        <f t="shared" si="24"/>
        <v>0</v>
      </c>
      <c r="H52" s="623">
        <f t="shared" si="24"/>
        <v>0</v>
      </c>
      <c r="I52" s="623">
        <f t="shared" si="24"/>
        <v>0</v>
      </c>
      <c r="J52" s="623">
        <f t="shared" si="24"/>
        <v>0</v>
      </c>
      <c r="K52" s="623">
        <f t="shared" si="24"/>
        <v>0</v>
      </c>
      <c r="L52" s="623">
        <f t="shared" si="24"/>
        <v>0</v>
      </c>
      <c r="M52" s="623">
        <f t="shared" si="24"/>
        <v>0</v>
      </c>
      <c r="N52" s="623">
        <f t="shared" si="24"/>
        <v>0</v>
      </c>
      <c r="O52" s="336"/>
      <c r="P52" s="337"/>
    </row>
    <row r="53" spans="4:16">
      <c r="D53" s="324" t="s">
        <v>409</v>
      </c>
      <c r="E53" s="623">
        <f t="shared" ref="E53:N53" si="25">calcEERiskMitP0+calcEERiskMitP1+calcEERiskMitP2</f>
        <v>0</v>
      </c>
      <c r="F53" s="623">
        <f t="shared" si="25"/>
        <v>0</v>
      </c>
      <c r="G53" s="623">
        <f t="shared" si="25"/>
        <v>0</v>
      </c>
      <c r="H53" s="623">
        <f t="shared" si="25"/>
        <v>0</v>
      </c>
      <c r="I53" s="623">
        <f t="shared" si="25"/>
        <v>0</v>
      </c>
      <c r="J53" s="623">
        <f t="shared" si="25"/>
        <v>0</v>
      </c>
      <c r="K53" s="623">
        <f t="shared" si="25"/>
        <v>0</v>
      </c>
      <c r="L53" s="623">
        <f t="shared" si="25"/>
        <v>0</v>
      </c>
      <c r="M53" s="623">
        <f t="shared" si="25"/>
        <v>0</v>
      </c>
      <c r="N53" s="623">
        <f t="shared" si="25"/>
        <v>0</v>
      </c>
      <c r="O53" s="336"/>
      <c r="P53" s="337"/>
    </row>
    <row r="54" spans="4:16">
      <c r="D54" s="324"/>
      <c r="E54" s="623"/>
      <c r="F54" s="623"/>
      <c r="G54" s="623"/>
      <c r="H54" s="623"/>
      <c r="I54" s="623"/>
      <c r="J54" s="623"/>
      <c r="K54" s="623"/>
      <c r="L54" s="623"/>
      <c r="M54" s="623"/>
      <c r="N54" s="623"/>
      <c r="O54" s="336"/>
      <c r="P54" s="337"/>
    </row>
    <row r="55" spans="4:16">
      <c r="D55" s="324" t="s">
        <v>2013</v>
      </c>
      <c r="E55" s="623">
        <f t="shared" ref="E55:N55" si="26">calcEEEvents</f>
        <v>0</v>
      </c>
      <c r="F55" s="623">
        <f t="shared" si="26"/>
        <v>0</v>
      </c>
      <c r="G55" s="623">
        <f t="shared" si="26"/>
        <v>0</v>
      </c>
      <c r="H55" s="623">
        <f t="shared" si="26"/>
        <v>0</v>
      </c>
      <c r="I55" s="623">
        <f t="shared" si="26"/>
        <v>0</v>
      </c>
      <c r="J55" s="623">
        <f t="shared" si="26"/>
        <v>0</v>
      </c>
      <c r="K55" s="623">
        <f t="shared" si="26"/>
        <v>0</v>
      </c>
      <c r="L55" s="623">
        <f t="shared" si="26"/>
        <v>0</v>
      </c>
      <c r="M55" s="623">
        <f t="shared" si="26"/>
        <v>0</v>
      </c>
      <c r="N55" s="623">
        <f t="shared" si="26"/>
        <v>0</v>
      </c>
      <c r="O55" s="336"/>
      <c r="P55" s="337"/>
    </row>
    <row r="56" spans="4:16" ht="13.2" thickBot="1">
      <c r="D56" s="324" t="s">
        <v>487</v>
      </c>
      <c r="E56" s="623">
        <f t="shared" ref="E56:N56" si="27">calcESAT</f>
        <v>50</v>
      </c>
      <c r="F56" s="623">
        <f t="shared" si="27"/>
        <v>50</v>
      </c>
      <c r="G56" s="623">
        <f t="shared" si="27"/>
        <v>50</v>
      </c>
      <c r="H56" s="623">
        <f t="shared" si="27"/>
        <v>50</v>
      </c>
      <c r="I56" s="623">
        <f t="shared" si="27"/>
        <v>50</v>
      </c>
      <c r="J56" s="623">
        <f t="shared" si="27"/>
        <v>50</v>
      </c>
      <c r="K56" s="623">
        <f t="shared" si="27"/>
        <v>50</v>
      </c>
      <c r="L56" s="623">
        <f t="shared" si="27"/>
        <v>50</v>
      </c>
      <c r="M56" s="623">
        <f t="shared" si="27"/>
        <v>50</v>
      </c>
      <c r="N56" s="623">
        <f t="shared" si="27"/>
        <v>50</v>
      </c>
      <c r="O56" s="338"/>
      <c r="P56" s="339"/>
    </row>
    <row r="57" spans="4:16" ht="13.2" thickBot="1"/>
    <row r="58" spans="4:16">
      <c r="E58" s="333" t="str">
        <f t="shared" ref="E58:N58" si="28">E$23</f>
        <v>Snowflake (1)</v>
      </c>
      <c r="F58" s="333" t="str">
        <f t="shared" si="28"/>
        <v>Snowflake (2)</v>
      </c>
      <c r="G58" s="333" t="str">
        <f t="shared" si="28"/>
        <v>Snowflake (3)</v>
      </c>
      <c r="H58" s="333" t="str">
        <f t="shared" si="28"/>
        <v>Snowflake (4)</v>
      </c>
      <c r="I58" s="333" t="str">
        <f t="shared" si="28"/>
        <v>Snowflake (5)</v>
      </c>
      <c r="J58" s="333" t="str">
        <f t="shared" si="28"/>
        <v>Snowflake (6)</v>
      </c>
      <c r="K58" s="333" t="str">
        <f t="shared" si="28"/>
        <v>Snowflake (7)</v>
      </c>
      <c r="L58" s="333" t="str">
        <f t="shared" si="28"/>
        <v>Snowflake (8)</v>
      </c>
      <c r="M58" s="333" t="str">
        <f t="shared" si="28"/>
        <v>Snowflake (9)</v>
      </c>
      <c r="N58" s="333" t="str">
        <f t="shared" si="28"/>
        <v>Snowflake (10)</v>
      </c>
      <c r="O58" s="334" t="s">
        <v>608</v>
      </c>
      <c r="P58" s="335" t="s">
        <v>617</v>
      </c>
    </row>
    <row r="59" spans="4:16">
      <c r="D59" s="324" t="s">
        <v>1962</v>
      </c>
      <c r="E59" s="623">
        <f t="shared" ref="E59:N59" si="29">calcNPSStackFocus</f>
        <v>0</v>
      </c>
      <c r="F59" s="623">
        <f t="shared" si="29"/>
        <v>0</v>
      </c>
      <c r="G59" s="623">
        <f t="shared" si="29"/>
        <v>0</v>
      </c>
      <c r="H59" s="623">
        <f t="shared" si="29"/>
        <v>0</v>
      </c>
      <c r="I59" s="623">
        <f t="shared" si="29"/>
        <v>0</v>
      </c>
      <c r="J59" s="623">
        <f t="shared" si="29"/>
        <v>0</v>
      </c>
      <c r="K59" s="623">
        <f t="shared" si="29"/>
        <v>0</v>
      </c>
      <c r="L59" s="623">
        <f t="shared" si="29"/>
        <v>0</v>
      </c>
      <c r="M59" s="623">
        <f t="shared" si="29"/>
        <v>0</v>
      </c>
      <c r="N59" s="623">
        <f t="shared" si="29"/>
        <v>0</v>
      </c>
      <c r="O59" s="336"/>
      <c r="P59" s="337" t="s">
        <v>58</v>
      </c>
    </row>
    <row r="60" spans="4:16">
      <c r="D60" s="324" t="s">
        <v>2012</v>
      </c>
      <c r="E60" s="623">
        <f t="shared" ref="E60:N60" si="30">calcNPSExternalSales</f>
        <v>0</v>
      </c>
      <c r="F60" s="623">
        <f t="shared" si="30"/>
        <v>0</v>
      </c>
      <c r="G60" s="623">
        <f t="shared" si="30"/>
        <v>0</v>
      </c>
      <c r="H60" s="623">
        <f t="shared" si="30"/>
        <v>0</v>
      </c>
      <c r="I60" s="623">
        <f t="shared" si="30"/>
        <v>0</v>
      </c>
      <c r="J60" s="623">
        <f t="shared" si="30"/>
        <v>0</v>
      </c>
      <c r="K60" s="623">
        <f t="shared" si="30"/>
        <v>0</v>
      </c>
      <c r="L60" s="623">
        <f t="shared" si="30"/>
        <v>0</v>
      </c>
      <c r="M60" s="623">
        <f t="shared" si="30"/>
        <v>0</v>
      </c>
      <c r="N60" s="623">
        <f t="shared" si="30"/>
        <v>0</v>
      </c>
      <c r="O60" s="336"/>
      <c r="P60" s="337" t="s">
        <v>618</v>
      </c>
    </row>
    <row r="61" spans="4:16">
      <c r="D61" s="324" t="s">
        <v>2284</v>
      </c>
      <c r="E61" s="623">
        <f t="shared" ref="E61:N61" si="31">calcNPSCSGPostSales</f>
        <v>0</v>
      </c>
      <c r="F61" s="623">
        <f t="shared" si="31"/>
        <v>0</v>
      </c>
      <c r="G61" s="623">
        <f t="shared" si="31"/>
        <v>0</v>
      </c>
      <c r="H61" s="623">
        <f t="shared" si="31"/>
        <v>0</v>
      </c>
      <c r="I61" s="623">
        <f t="shared" si="31"/>
        <v>0</v>
      </c>
      <c r="J61" s="623">
        <f t="shared" si="31"/>
        <v>0</v>
      </c>
      <c r="K61" s="623">
        <f t="shared" si="31"/>
        <v>0</v>
      </c>
      <c r="L61" s="623">
        <f t="shared" si="31"/>
        <v>0</v>
      </c>
      <c r="M61" s="623">
        <f t="shared" si="31"/>
        <v>0</v>
      </c>
      <c r="N61" s="623">
        <f t="shared" si="31"/>
        <v>0</v>
      </c>
      <c r="O61" s="336"/>
      <c r="P61" s="337" t="s">
        <v>619</v>
      </c>
    </row>
    <row r="62" spans="4:16">
      <c r="D62" s="324" t="s">
        <v>2179</v>
      </c>
      <c r="E62" s="623">
        <f t="shared" ref="E62:N62" si="32">calcNPSOrg62</f>
        <v>0</v>
      </c>
      <c r="F62" s="623">
        <f t="shared" si="32"/>
        <v>0</v>
      </c>
      <c r="G62" s="623">
        <f t="shared" si="32"/>
        <v>0</v>
      </c>
      <c r="H62" s="623">
        <f t="shared" si="32"/>
        <v>0</v>
      </c>
      <c r="I62" s="623">
        <f t="shared" si="32"/>
        <v>0</v>
      </c>
      <c r="J62" s="623">
        <f t="shared" si="32"/>
        <v>0</v>
      </c>
      <c r="K62" s="623">
        <f t="shared" si="32"/>
        <v>0</v>
      </c>
      <c r="L62" s="623">
        <f t="shared" si="32"/>
        <v>0</v>
      </c>
      <c r="M62" s="623">
        <f t="shared" si="32"/>
        <v>0</v>
      </c>
      <c r="N62" s="623">
        <f t="shared" si="32"/>
        <v>0</v>
      </c>
      <c r="O62" s="336" t="s">
        <v>2026</v>
      </c>
      <c r="P62" s="337" t="s">
        <v>620</v>
      </c>
    </row>
    <row r="63" spans="4:16" ht="13.2" thickBot="1">
      <c r="D63" s="324" t="s">
        <v>3079</v>
      </c>
      <c r="E63" s="623">
        <f t="shared" ref="E63:N63" si="33">calcNPSBrandIntegration</f>
        <v>0</v>
      </c>
      <c r="F63" s="623">
        <f t="shared" si="33"/>
        <v>0</v>
      </c>
      <c r="G63" s="623">
        <f t="shared" si="33"/>
        <v>0</v>
      </c>
      <c r="H63" s="623">
        <f t="shared" si="33"/>
        <v>0</v>
      </c>
      <c r="I63" s="623">
        <f t="shared" si="33"/>
        <v>0</v>
      </c>
      <c r="J63" s="623">
        <f t="shared" si="33"/>
        <v>0</v>
      </c>
      <c r="K63" s="623">
        <f t="shared" si="33"/>
        <v>0</v>
      </c>
      <c r="L63" s="623">
        <f t="shared" si="33"/>
        <v>0</v>
      </c>
      <c r="M63" s="623">
        <f t="shared" si="33"/>
        <v>0</v>
      </c>
      <c r="N63" s="623">
        <f t="shared" si="33"/>
        <v>0</v>
      </c>
      <c r="O63" s="338">
        <v>7</v>
      </c>
      <c r="P63" s="339" t="s">
        <v>621</v>
      </c>
    </row>
    <row r="64" spans="4:16">
      <c r="D64" s="324" t="s">
        <v>2013</v>
      </c>
      <c r="E64" s="623">
        <f t="shared" ref="E64:N64" si="34">calcNPSEvents</f>
        <v>0</v>
      </c>
      <c r="F64" s="623">
        <f t="shared" si="34"/>
        <v>0</v>
      </c>
      <c r="G64" s="623">
        <f t="shared" si="34"/>
        <v>0</v>
      </c>
      <c r="H64" s="623">
        <f t="shared" si="34"/>
        <v>0</v>
      </c>
      <c r="I64" s="623">
        <f t="shared" si="34"/>
        <v>0</v>
      </c>
      <c r="J64" s="623">
        <f t="shared" si="34"/>
        <v>0</v>
      </c>
      <c r="K64" s="623">
        <f t="shared" si="34"/>
        <v>0</v>
      </c>
      <c r="L64" s="623">
        <f t="shared" si="34"/>
        <v>0</v>
      </c>
      <c r="M64" s="623">
        <f t="shared" si="34"/>
        <v>0</v>
      </c>
      <c r="N64" s="623">
        <f t="shared" si="34"/>
        <v>0</v>
      </c>
      <c r="O64" s="336"/>
      <c r="P64" s="337"/>
    </row>
    <row r="65" spans="4:16">
      <c r="D65" s="324" t="s">
        <v>487</v>
      </c>
      <c r="E65" s="623">
        <f t="shared" ref="E65:N65" si="35">calcNPS</f>
        <v>50</v>
      </c>
      <c r="F65" s="623">
        <f t="shared" si="35"/>
        <v>50</v>
      </c>
      <c r="G65" s="623">
        <f t="shared" si="35"/>
        <v>50</v>
      </c>
      <c r="H65" s="623">
        <f t="shared" si="35"/>
        <v>50</v>
      </c>
      <c r="I65" s="623">
        <f t="shared" si="35"/>
        <v>50</v>
      </c>
      <c r="J65" s="623">
        <f t="shared" si="35"/>
        <v>50</v>
      </c>
      <c r="K65" s="623">
        <f t="shared" si="35"/>
        <v>50</v>
      </c>
      <c r="L65" s="623">
        <f t="shared" si="35"/>
        <v>50</v>
      </c>
      <c r="M65" s="623">
        <f t="shared" si="35"/>
        <v>50</v>
      </c>
      <c r="N65" s="623">
        <f t="shared" si="35"/>
        <v>50</v>
      </c>
      <c r="O65" s="336"/>
      <c r="P65" s="337"/>
    </row>
    <row r="66" spans="4:16">
      <c r="D66" s="324"/>
      <c r="E66" s="246"/>
      <c r="F66" s="246"/>
      <c r="G66" s="246"/>
      <c r="H66" s="246"/>
      <c r="I66" s="246"/>
      <c r="J66" s="246"/>
      <c r="K66" s="246"/>
      <c r="L66" s="246"/>
      <c r="M66" s="246"/>
      <c r="N66" s="246"/>
      <c r="O66" s="336"/>
      <c r="P66" s="337"/>
    </row>
    <row r="67" spans="4:16">
      <c r="D67" s="324"/>
      <c r="E67" s="246"/>
      <c r="F67" s="246"/>
      <c r="G67" s="246"/>
      <c r="H67" s="246"/>
      <c r="I67" s="246"/>
      <c r="J67" s="246"/>
      <c r="K67" s="246"/>
      <c r="L67" s="246"/>
      <c r="M67" s="246"/>
      <c r="N67" s="246"/>
      <c r="O67" s="336"/>
      <c r="P67" s="337"/>
    </row>
    <row r="68" spans="4:16" ht="13.2" thickBot="1">
      <c r="D68" s="324"/>
      <c r="E68" s="246"/>
      <c r="F68" s="246"/>
      <c r="G68" s="246"/>
      <c r="H68" s="246"/>
      <c r="I68" s="246"/>
      <c r="J68" s="246"/>
      <c r="K68" s="246"/>
      <c r="L68" s="246"/>
      <c r="M68" s="246"/>
      <c r="N68" s="246"/>
      <c r="O68" s="338"/>
      <c r="P68" s="339"/>
    </row>
    <row r="69" spans="4:16" ht="13.2" thickBot="1"/>
    <row r="70" spans="4:16">
      <c r="E70" s="333" t="str">
        <f t="shared" ref="E70:N70" si="36">E$23</f>
        <v>Snowflake (1)</v>
      </c>
      <c r="F70" s="333" t="str">
        <f t="shared" si="36"/>
        <v>Snowflake (2)</v>
      </c>
      <c r="G70" s="333" t="str">
        <f t="shared" si="36"/>
        <v>Snowflake (3)</v>
      </c>
      <c r="H70" s="333" t="str">
        <f t="shared" si="36"/>
        <v>Snowflake (4)</v>
      </c>
      <c r="I70" s="333" t="str">
        <f t="shared" si="36"/>
        <v>Snowflake (5)</v>
      </c>
      <c r="J70" s="333" t="str">
        <f t="shared" si="36"/>
        <v>Snowflake (6)</v>
      </c>
      <c r="K70" s="333" t="str">
        <f t="shared" si="36"/>
        <v>Snowflake (7)</v>
      </c>
      <c r="L70" s="333" t="str">
        <f t="shared" si="36"/>
        <v>Snowflake (8)</v>
      </c>
      <c r="M70" s="333" t="str">
        <f t="shared" si="36"/>
        <v>Snowflake (9)</v>
      </c>
      <c r="N70" s="333" t="str">
        <f t="shared" si="36"/>
        <v>Snowflake (10)</v>
      </c>
      <c r="O70" s="334" t="s">
        <v>608</v>
      </c>
      <c r="P70" s="335" t="s">
        <v>617</v>
      </c>
    </row>
    <row r="71" spans="4:16">
      <c r="D71" s="324" t="s">
        <v>3067</v>
      </c>
      <c r="E71" s="622">
        <f t="shared" ref="E71:N71" si="37">calcExecVelocOrg62+calcExecVelocLeadPass+calcExecVelocCSG+calcExecVelocBrandIntegration</f>
        <v>0</v>
      </c>
      <c r="F71" s="622">
        <f t="shared" si="37"/>
        <v>0</v>
      </c>
      <c r="G71" s="622">
        <f t="shared" si="37"/>
        <v>0</v>
      </c>
      <c r="H71" s="622">
        <f t="shared" si="37"/>
        <v>0</v>
      </c>
      <c r="I71" s="622">
        <f t="shared" si="37"/>
        <v>0</v>
      </c>
      <c r="J71" s="622">
        <f t="shared" si="37"/>
        <v>0</v>
      </c>
      <c r="K71" s="622">
        <f t="shared" si="37"/>
        <v>0</v>
      </c>
      <c r="L71" s="622">
        <f t="shared" si="37"/>
        <v>0</v>
      </c>
      <c r="M71" s="622">
        <f t="shared" si="37"/>
        <v>0</v>
      </c>
      <c r="N71" s="622">
        <f t="shared" si="37"/>
        <v>0</v>
      </c>
      <c r="O71" s="336"/>
      <c r="P71" s="337" t="s">
        <v>58</v>
      </c>
    </row>
    <row r="72" spans="4:16">
      <c r="D72" s="324" t="str">
        <f>Calc!D48</f>
        <v>Harmonization Timeline</v>
      </c>
      <c r="E72" s="622">
        <f t="shared" ref="E72:N72" si="38">calcExecVelocHarmTimeline</f>
        <v>0</v>
      </c>
      <c r="F72" s="622">
        <f t="shared" si="38"/>
        <v>0</v>
      </c>
      <c r="G72" s="622">
        <f t="shared" si="38"/>
        <v>0</v>
      </c>
      <c r="H72" s="622">
        <f t="shared" si="38"/>
        <v>0</v>
      </c>
      <c r="I72" s="622">
        <f t="shared" si="38"/>
        <v>0</v>
      </c>
      <c r="J72" s="622">
        <f t="shared" si="38"/>
        <v>0</v>
      </c>
      <c r="K72" s="622">
        <f t="shared" si="38"/>
        <v>0</v>
      </c>
      <c r="L72" s="622">
        <f t="shared" si="38"/>
        <v>0</v>
      </c>
      <c r="M72" s="622">
        <f t="shared" si="38"/>
        <v>0</v>
      </c>
      <c r="N72" s="622">
        <f t="shared" si="38"/>
        <v>0</v>
      </c>
      <c r="O72" s="336"/>
      <c r="P72" s="337" t="s">
        <v>618</v>
      </c>
    </row>
    <row r="73" spans="4:16">
      <c r="D73" s="324" t="s">
        <v>409</v>
      </c>
      <c r="E73" s="622">
        <f t="shared" ref="E73:N73" si="39">calcExecVelocRiskMitP0+calcExecVelocRiskMitP1+calcExecVelocRiskMitP2</f>
        <v>0</v>
      </c>
      <c r="F73" s="622">
        <f t="shared" si="39"/>
        <v>0</v>
      </c>
      <c r="G73" s="622">
        <f t="shared" si="39"/>
        <v>0</v>
      </c>
      <c r="H73" s="622">
        <f t="shared" si="39"/>
        <v>0</v>
      </c>
      <c r="I73" s="622">
        <f t="shared" si="39"/>
        <v>0</v>
      </c>
      <c r="J73" s="622">
        <f t="shared" si="39"/>
        <v>0</v>
      </c>
      <c r="K73" s="622">
        <f t="shared" si="39"/>
        <v>0</v>
      </c>
      <c r="L73" s="622">
        <f t="shared" si="39"/>
        <v>0</v>
      </c>
      <c r="M73" s="622">
        <f t="shared" si="39"/>
        <v>0</v>
      </c>
      <c r="N73" s="622">
        <f t="shared" si="39"/>
        <v>0</v>
      </c>
      <c r="O73" s="336"/>
      <c r="P73" s="337" t="s">
        <v>619</v>
      </c>
    </row>
    <row r="74" spans="4:16">
      <c r="D74" s="324" t="s">
        <v>2190</v>
      </c>
      <c r="E74" s="622">
        <f t="shared" ref="E74:N74" si="40">calcDisruptionTimelineImpact</f>
        <v>0</v>
      </c>
      <c r="F74" s="622">
        <f t="shared" si="40"/>
        <v>0</v>
      </c>
      <c r="G74" s="622">
        <f t="shared" si="40"/>
        <v>0</v>
      </c>
      <c r="H74" s="622">
        <f t="shared" si="40"/>
        <v>0</v>
      </c>
      <c r="I74" s="622">
        <f t="shared" si="40"/>
        <v>0</v>
      </c>
      <c r="J74" s="622">
        <f t="shared" si="40"/>
        <v>0</v>
      </c>
      <c r="K74" s="622">
        <f t="shared" si="40"/>
        <v>0</v>
      </c>
      <c r="L74" s="622">
        <f t="shared" si="40"/>
        <v>0</v>
      </c>
      <c r="M74" s="622">
        <f t="shared" si="40"/>
        <v>0</v>
      </c>
      <c r="N74" s="622">
        <f t="shared" si="40"/>
        <v>0</v>
      </c>
      <c r="O74" s="336" t="s">
        <v>2027</v>
      </c>
      <c r="P74" s="337" t="s">
        <v>620</v>
      </c>
    </row>
    <row r="75" spans="4:16" ht="13.2" thickBot="1">
      <c r="D75" s="324" t="s">
        <v>1967</v>
      </c>
      <c r="E75" s="622">
        <f t="shared" ref="E75:N75" si="41">calcExecVelocProductTimeline</f>
        <v>0</v>
      </c>
      <c r="F75" s="622">
        <f t="shared" si="41"/>
        <v>0</v>
      </c>
      <c r="G75" s="622">
        <f t="shared" si="41"/>
        <v>0</v>
      </c>
      <c r="H75" s="622">
        <f t="shared" si="41"/>
        <v>0</v>
      </c>
      <c r="I75" s="622">
        <f t="shared" si="41"/>
        <v>0</v>
      </c>
      <c r="J75" s="622">
        <f t="shared" si="41"/>
        <v>0</v>
      </c>
      <c r="K75" s="622">
        <f t="shared" si="41"/>
        <v>0</v>
      </c>
      <c r="L75" s="622">
        <f t="shared" si="41"/>
        <v>0</v>
      </c>
      <c r="M75" s="622">
        <f t="shared" si="41"/>
        <v>0</v>
      </c>
      <c r="N75" s="622">
        <f t="shared" si="41"/>
        <v>0</v>
      </c>
      <c r="O75" s="338">
        <v>9</v>
      </c>
      <c r="P75" s="339" t="s">
        <v>621</v>
      </c>
    </row>
    <row r="76" spans="4:16">
      <c r="D76" s="324" t="s">
        <v>3052</v>
      </c>
      <c r="E76" s="622">
        <f t="shared" ref="E76:N76" si="42">calcExecVelocEmpIntegration+calcExecVelocITTimeline</f>
        <v>0</v>
      </c>
      <c r="F76" s="622">
        <f t="shared" si="42"/>
        <v>0</v>
      </c>
      <c r="G76" s="622">
        <f t="shared" si="42"/>
        <v>0</v>
      </c>
      <c r="H76" s="622">
        <f t="shared" si="42"/>
        <v>0</v>
      </c>
      <c r="I76" s="622">
        <f t="shared" si="42"/>
        <v>0</v>
      </c>
      <c r="J76" s="622">
        <f t="shared" si="42"/>
        <v>0</v>
      </c>
      <c r="K76" s="622">
        <f t="shared" si="42"/>
        <v>0</v>
      </c>
      <c r="L76" s="622">
        <f t="shared" si="42"/>
        <v>0</v>
      </c>
      <c r="M76" s="622">
        <f t="shared" si="42"/>
        <v>0</v>
      </c>
      <c r="N76" s="622">
        <f t="shared" si="42"/>
        <v>0</v>
      </c>
      <c r="O76" s="336"/>
      <c r="P76" s="337"/>
    </row>
    <row r="77" spans="4:16">
      <c r="D77" s="324" t="s">
        <v>1154</v>
      </c>
      <c r="E77" s="622">
        <f t="shared" ref="E77:N77" si="43">calcExecVelocRE</f>
        <v>0</v>
      </c>
      <c r="F77" s="622">
        <f t="shared" si="43"/>
        <v>0</v>
      </c>
      <c r="G77" s="622">
        <f t="shared" si="43"/>
        <v>0</v>
      </c>
      <c r="H77" s="622">
        <f t="shared" si="43"/>
        <v>0</v>
      </c>
      <c r="I77" s="622">
        <f t="shared" si="43"/>
        <v>0</v>
      </c>
      <c r="J77" s="622">
        <f t="shared" si="43"/>
        <v>0</v>
      </c>
      <c r="K77" s="622">
        <f t="shared" si="43"/>
        <v>0</v>
      </c>
      <c r="L77" s="622">
        <f t="shared" si="43"/>
        <v>0</v>
      </c>
      <c r="M77" s="622">
        <f t="shared" si="43"/>
        <v>0</v>
      </c>
      <c r="N77" s="622">
        <f t="shared" si="43"/>
        <v>0</v>
      </c>
      <c r="O77" s="336"/>
      <c r="P77" s="337"/>
    </row>
    <row r="78" spans="4:16">
      <c r="D78" s="324" t="s">
        <v>2211</v>
      </c>
      <c r="E78" s="622">
        <f t="shared" ref="E78:N78" si="44">calcExecVelocEvents</f>
        <v>0</v>
      </c>
      <c r="F78" s="622">
        <f t="shared" si="44"/>
        <v>0</v>
      </c>
      <c r="G78" s="622">
        <f t="shared" si="44"/>
        <v>0</v>
      </c>
      <c r="H78" s="622">
        <f t="shared" si="44"/>
        <v>0</v>
      </c>
      <c r="I78" s="622">
        <f t="shared" si="44"/>
        <v>0</v>
      </c>
      <c r="J78" s="622">
        <f t="shared" si="44"/>
        <v>0</v>
      </c>
      <c r="K78" s="622">
        <f t="shared" si="44"/>
        <v>0</v>
      </c>
      <c r="L78" s="622">
        <f t="shared" si="44"/>
        <v>0</v>
      </c>
      <c r="M78" s="622">
        <f t="shared" si="44"/>
        <v>0</v>
      </c>
      <c r="N78" s="622">
        <f t="shared" si="44"/>
        <v>0</v>
      </c>
      <c r="O78" s="336"/>
      <c r="P78" s="337"/>
    </row>
    <row r="79" spans="4:16">
      <c r="D79" s="324" t="s">
        <v>487</v>
      </c>
      <c r="E79" s="622">
        <f t="shared" ref="E79:N79" si="45">calcExecutionVelocity</f>
        <v>0.5</v>
      </c>
      <c r="F79" s="622">
        <f t="shared" si="45"/>
        <v>0.5</v>
      </c>
      <c r="G79" s="622">
        <f t="shared" si="45"/>
        <v>0.5</v>
      </c>
      <c r="H79" s="622">
        <f t="shared" si="45"/>
        <v>0.5</v>
      </c>
      <c r="I79" s="622">
        <f t="shared" si="45"/>
        <v>0.5</v>
      </c>
      <c r="J79" s="622">
        <f t="shared" si="45"/>
        <v>0.5</v>
      </c>
      <c r="K79" s="622">
        <f t="shared" si="45"/>
        <v>0.5</v>
      </c>
      <c r="L79" s="622">
        <f t="shared" si="45"/>
        <v>0.5</v>
      </c>
      <c r="M79" s="622">
        <f t="shared" si="45"/>
        <v>0.5</v>
      </c>
      <c r="N79" s="622">
        <f t="shared" si="45"/>
        <v>0.5</v>
      </c>
      <c r="O79" s="336"/>
      <c r="P79" s="337"/>
    </row>
    <row r="80" spans="4:16" ht="13.2" thickBot="1">
      <c r="D80" s="324"/>
      <c r="E80" s="246"/>
      <c r="F80" s="246"/>
      <c r="G80" s="246"/>
      <c r="H80" s="246"/>
      <c r="I80" s="246"/>
      <c r="J80" s="246"/>
      <c r="K80" s="246"/>
      <c r="L80" s="246"/>
      <c r="M80" s="246"/>
      <c r="N80" s="246"/>
      <c r="O80" s="338"/>
      <c r="P80" s="339"/>
    </row>
    <row r="81" spans="4:16" ht="13.2" thickBot="1"/>
    <row r="82" spans="4:16">
      <c r="E82" s="333" t="str">
        <f t="shared" ref="E82:N82" si="46">E$23</f>
        <v>Snowflake (1)</v>
      </c>
      <c r="F82" s="333" t="str">
        <f t="shared" si="46"/>
        <v>Snowflake (2)</v>
      </c>
      <c r="G82" s="333" t="str">
        <f t="shared" si="46"/>
        <v>Snowflake (3)</v>
      </c>
      <c r="H82" s="333" t="str">
        <f t="shared" si="46"/>
        <v>Snowflake (4)</v>
      </c>
      <c r="I82" s="333" t="str">
        <f t="shared" si="46"/>
        <v>Snowflake (5)</v>
      </c>
      <c r="J82" s="333" t="str">
        <f t="shared" si="46"/>
        <v>Snowflake (6)</v>
      </c>
      <c r="K82" s="333" t="str">
        <f t="shared" si="46"/>
        <v>Snowflake (7)</v>
      </c>
      <c r="L82" s="333" t="str">
        <f t="shared" si="46"/>
        <v>Snowflake (8)</v>
      </c>
      <c r="M82" s="333" t="str">
        <f t="shared" si="46"/>
        <v>Snowflake (9)</v>
      </c>
      <c r="N82" s="333" t="str">
        <f t="shared" si="46"/>
        <v>Snowflake (10)</v>
      </c>
      <c r="O82" s="334" t="s">
        <v>608</v>
      </c>
      <c r="P82" s="335" t="s">
        <v>617</v>
      </c>
    </row>
    <row r="83" spans="4:16">
      <c r="D83" s="324" t="s">
        <v>409</v>
      </c>
      <c r="E83" s="624">
        <f t="shared" ref="E83:N83" si="47">calcRiskIndexRiskMitP0+calcRiskIndexRiskMitP1+calcRiskIndexRiskMitP2</f>
        <v>0</v>
      </c>
      <c r="F83" s="624">
        <f t="shared" si="47"/>
        <v>0</v>
      </c>
      <c r="G83" s="624">
        <f t="shared" si="47"/>
        <v>0</v>
      </c>
      <c r="H83" s="624">
        <f t="shared" si="47"/>
        <v>0</v>
      </c>
      <c r="I83" s="624">
        <f t="shared" si="47"/>
        <v>0</v>
      </c>
      <c r="J83" s="624">
        <f t="shared" si="47"/>
        <v>0</v>
      </c>
      <c r="K83" s="624">
        <f t="shared" si="47"/>
        <v>0</v>
      </c>
      <c r="L83" s="624">
        <f t="shared" si="47"/>
        <v>0</v>
      </c>
      <c r="M83" s="624">
        <f t="shared" si="47"/>
        <v>0</v>
      </c>
      <c r="N83" s="624">
        <f t="shared" si="47"/>
        <v>0</v>
      </c>
      <c r="O83" s="336"/>
      <c r="P83" s="337" t="s">
        <v>58</v>
      </c>
    </row>
    <row r="84" spans="4:16">
      <c r="D84" s="324" t="s">
        <v>1032</v>
      </c>
      <c r="E84" s="624">
        <f t="shared" ref="E84:N84" si="48">calcRiskIndexProdRestrictions</f>
        <v>0</v>
      </c>
      <c r="F84" s="624">
        <f t="shared" si="48"/>
        <v>0</v>
      </c>
      <c r="G84" s="624">
        <f t="shared" si="48"/>
        <v>0</v>
      </c>
      <c r="H84" s="624">
        <f t="shared" si="48"/>
        <v>0</v>
      </c>
      <c r="I84" s="624">
        <f t="shared" si="48"/>
        <v>0</v>
      </c>
      <c r="J84" s="624">
        <f t="shared" si="48"/>
        <v>0</v>
      </c>
      <c r="K84" s="624">
        <f t="shared" si="48"/>
        <v>0</v>
      </c>
      <c r="L84" s="624">
        <f t="shared" si="48"/>
        <v>0</v>
      </c>
      <c r="M84" s="624">
        <f t="shared" si="48"/>
        <v>0</v>
      </c>
      <c r="N84" s="624">
        <f t="shared" si="48"/>
        <v>0</v>
      </c>
      <c r="O84" s="336"/>
      <c r="P84" s="337" t="s">
        <v>618</v>
      </c>
    </row>
    <row r="85" spans="4:16">
      <c r="D85" s="324" t="s">
        <v>1969</v>
      </c>
      <c r="E85" s="624">
        <f t="shared" ref="E85:N85" si="49">calcRiskIndexTrustTimeline</f>
        <v>0</v>
      </c>
      <c r="F85" s="624">
        <f t="shared" si="49"/>
        <v>0</v>
      </c>
      <c r="G85" s="624">
        <f t="shared" si="49"/>
        <v>0</v>
      </c>
      <c r="H85" s="624">
        <f t="shared" si="49"/>
        <v>0</v>
      </c>
      <c r="I85" s="624">
        <f t="shared" si="49"/>
        <v>0</v>
      </c>
      <c r="J85" s="624">
        <f t="shared" si="49"/>
        <v>0</v>
      </c>
      <c r="K85" s="624">
        <f t="shared" si="49"/>
        <v>0</v>
      </c>
      <c r="L85" s="624">
        <f t="shared" si="49"/>
        <v>0</v>
      </c>
      <c r="M85" s="624">
        <f t="shared" si="49"/>
        <v>0</v>
      </c>
      <c r="N85" s="624">
        <f t="shared" si="49"/>
        <v>0</v>
      </c>
      <c r="O85" s="336"/>
      <c r="P85" s="337" t="s">
        <v>619</v>
      </c>
    </row>
    <row r="86" spans="4:16">
      <c r="D86" s="324" t="s">
        <v>1962</v>
      </c>
      <c r="E86" s="624">
        <f t="shared" ref="E86:N86" si="50">calcRiskIndexStackFocus</f>
        <v>0</v>
      </c>
      <c r="F86" s="624">
        <f t="shared" si="50"/>
        <v>0</v>
      </c>
      <c r="G86" s="624">
        <f t="shared" si="50"/>
        <v>0</v>
      </c>
      <c r="H86" s="624">
        <f t="shared" si="50"/>
        <v>0</v>
      </c>
      <c r="I86" s="624">
        <f t="shared" si="50"/>
        <v>0</v>
      </c>
      <c r="J86" s="624">
        <f t="shared" si="50"/>
        <v>0</v>
      </c>
      <c r="K86" s="624">
        <f t="shared" si="50"/>
        <v>0</v>
      </c>
      <c r="L86" s="624">
        <f t="shared" si="50"/>
        <v>0</v>
      </c>
      <c r="M86" s="624">
        <f t="shared" si="50"/>
        <v>0</v>
      </c>
      <c r="N86" s="624">
        <f t="shared" si="50"/>
        <v>0</v>
      </c>
      <c r="O86" s="336" t="s">
        <v>2028</v>
      </c>
      <c r="P86" s="337" t="s">
        <v>620</v>
      </c>
    </row>
    <row r="87" spans="4:16" ht="13.2" thickBot="1">
      <c r="D87" s="324" t="s">
        <v>3074</v>
      </c>
      <c r="E87" s="624">
        <f t="shared" ref="E87:N87" si="51">calcRiskIndexEmpIntegration+calcRiskIndexBackOfficeTimeline</f>
        <v>0</v>
      </c>
      <c r="F87" s="624">
        <f t="shared" si="51"/>
        <v>0</v>
      </c>
      <c r="G87" s="624">
        <f t="shared" si="51"/>
        <v>0</v>
      </c>
      <c r="H87" s="624">
        <f t="shared" si="51"/>
        <v>0</v>
      </c>
      <c r="I87" s="624">
        <f t="shared" si="51"/>
        <v>0</v>
      </c>
      <c r="J87" s="624">
        <f t="shared" si="51"/>
        <v>0</v>
      </c>
      <c r="K87" s="624">
        <f t="shared" si="51"/>
        <v>0</v>
      </c>
      <c r="L87" s="624">
        <f t="shared" si="51"/>
        <v>0</v>
      </c>
      <c r="M87" s="624">
        <f t="shared" si="51"/>
        <v>0</v>
      </c>
      <c r="N87" s="624">
        <f t="shared" si="51"/>
        <v>0</v>
      </c>
      <c r="O87" s="338">
        <v>9</v>
      </c>
      <c r="P87" s="339" t="s">
        <v>621</v>
      </c>
    </row>
    <row r="88" spans="4:16">
      <c r="D88" s="324" t="s">
        <v>1154</v>
      </c>
      <c r="E88" s="624">
        <f t="shared" ref="E88:N88" si="52">calcRiskIndexSiteInfrastructure+calcRiskIndexRE</f>
        <v>0</v>
      </c>
      <c r="F88" s="624">
        <f t="shared" si="52"/>
        <v>0</v>
      </c>
      <c r="G88" s="624">
        <f t="shared" si="52"/>
        <v>0</v>
      </c>
      <c r="H88" s="624">
        <f t="shared" si="52"/>
        <v>0</v>
      </c>
      <c r="I88" s="624">
        <f t="shared" si="52"/>
        <v>0</v>
      </c>
      <c r="J88" s="624">
        <f t="shared" si="52"/>
        <v>0</v>
      </c>
      <c r="K88" s="624">
        <f t="shared" si="52"/>
        <v>0</v>
      </c>
      <c r="L88" s="624">
        <f t="shared" si="52"/>
        <v>0</v>
      </c>
      <c r="M88" s="624">
        <f t="shared" si="52"/>
        <v>0</v>
      </c>
      <c r="N88" s="624">
        <f t="shared" si="52"/>
        <v>0</v>
      </c>
      <c r="O88" s="336"/>
      <c r="P88" s="337"/>
    </row>
    <row r="89" spans="4:16">
      <c r="D89" s="324" t="s">
        <v>1655</v>
      </c>
      <c r="E89" s="624">
        <f t="shared" ref="E89:N89" si="53">calcRiskIndexEvents</f>
        <v>0</v>
      </c>
      <c r="F89" s="624">
        <f t="shared" si="53"/>
        <v>0</v>
      </c>
      <c r="G89" s="624">
        <f t="shared" si="53"/>
        <v>0</v>
      </c>
      <c r="H89" s="624">
        <f t="shared" si="53"/>
        <v>0</v>
      </c>
      <c r="I89" s="624">
        <f t="shared" si="53"/>
        <v>0</v>
      </c>
      <c r="J89" s="624">
        <f t="shared" si="53"/>
        <v>0</v>
      </c>
      <c r="K89" s="624">
        <f t="shared" si="53"/>
        <v>0</v>
      </c>
      <c r="L89" s="624">
        <f t="shared" si="53"/>
        <v>0</v>
      </c>
      <c r="M89" s="624">
        <f t="shared" si="53"/>
        <v>0</v>
      </c>
      <c r="N89" s="624">
        <f t="shared" si="53"/>
        <v>0</v>
      </c>
      <c r="O89" s="336"/>
      <c r="P89" s="337"/>
    </row>
    <row r="90" spans="4:16">
      <c r="D90" s="324" t="s">
        <v>487</v>
      </c>
      <c r="E90" s="624">
        <f t="shared" ref="E90:N90" si="54">calcRiskIndex</f>
        <v>50</v>
      </c>
      <c r="F90" s="624">
        <f t="shared" si="54"/>
        <v>50</v>
      </c>
      <c r="G90" s="624">
        <f t="shared" si="54"/>
        <v>50</v>
      </c>
      <c r="H90" s="624">
        <f t="shared" si="54"/>
        <v>50</v>
      </c>
      <c r="I90" s="624">
        <f t="shared" si="54"/>
        <v>50</v>
      </c>
      <c r="J90" s="624">
        <f t="shared" si="54"/>
        <v>50</v>
      </c>
      <c r="K90" s="624">
        <f t="shared" si="54"/>
        <v>50</v>
      </c>
      <c r="L90" s="624">
        <f t="shared" si="54"/>
        <v>50</v>
      </c>
      <c r="M90" s="624">
        <f t="shared" si="54"/>
        <v>50</v>
      </c>
      <c r="N90" s="624">
        <f t="shared" si="54"/>
        <v>50</v>
      </c>
      <c r="O90" s="336"/>
      <c r="P90" s="337"/>
    </row>
    <row r="91" spans="4:16">
      <c r="D91" s="324"/>
      <c r="E91" s="246"/>
      <c r="F91" s="246"/>
      <c r="G91" s="246"/>
      <c r="H91" s="246"/>
      <c r="I91" s="246"/>
      <c r="J91" s="246"/>
      <c r="K91" s="246"/>
      <c r="L91" s="246"/>
      <c r="M91" s="246"/>
      <c r="N91" s="246"/>
      <c r="O91" s="336"/>
      <c r="P91" s="337"/>
    </row>
    <row r="92" spans="4:16" ht="13.2" thickBot="1">
      <c r="D92" s="324"/>
      <c r="E92" s="246"/>
      <c r="F92" s="246"/>
      <c r="G92" s="246"/>
      <c r="H92" s="246"/>
      <c r="I92" s="246"/>
      <c r="J92" s="246"/>
      <c r="K92" s="246"/>
      <c r="L92" s="246"/>
      <c r="M92" s="246"/>
      <c r="N92" s="246"/>
      <c r="O92" s="338"/>
      <c r="P92" s="339"/>
    </row>
    <row r="93" spans="4:16" ht="13.2" thickBot="1"/>
    <row r="94" spans="4:16">
      <c r="E94" s="333" t="str">
        <f t="shared" ref="E94:N94" si="55">E$23</f>
        <v>Snowflake (1)</v>
      </c>
      <c r="F94" s="333" t="str">
        <f t="shared" si="55"/>
        <v>Snowflake (2)</v>
      </c>
      <c r="G94" s="333" t="str">
        <f t="shared" si="55"/>
        <v>Snowflake (3)</v>
      </c>
      <c r="H94" s="333" t="str">
        <f t="shared" si="55"/>
        <v>Snowflake (4)</v>
      </c>
      <c r="I94" s="333" t="str">
        <f t="shared" si="55"/>
        <v>Snowflake (5)</v>
      </c>
      <c r="J94" s="333" t="str">
        <f t="shared" si="55"/>
        <v>Snowflake (6)</v>
      </c>
      <c r="K94" s="333" t="str">
        <f t="shared" si="55"/>
        <v>Snowflake (7)</v>
      </c>
      <c r="L94" s="333" t="str">
        <f t="shared" si="55"/>
        <v>Snowflake (8)</v>
      </c>
      <c r="M94" s="333" t="str">
        <f t="shared" si="55"/>
        <v>Snowflake (9)</v>
      </c>
      <c r="N94" s="333" t="str">
        <f t="shared" si="55"/>
        <v>Snowflake (10)</v>
      </c>
      <c r="O94" s="334" t="s">
        <v>607</v>
      </c>
      <c r="P94" s="335" t="s">
        <v>617</v>
      </c>
    </row>
    <row r="95" spans="4:16">
      <c r="D95" s="324" t="s">
        <v>2030</v>
      </c>
      <c r="E95" s="622">
        <f t="shared" ref="E95:N95" si="56">finAnnualIntegratedOpMargin</f>
        <v>-0.18999999999999992</v>
      </c>
      <c r="F95" s="622">
        <f t="shared" si="56"/>
        <v>-0.18999999999999992</v>
      </c>
      <c r="G95" s="622">
        <f t="shared" si="56"/>
        <v>-0.18999999999999992</v>
      </c>
      <c r="H95" s="622">
        <f t="shared" si="56"/>
        <v>-0.18999999999999992</v>
      </c>
      <c r="I95" s="622">
        <f t="shared" si="56"/>
        <v>-0.18999999999999992</v>
      </c>
      <c r="J95" s="622">
        <f t="shared" si="56"/>
        <v>-0.18999999999999992</v>
      </c>
      <c r="K95" s="622">
        <f t="shared" si="56"/>
        <v>-0.18999999999999992</v>
      </c>
      <c r="L95" s="622">
        <f t="shared" si="56"/>
        <v>-0.18999999999999992</v>
      </c>
      <c r="M95" s="622">
        <f t="shared" si="56"/>
        <v>-0.18999999999999992</v>
      </c>
      <c r="N95" s="622">
        <f t="shared" si="56"/>
        <v>-0.18999999999999992</v>
      </c>
      <c r="O95" s="336"/>
      <c r="P95" s="337" t="s">
        <v>58</v>
      </c>
    </row>
    <row r="96" spans="4:16">
      <c r="D96" s="324" t="s">
        <v>2031</v>
      </c>
      <c r="E96" s="622">
        <f t="shared" ref="E96:N96" si="57">finY2AnnualIntegratedOpMargin</f>
        <v>-0.17356466964764275</v>
      </c>
      <c r="F96" s="622">
        <f t="shared" si="57"/>
        <v>-0.17356466964764275</v>
      </c>
      <c r="G96" s="622">
        <f t="shared" si="57"/>
        <v>-0.17356466964764275</v>
      </c>
      <c r="H96" s="622">
        <f t="shared" si="57"/>
        <v>-0.17356466964764275</v>
      </c>
      <c r="I96" s="622">
        <f t="shared" si="57"/>
        <v>-0.17356466964764275</v>
      </c>
      <c r="J96" s="622">
        <f t="shared" si="57"/>
        <v>-0.17356466964764275</v>
      </c>
      <c r="K96" s="622">
        <f t="shared" si="57"/>
        <v>-0.17356466964764275</v>
      </c>
      <c r="L96" s="622">
        <f t="shared" si="57"/>
        <v>-0.17356466964764275</v>
      </c>
      <c r="M96" s="622">
        <f t="shared" si="57"/>
        <v>-0.17356466964764275</v>
      </c>
      <c r="N96" s="622">
        <f t="shared" si="57"/>
        <v>-0.17356466964764275</v>
      </c>
      <c r="O96" s="336"/>
      <c r="P96" s="337" t="s">
        <v>618</v>
      </c>
    </row>
    <row r="97" spans="4:16">
      <c r="D97" s="324"/>
      <c r="E97" s="246"/>
      <c r="F97" s="246"/>
      <c r="G97" s="246"/>
      <c r="H97" s="246"/>
      <c r="I97" s="246"/>
      <c r="J97" s="246"/>
      <c r="K97" s="246"/>
      <c r="L97" s="246"/>
      <c r="M97" s="246"/>
      <c r="N97" s="246"/>
      <c r="O97" s="336"/>
      <c r="P97" s="337" t="s">
        <v>619</v>
      </c>
    </row>
    <row r="98" spans="4:16">
      <c r="D98" s="324"/>
      <c r="E98" s="246"/>
      <c r="F98" s="246"/>
      <c r="G98" s="246"/>
      <c r="H98" s="246"/>
      <c r="I98" s="246"/>
      <c r="J98" s="246"/>
      <c r="K98" s="246"/>
      <c r="L98" s="246"/>
      <c r="M98" s="246"/>
      <c r="N98" s="246"/>
      <c r="O98" s="336" t="s">
        <v>2029</v>
      </c>
      <c r="P98" s="337" t="s">
        <v>620</v>
      </c>
    </row>
    <row r="99" spans="4:16" ht="13.2" thickBot="1">
      <c r="D99" s="324"/>
      <c r="E99" s="246"/>
      <c r="F99" s="246"/>
      <c r="G99" s="246"/>
      <c r="H99" s="246"/>
      <c r="I99" s="246"/>
      <c r="J99" s="246"/>
      <c r="K99" s="246"/>
      <c r="L99" s="246"/>
      <c r="M99" s="246"/>
      <c r="N99" s="246"/>
      <c r="O99" s="338">
        <v>2</v>
      </c>
      <c r="P99" s="339" t="s">
        <v>621</v>
      </c>
    </row>
    <row r="100" spans="4:16">
      <c r="D100" s="324"/>
      <c r="E100" s="246"/>
      <c r="F100" s="246"/>
      <c r="G100" s="246"/>
      <c r="H100" s="246"/>
      <c r="I100" s="246"/>
      <c r="J100" s="246"/>
      <c r="K100" s="246"/>
      <c r="L100" s="246"/>
      <c r="M100" s="246"/>
      <c r="N100" s="246"/>
      <c r="O100" s="336"/>
      <c r="P100" s="337"/>
    </row>
    <row r="101" spans="4:16">
      <c r="D101" s="324"/>
      <c r="E101" s="246"/>
      <c r="F101" s="246"/>
      <c r="G101" s="246"/>
      <c r="H101" s="246"/>
      <c r="I101" s="246"/>
      <c r="J101" s="246"/>
      <c r="K101" s="246"/>
      <c r="L101" s="246"/>
      <c r="M101" s="246"/>
      <c r="N101" s="246"/>
      <c r="O101" s="336"/>
      <c r="P101" s="337"/>
    </row>
    <row r="102" spans="4:16">
      <c r="D102" s="324"/>
      <c r="E102" s="246"/>
      <c r="F102" s="246"/>
      <c r="G102" s="246"/>
      <c r="H102" s="246"/>
      <c r="I102" s="246"/>
      <c r="J102" s="246"/>
      <c r="K102" s="246"/>
      <c r="L102" s="246"/>
      <c r="M102" s="246"/>
      <c r="N102" s="246"/>
      <c r="O102" s="336"/>
      <c r="P102" s="337"/>
    </row>
    <row r="103" spans="4:16">
      <c r="D103" s="324"/>
      <c r="E103" s="246"/>
      <c r="F103" s="246"/>
      <c r="G103" s="246"/>
      <c r="H103" s="246"/>
      <c r="I103" s="246"/>
      <c r="J103" s="246"/>
      <c r="K103" s="246"/>
      <c r="L103" s="246"/>
      <c r="M103" s="246"/>
      <c r="N103" s="246"/>
      <c r="O103" s="336"/>
      <c r="P103" s="337"/>
    </row>
    <row r="104" spans="4:16" ht="13.2" thickBot="1">
      <c r="D104" s="324"/>
      <c r="E104" s="246"/>
      <c r="F104" s="246"/>
      <c r="G104" s="246"/>
      <c r="H104" s="246"/>
      <c r="I104" s="246"/>
      <c r="J104" s="246"/>
      <c r="K104" s="246"/>
      <c r="L104" s="246"/>
      <c r="M104" s="246"/>
      <c r="N104" s="246"/>
      <c r="O104" s="338"/>
      <c r="P104" s="339"/>
    </row>
    <row r="107" spans="4:16">
      <c r="D107" s="638" t="s">
        <v>2069</v>
      </c>
      <c r="E107" s="333" t="str">
        <f t="shared" ref="E107:N107" si="58">E$23</f>
        <v>Snowflake (1)</v>
      </c>
      <c r="F107" s="333" t="str">
        <f t="shared" si="58"/>
        <v>Snowflake (2)</v>
      </c>
      <c r="G107" s="333" t="str">
        <f t="shared" si="58"/>
        <v>Snowflake (3)</v>
      </c>
      <c r="H107" s="333" t="str">
        <f t="shared" si="58"/>
        <v>Snowflake (4)</v>
      </c>
      <c r="I107" s="333" t="str">
        <f t="shared" si="58"/>
        <v>Snowflake (5)</v>
      </c>
      <c r="J107" s="333" t="str">
        <f t="shared" si="58"/>
        <v>Snowflake (6)</v>
      </c>
      <c r="K107" s="333" t="str">
        <f t="shared" si="58"/>
        <v>Snowflake (7)</v>
      </c>
      <c r="L107" s="333" t="str">
        <f t="shared" si="58"/>
        <v>Snowflake (8)</v>
      </c>
      <c r="M107" s="333" t="str">
        <f t="shared" si="58"/>
        <v>Snowflake (9)</v>
      </c>
      <c r="N107" s="333" t="str">
        <f t="shared" si="58"/>
        <v>Snowflake (10)</v>
      </c>
    </row>
    <row r="108" spans="4:16">
      <c r="D108" s="252" t="s">
        <v>3023</v>
      </c>
      <c r="E108" s="637">
        <f t="shared" ref="E108:N108" si="59">FinY5AnnualRev</f>
        <v>498050988.59179169</v>
      </c>
      <c r="F108" s="637">
        <f t="shared" si="59"/>
        <v>498050988.59179169</v>
      </c>
      <c r="G108" s="637">
        <f t="shared" si="59"/>
        <v>498050988.59179169</v>
      </c>
      <c r="H108" s="637">
        <f t="shared" si="59"/>
        <v>498050988.59179169</v>
      </c>
      <c r="I108" s="637">
        <f t="shared" si="59"/>
        <v>498050988.59179169</v>
      </c>
      <c r="J108" s="637">
        <f t="shared" si="59"/>
        <v>498050988.59179169</v>
      </c>
      <c r="K108" s="637">
        <f t="shared" si="59"/>
        <v>498050988.59179169</v>
      </c>
      <c r="L108" s="637">
        <f t="shared" si="59"/>
        <v>498050988.59179169</v>
      </c>
      <c r="M108" s="637">
        <f t="shared" si="59"/>
        <v>498050988.59179169</v>
      </c>
      <c r="N108" s="637">
        <f t="shared" si="59"/>
        <v>498050988.59179169</v>
      </c>
    </row>
    <row r="109" spans="4:16">
      <c r="D109" s="252" t="str">
        <f>TLInputV2MOMValue2</f>
        <v>Customer Satisfaction</v>
      </c>
      <c r="E109" s="636">
        <f t="shared" ref="E109:N109" si="60">cbalNPS</f>
        <v>50</v>
      </c>
      <c r="F109" s="636">
        <f t="shared" si="60"/>
        <v>50</v>
      </c>
      <c r="G109" s="636">
        <f t="shared" si="60"/>
        <v>50</v>
      </c>
      <c r="H109" s="636">
        <f t="shared" si="60"/>
        <v>50</v>
      </c>
      <c r="I109" s="636">
        <f t="shared" si="60"/>
        <v>50</v>
      </c>
      <c r="J109" s="636">
        <f t="shared" si="60"/>
        <v>50</v>
      </c>
      <c r="K109" s="636">
        <f t="shared" si="60"/>
        <v>50</v>
      </c>
      <c r="L109" s="636">
        <f t="shared" si="60"/>
        <v>50</v>
      </c>
      <c r="M109" s="636">
        <f t="shared" si="60"/>
        <v>50</v>
      </c>
      <c r="N109" s="636">
        <f t="shared" si="60"/>
        <v>50</v>
      </c>
    </row>
    <row r="110" spans="4:16">
      <c r="D110" s="252" t="str">
        <f>TLInputV2MOMValue3</f>
        <v>Employee Engagement</v>
      </c>
      <c r="E110" s="636">
        <f t="shared" ref="E110:N110" si="61">cbalESAT</f>
        <v>50</v>
      </c>
      <c r="F110" s="636">
        <f t="shared" si="61"/>
        <v>50</v>
      </c>
      <c r="G110" s="636">
        <f t="shared" si="61"/>
        <v>50</v>
      </c>
      <c r="H110" s="636">
        <f t="shared" si="61"/>
        <v>50</v>
      </c>
      <c r="I110" s="636">
        <f t="shared" si="61"/>
        <v>50</v>
      </c>
      <c r="J110" s="636">
        <f t="shared" si="61"/>
        <v>50</v>
      </c>
      <c r="K110" s="636">
        <f t="shared" si="61"/>
        <v>50</v>
      </c>
      <c r="L110" s="636">
        <f t="shared" si="61"/>
        <v>50</v>
      </c>
      <c r="M110" s="636">
        <f t="shared" si="61"/>
        <v>50</v>
      </c>
      <c r="N110" s="636">
        <f t="shared" si="61"/>
        <v>50</v>
      </c>
    </row>
    <row r="111" spans="4:16">
      <c r="D111" s="252" t="s">
        <v>1153</v>
      </c>
      <c r="E111" s="636">
        <f t="shared" ref="E111:N111" si="62">cbalRiskIndex</f>
        <v>50</v>
      </c>
      <c r="F111" s="636">
        <f t="shared" si="62"/>
        <v>50</v>
      </c>
      <c r="G111" s="636">
        <f t="shared" si="62"/>
        <v>50</v>
      </c>
      <c r="H111" s="636">
        <f t="shared" si="62"/>
        <v>50</v>
      </c>
      <c r="I111" s="636">
        <f t="shared" si="62"/>
        <v>50</v>
      </c>
      <c r="J111" s="636">
        <f t="shared" si="62"/>
        <v>50</v>
      </c>
      <c r="K111" s="636">
        <f t="shared" si="62"/>
        <v>50</v>
      </c>
      <c r="L111" s="636">
        <f t="shared" si="62"/>
        <v>50</v>
      </c>
      <c r="M111" s="636">
        <f t="shared" si="62"/>
        <v>50</v>
      </c>
      <c r="N111" s="636">
        <f t="shared" si="62"/>
        <v>50</v>
      </c>
    </row>
    <row r="112" spans="4:16">
      <c r="D112" s="252" t="s">
        <v>3037</v>
      </c>
      <c r="E112" s="717">
        <f t="shared" ref="E112:N112" si="63">finAnnualIntegratedOpMargin</f>
        <v>-0.18999999999999992</v>
      </c>
      <c r="F112" s="717">
        <f t="shared" si="63"/>
        <v>-0.18999999999999992</v>
      </c>
      <c r="G112" s="717">
        <f t="shared" si="63"/>
        <v>-0.18999999999999992</v>
      </c>
      <c r="H112" s="717">
        <f t="shared" si="63"/>
        <v>-0.18999999999999992</v>
      </c>
      <c r="I112" s="717">
        <f t="shared" si="63"/>
        <v>-0.18999999999999992</v>
      </c>
      <c r="J112" s="717">
        <f t="shared" si="63"/>
        <v>-0.18999999999999992</v>
      </c>
      <c r="K112" s="717">
        <f t="shared" si="63"/>
        <v>-0.18999999999999992</v>
      </c>
      <c r="L112" s="717">
        <f t="shared" si="63"/>
        <v>-0.18999999999999992</v>
      </c>
      <c r="M112" s="717">
        <f t="shared" si="63"/>
        <v>-0.18999999999999992</v>
      </c>
      <c r="N112" s="717">
        <f t="shared" si="63"/>
        <v>-0.18999999999999992</v>
      </c>
    </row>
    <row r="113" spans="4:16">
      <c r="D113" s="638" t="s">
        <v>2152</v>
      </c>
      <c r="E113" s="333" t="str">
        <f t="shared" ref="E113:N113" si="64">E$23</f>
        <v>Snowflake (1)</v>
      </c>
      <c r="F113" s="333" t="str">
        <f t="shared" si="64"/>
        <v>Snowflake (2)</v>
      </c>
      <c r="G113" s="333" t="str">
        <f t="shared" si="64"/>
        <v>Snowflake (3)</v>
      </c>
      <c r="H113" s="333" t="str">
        <f t="shared" si="64"/>
        <v>Snowflake (4)</v>
      </c>
      <c r="I113" s="333" t="str">
        <f t="shared" si="64"/>
        <v>Snowflake (5)</v>
      </c>
      <c r="J113" s="333" t="str">
        <f t="shared" si="64"/>
        <v>Snowflake (6)</v>
      </c>
      <c r="K113" s="333" t="str">
        <f t="shared" si="64"/>
        <v>Snowflake (7)</v>
      </c>
      <c r="L113" s="333" t="str">
        <f t="shared" si="64"/>
        <v>Snowflake (8)</v>
      </c>
      <c r="M113" s="333" t="str">
        <f t="shared" si="64"/>
        <v>Snowflake (9)</v>
      </c>
      <c r="N113" s="333" t="str">
        <f t="shared" si="64"/>
        <v>Snowflake (10)</v>
      </c>
    </row>
    <row r="114" spans="4:16">
      <c r="D114" s="252" t="str">
        <f>TLInputV2MOMValue1</f>
        <v>Revenue Growth</v>
      </c>
      <c r="E114" s="716">
        <f t="shared" ref="E114:N114" si="65">LeagueDriver1Weighted</f>
        <v>20.00001</v>
      </c>
      <c r="F114" s="716">
        <f t="shared" si="65"/>
        <v>20.000001000000001</v>
      </c>
      <c r="G114" s="716">
        <f t="shared" si="65"/>
        <v>20.000000100000001</v>
      </c>
      <c r="H114" s="716">
        <f t="shared" si="65"/>
        <v>20.000000010000001</v>
      </c>
      <c r="I114" s="716">
        <f t="shared" si="65"/>
        <v>20.000000001</v>
      </c>
      <c r="J114" s="716">
        <f t="shared" si="65"/>
        <v>20.000000000999989</v>
      </c>
      <c r="K114" s="716">
        <f t="shared" si="65"/>
        <v>9.9997999999999989E-10</v>
      </c>
      <c r="L114" s="716">
        <f t="shared" si="65"/>
        <v>9.999699999999998E-10</v>
      </c>
      <c r="M114" s="716">
        <f t="shared" si="65"/>
        <v>9.9995999999999972E-10</v>
      </c>
      <c r="N114" s="716">
        <f t="shared" si="65"/>
        <v>9.9994999999999963E-10</v>
      </c>
    </row>
    <row r="115" spans="4:16">
      <c r="D115" s="252" t="str">
        <f>TLInputV2MOMValue2</f>
        <v>Customer Satisfaction</v>
      </c>
      <c r="E115" s="716">
        <f t="shared" ref="E115:N115" si="66">LeagueDriver3Weighted</f>
        <v>20.00001</v>
      </c>
      <c r="F115" s="716">
        <f t="shared" si="66"/>
        <v>20.000001000000001</v>
      </c>
      <c r="G115" s="716">
        <f t="shared" si="66"/>
        <v>20.000000100000001</v>
      </c>
      <c r="H115" s="716">
        <f t="shared" si="66"/>
        <v>20.000000010000001</v>
      </c>
      <c r="I115" s="716">
        <f t="shared" si="66"/>
        <v>20.000000001</v>
      </c>
      <c r="J115" s="716">
        <f t="shared" si="66"/>
        <v>20.000000000999989</v>
      </c>
      <c r="K115" s="716">
        <f t="shared" si="66"/>
        <v>9.9997999999999989E-10</v>
      </c>
      <c r="L115" s="716">
        <f t="shared" si="66"/>
        <v>9.999699999999998E-10</v>
      </c>
      <c r="M115" s="716">
        <f t="shared" si="66"/>
        <v>9.9995999999999972E-10</v>
      </c>
      <c r="N115" s="716">
        <f t="shared" si="66"/>
        <v>9.9994999999999963E-10</v>
      </c>
    </row>
    <row r="116" spans="4:16">
      <c r="D116" s="252" t="str">
        <f>TLInputV2MOMValue3</f>
        <v>Employee Engagement</v>
      </c>
      <c r="E116" s="716">
        <f t="shared" ref="E116:N116" si="67">LeagueDriver2Weighted</f>
        <v>20.00001</v>
      </c>
      <c r="F116" s="716">
        <f t="shared" si="67"/>
        <v>20.000001000000001</v>
      </c>
      <c r="G116" s="716">
        <f t="shared" si="67"/>
        <v>20.000000100000001</v>
      </c>
      <c r="H116" s="716">
        <f t="shared" si="67"/>
        <v>20.000000010000001</v>
      </c>
      <c r="I116" s="716">
        <f t="shared" si="67"/>
        <v>20.000000001</v>
      </c>
      <c r="J116" s="716">
        <f t="shared" si="67"/>
        <v>20.000000000999989</v>
      </c>
      <c r="K116" s="716">
        <f t="shared" si="67"/>
        <v>9.9997999999999989E-10</v>
      </c>
      <c r="L116" s="716">
        <f t="shared" si="67"/>
        <v>9.999699999999998E-10</v>
      </c>
      <c r="M116" s="716">
        <f t="shared" si="67"/>
        <v>9.9995999999999972E-10</v>
      </c>
      <c r="N116" s="716">
        <f t="shared" si="67"/>
        <v>9.9994999999999963E-10</v>
      </c>
    </row>
    <row r="117" spans="4:16">
      <c r="D117" s="252" t="str">
        <f>TLInputV2MOMValue4</f>
        <v>Trust</v>
      </c>
      <c r="E117" s="716">
        <f t="shared" ref="E117:N117" si="68">LeagueDriver4Weighted</f>
        <v>20.00001</v>
      </c>
      <c r="F117" s="716">
        <f t="shared" si="68"/>
        <v>20.000001000000001</v>
      </c>
      <c r="G117" s="716">
        <f t="shared" si="68"/>
        <v>20.000000100000001</v>
      </c>
      <c r="H117" s="716">
        <f t="shared" si="68"/>
        <v>20.000000010000001</v>
      </c>
      <c r="I117" s="716">
        <f t="shared" si="68"/>
        <v>20.000000001</v>
      </c>
      <c r="J117" s="716">
        <f t="shared" si="68"/>
        <v>20.000000000999989</v>
      </c>
      <c r="K117" s="716">
        <f t="shared" si="68"/>
        <v>9.9997999999999989E-10</v>
      </c>
      <c r="L117" s="716">
        <f t="shared" si="68"/>
        <v>9.999699999999998E-10</v>
      </c>
      <c r="M117" s="716">
        <f t="shared" si="68"/>
        <v>9.9995999999999972E-10</v>
      </c>
      <c r="N117" s="716">
        <f t="shared" si="68"/>
        <v>9.9994999999999963E-10</v>
      </c>
    </row>
    <row r="118" spans="4:16" ht="13.2" thickBot="1">
      <c r="D118" s="252" t="s">
        <v>54</v>
      </c>
      <c r="E118" s="716">
        <f>SUM(E114:E117)</f>
        <v>80.000039999999998</v>
      </c>
      <c r="F118" s="716">
        <f t="shared" ref="F118:I118" si="69">SUM(F114:F117)</f>
        <v>80.000004000000004</v>
      </c>
      <c r="G118" s="716">
        <f t="shared" si="69"/>
        <v>80.000000400000005</v>
      </c>
      <c r="H118" s="716">
        <f t="shared" si="69"/>
        <v>80.000000040000003</v>
      </c>
      <c r="I118" s="716">
        <f t="shared" si="69"/>
        <v>80.000000004</v>
      </c>
      <c r="J118" s="716">
        <f t="shared" ref="J118:N118" si="70">SUM(J114:J117)</f>
        <v>80.000000003999958</v>
      </c>
      <c r="K118" s="716">
        <f t="shared" si="70"/>
        <v>3.9999199999999996E-9</v>
      </c>
      <c r="L118" s="716">
        <f t="shared" si="70"/>
        <v>3.9998799999999992E-9</v>
      </c>
      <c r="M118" s="716">
        <f t="shared" si="70"/>
        <v>3.9998399999999989E-9</v>
      </c>
      <c r="N118" s="716">
        <f t="shared" si="70"/>
        <v>3.9997999999999985E-9</v>
      </c>
    </row>
    <row r="119" spans="4:16">
      <c r="E119" s="333" t="str">
        <f t="shared" ref="E119:N119" si="71">E$23</f>
        <v>Snowflake (1)</v>
      </c>
      <c r="F119" s="333" t="str">
        <f t="shared" si="71"/>
        <v>Snowflake (2)</v>
      </c>
      <c r="G119" s="333" t="str">
        <f t="shared" si="71"/>
        <v>Snowflake (3)</v>
      </c>
      <c r="H119" s="333" t="str">
        <f t="shared" si="71"/>
        <v>Snowflake (4)</v>
      </c>
      <c r="I119" s="333" t="str">
        <f t="shared" si="71"/>
        <v>Snowflake (5)</v>
      </c>
      <c r="J119" s="333" t="str">
        <f t="shared" si="71"/>
        <v>Snowflake (6)</v>
      </c>
      <c r="K119" s="333" t="str">
        <f t="shared" si="71"/>
        <v>Snowflake (7)</v>
      </c>
      <c r="L119" s="333" t="str">
        <f t="shared" si="71"/>
        <v>Snowflake (8)</v>
      </c>
      <c r="M119" s="333" t="str">
        <f t="shared" si="71"/>
        <v>Snowflake (9)</v>
      </c>
      <c r="N119" s="333" t="str">
        <f t="shared" si="71"/>
        <v>Snowflake (10)</v>
      </c>
      <c r="O119" s="334" t="s">
        <v>605</v>
      </c>
      <c r="P119" s="335" t="s">
        <v>617</v>
      </c>
    </row>
    <row r="120" spans="4:16">
      <c r="D120" s="324" t="s">
        <v>2252</v>
      </c>
      <c r="E120" s="621">
        <f t="shared" ref="E120:N120" si="72">finAnnualIntegratedOpProfit</f>
        <v>-28095668.678987436</v>
      </c>
      <c r="F120" s="621">
        <f t="shared" si="72"/>
        <v>-28095668.678987436</v>
      </c>
      <c r="G120" s="621">
        <f t="shared" si="72"/>
        <v>-28095668.678987436</v>
      </c>
      <c r="H120" s="621">
        <f t="shared" si="72"/>
        <v>-28095668.678987436</v>
      </c>
      <c r="I120" s="621">
        <f t="shared" si="72"/>
        <v>-28095668.678987436</v>
      </c>
      <c r="J120" s="621">
        <f t="shared" si="72"/>
        <v>-28095668.678987436</v>
      </c>
      <c r="K120" s="621">
        <f t="shared" si="72"/>
        <v>-28095668.678987436</v>
      </c>
      <c r="L120" s="621">
        <f t="shared" si="72"/>
        <v>-28095668.678987436</v>
      </c>
      <c r="M120" s="621">
        <f t="shared" si="72"/>
        <v>-28095668.678987436</v>
      </c>
      <c r="N120" s="621">
        <f t="shared" si="72"/>
        <v>-28095668.678987436</v>
      </c>
      <c r="O120" s="336"/>
      <c r="P120" s="337" t="s">
        <v>58</v>
      </c>
    </row>
    <row r="121" spans="4:16">
      <c r="D121" s="324" t="s">
        <v>422</v>
      </c>
      <c r="E121" s="621">
        <f t="shared" ref="E121:N121" si="73">finAnnualCOS+finAnnualMSExp+finAnnualRDExp+finAnnualGAExp</f>
        <v>175967609.09471086</v>
      </c>
      <c r="F121" s="621">
        <f t="shared" si="73"/>
        <v>175967609.09471086</v>
      </c>
      <c r="G121" s="621">
        <f t="shared" si="73"/>
        <v>175967609.09471086</v>
      </c>
      <c r="H121" s="621">
        <f t="shared" si="73"/>
        <v>175967609.09471086</v>
      </c>
      <c r="I121" s="621">
        <f t="shared" si="73"/>
        <v>175967609.09471086</v>
      </c>
      <c r="J121" s="621">
        <f t="shared" si="73"/>
        <v>175967609.09471086</v>
      </c>
      <c r="K121" s="621">
        <f t="shared" si="73"/>
        <v>175967609.09471086</v>
      </c>
      <c r="L121" s="621">
        <f t="shared" si="73"/>
        <v>175967609.09471086</v>
      </c>
      <c r="M121" s="621">
        <f t="shared" si="73"/>
        <v>175967609.09471086</v>
      </c>
      <c r="N121" s="621">
        <f t="shared" si="73"/>
        <v>175967609.09471086</v>
      </c>
      <c r="O121" s="336"/>
      <c r="P121" s="337" t="s">
        <v>618</v>
      </c>
    </row>
    <row r="122" spans="4:16">
      <c r="D122" s="324" t="s">
        <v>2090</v>
      </c>
      <c r="E122" s="621">
        <f t="shared" ref="E122:N122" si="74">finAnnualHarmExp+finAnnualITExp+finAnnualFullREExp+finAnnualGAMigrationExp+finAnnualTrustExp+finAnnualOrg62Exp+finAnnualStackExp+finAnnualPackagingPricingExp+finAnnualExternalSalesExp</f>
        <v>0</v>
      </c>
      <c r="F122" s="621">
        <f t="shared" si="74"/>
        <v>0</v>
      </c>
      <c r="G122" s="621">
        <f t="shared" si="74"/>
        <v>0</v>
      </c>
      <c r="H122" s="621">
        <f t="shared" si="74"/>
        <v>0</v>
      </c>
      <c r="I122" s="621">
        <f t="shared" si="74"/>
        <v>0</v>
      </c>
      <c r="J122" s="621">
        <f t="shared" si="74"/>
        <v>0</v>
      </c>
      <c r="K122" s="621">
        <f t="shared" si="74"/>
        <v>0</v>
      </c>
      <c r="L122" s="621">
        <f t="shared" si="74"/>
        <v>0</v>
      </c>
      <c r="M122" s="621">
        <f t="shared" si="74"/>
        <v>0</v>
      </c>
      <c r="N122" s="621">
        <f t="shared" si="74"/>
        <v>0</v>
      </c>
      <c r="O122" s="336"/>
      <c r="P122" s="337" t="s">
        <v>619</v>
      </c>
    </row>
    <row r="123" spans="4:16">
      <c r="D123" s="324" t="s">
        <v>2092</v>
      </c>
      <c r="E123" s="622">
        <f t="shared" ref="E123:N123" si="75">finAnnualIntegratedOpMargin</f>
        <v>-0.18999999999999992</v>
      </c>
      <c r="F123" s="622">
        <f t="shared" si="75"/>
        <v>-0.18999999999999992</v>
      </c>
      <c r="G123" s="622">
        <f t="shared" si="75"/>
        <v>-0.18999999999999992</v>
      </c>
      <c r="H123" s="622">
        <f t="shared" si="75"/>
        <v>-0.18999999999999992</v>
      </c>
      <c r="I123" s="622">
        <f t="shared" si="75"/>
        <v>-0.18999999999999992</v>
      </c>
      <c r="J123" s="622">
        <f t="shared" si="75"/>
        <v>-0.18999999999999992</v>
      </c>
      <c r="K123" s="622">
        <f t="shared" si="75"/>
        <v>-0.18999999999999992</v>
      </c>
      <c r="L123" s="622">
        <f t="shared" si="75"/>
        <v>-0.18999999999999992</v>
      </c>
      <c r="M123" s="622">
        <f t="shared" si="75"/>
        <v>-0.18999999999999992</v>
      </c>
      <c r="N123" s="622">
        <f t="shared" si="75"/>
        <v>-0.18999999999999992</v>
      </c>
      <c r="O123" s="336" t="s">
        <v>2091</v>
      </c>
      <c r="P123" s="337" t="s">
        <v>620</v>
      </c>
    </row>
    <row r="124" spans="4:16" ht="13.2" thickBot="1">
      <c r="D124" s="324"/>
      <c r="E124" s="246"/>
      <c r="F124" s="246"/>
      <c r="G124" s="246"/>
      <c r="H124" s="246"/>
      <c r="I124" s="246"/>
      <c r="J124" s="246"/>
      <c r="K124" s="246"/>
      <c r="L124" s="246"/>
      <c r="M124" s="246"/>
      <c r="N124" s="246"/>
      <c r="O124" s="338">
        <v>5</v>
      </c>
      <c r="P124" s="339" t="s">
        <v>621</v>
      </c>
    </row>
    <row r="125" spans="4:16">
      <c r="D125" s="324"/>
      <c r="E125" s="246"/>
      <c r="F125" s="246"/>
      <c r="G125" s="246"/>
      <c r="H125" s="246"/>
      <c r="I125" s="246"/>
      <c r="J125" s="246"/>
      <c r="K125" s="246"/>
      <c r="L125" s="246"/>
      <c r="M125" s="246"/>
      <c r="N125" s="246"/>
      <c r="O125" s="336"/>
      <c r="P125" s="337"/>
    </row>
    <row r="126" spans="4:16">
      <c r="D126" s="324"/>
      <c r="E126" s="246"/>
      <c r="F126" s="246"/>
      <c r="G126" s="246"/>
      <c r="H126" s="246"/>
      <c r="I126" s="246"/>
      <c r="J126" s="246"/>
      <c r="K126" s="246"/>
      <c r="L126" s="246"/>
      <c r="M126" s="246"/>
      <c r="N126" s="246"/>
      <c r="O126" s="336"/>
      <c r="P126" s="337"/>
    </row>
    <row r="127" spans="4:16">
      <c r="D127" s="324"/>
      <c r="E127" s="246"/>
      <c r="F127" s="246"/>
      <c r="G127" s="246"/>
      <c r="H127" s="246"/>
      <c r="I127" s="246"/>
      <c r="J127" s="246"/>
      <c r="K127" s="246"/>
      <c r="L127" s="246"/>
      <c r="M127" s="246"/>
      <c r="N127" s="246"/>
      <c r="O127" s="336"/>
      <c r="P127" s="337"/>
    </row>
    <row r="128" spans="4:16">
      <c r="D128" s="324"/>
      <c r="E128" s="246"/>
      <c r="F128" s="246"/>
      <c r="G128" s="246"/>
      <c r="H128" s="246"/>
      <c r="I128" s="246"/>
      <c r="J128" s="246"/>
      <c r="K128" s="246"/>
      <c r="L128" s="246"/>
      <c r="M128" s="246"/>
      <c r="N128" s="246"/>
      <c r="O128" s="336"/>
      <c r="P128" s="337"/>
    </row>
    <row r="129" spans="4:16" ht="13.2" thickBot="1">
      <c r="D129" s="324"/>
      <c r="E129" s="246"/>
      <c r="F129" s="246"/>
      <c r="G129" s="246"/>
      <c r="H129" s="246"/>
      <c r="I129" s="246"/>
      <c r="J129" s="246"/>
      <c r="K129" s="246"/>
      <c r="L129" s="246"/>
      <c r="M129" s="246"/>
      <c r="N129" s="246"/>
      <c r="O129" s="338"/>
      <c r="P129" s="339"/>
    </row>
    <row r="130" spans="4:16" ht="13.2" thickBot="1"/>
    <row r="131" spans="4:16">
      <c r="E131" s="333" t="str">
        <f t="shared" ref="E131:N131" si="76">E$23</f>
        <v>Snowflake (1)</v>
      </c>
      <c r="F131" s="333" t="str">
        <f t="shared" si="76"/>
        <v>Snowflake (2)</v>
      </c>
      <c r="G131" s="333" t="str">
        <f t="shared" si="76"/>
        <v>Snowflake (3)</v>
      </c>
      <c r="H131" s="333" t="str">
        <f t="shared" si="76"/>
        <v>Snowflake (4)</v>
      </c>
      <c r="I131" s="333" t="str">
        <f t="shared" si="76"/>
        <v>Snowflake (5)</v>
      </c>
      <c r="J131" s="333" t="str">
        <f t="shared" si="76"/>
        <v>Snowflake (6)</v>
      </c>
      <c r="K131" s="333" t="str">
        <f t="shared" si="76"/>
        <v>Snowflake (7)</v>
      </c>
      <c r="L131" s="333" t="str">
        <f t="shared" si="76"/>
        <v>Snowflake (8)</v>
      </c>
      <c r="M131" s="333" t="str">
        <f t="shared" si="76"/>
        <v>Snowflake (9)</v>
      </c>
      <c r="N131" s="333" t="str">
        <f t="shared" si="76"/>
        <v>Snowflake (10)</v>
      </c>
      <c r="O131" s="334" t="s">
        <v>605</v>
      </c>
      <c r="P131" s="335" t="s">
        <v>617</v>
      </c>
    </row>
    <row r="132" spans="4:16">
      <c r="D132" s="324" t="s">
        <v>2252</v>
      </c>
      <c r="E132" s="621">
        <f t="shared" ref="E132:N132" si="77">finY2AnnualIntegratedOpProfit</f>
        <v>-38373668.470346153</v>
      </c>
      <c r="F132" s="621">
        <f t="shared" si="77"/>
        <v>-38373668.470346153</v>
      </c>
      <c r="G132" s="621">
        <f t="shared" si="77"/>
        <v>-38373668.470346153</v>
      </c>
      <c r="H132" s="621">
        <f t="shared" si="77"/>
        <v>-38373668.470346153</v>
      </c>
      <c r="I132" s="621">
        <f t="shared" si="77"/>
        <v>-38373668.470346153</v>
      </c>
      <c r="J132" s="621">
        <f t="shared" si="77"/>
        <v>-38373668.470346153</v>
      </c>
      <c r="K132" s="621">
        <f t="shared" si="77"/>
        <v>-38373668.470346153</v>
      </c>
      <c r="L132" s="621">
        <f t="shared" si="77"/>
        <v>-38373668.470346153</v>
      </c>
      <c r="M132" s="621">
        <f t="shared" si="77"/>
        <v>-38373668.470346153</v>
      </c>
      <c r="N132" s="621">
        <f t="shared" si="77"/>
        <v>-38373668.470346153</v>
      </c>
      <c r="O132" s="336"/>
      <c r="P132" s="337" t="s">
        <v>58</v>
      </c>
    </row>
    <row r="133" spans="4:16">
      <c r="D133" s="324" t="s">
        <v>422</v>
      </c>
      <c r="E133" s="621">
        <f t="shared" ref="E133:N133" si="78">finY2AnnualCOS+finY2AnnualMSExp+finY2AnnualRDExp+finY2AnnualGAExp</f>
        <v>259465141.45415869</v>
      </c>
      <c r="F133" s="621">
        <f t="shared" si="78"/>
        <v>259465141.45415869</v>
      </c>
      <c r="G133" s="621">
        <f t="shared" si="78"/>
        <v>259465141.45415869</v>
      </c>
      <c r="H133" s="621">
        <f t="shared" si="78"/>
        <v>259465141.45415869</v>
      </c>
      <c r="I133" s="621">
        <f t="shared" si="78"/>
        <v>259465141.45415869</v>
      </c>
      <c r="J133" s="621">
        <f t="shared" si="78"/>
        <v>259465141.45415869</v>
      </c>
      <c r="K133" s="621">
        <f t="shared" si="78"/>
        <v>259465141.45415869</v>
      </c>
      <c r="L133" s="621">
        <f t="shared" si="78"/>
        <v>259465141.45415869</v>
      </c>
      <c r="M133" s="621">
        <f t="shared" si="78"/>
        <v>259465141.45415869</v>
      </c>
      <c r="N133" s="621">
        <f t="shared" si="78"/>
        <v>259465141.45415869</v>
      </c>
      <c r="O133" s="336"/>
      <c r="P133" s="337" t="s">
        <v>618</v>
      </c>
    </row>
    <row r="134" spans="4:16">
      <c r="D134" s="324" t="s">
        <v>2090</v>
      </c>
      <c r="E134" s="621">
        <f t="shared" ref="E134:N134" si="79">finY2AnnualHarmExp+finY2AnnualITExp+finY2AnnualFullREExp+finY2AnnualGAMigrationExp+finY2AnnualTrustExp+finY2AnnualOrg62Exp+finY2AnnualStackExp+finY2AnnualPackagingPricingExp+finY2AnnualExternalSalesExp</f>
        <v>0</v>
      </c>
      <c r="F134" s="621">
        <f t="shared" si="79"/>
        <v>0</v>
      </c>
      <c r="G134" s="621">
        <f t="shared" si="79"/>
        <v>0</v>
      </c>
      <c r="H134" s="621">
        <f t="shared" si="79"/>
        <v>0</v>
      </c>
      <c r="I134" s="621">
        <f t="shared" si="79"/>
        <v>0</v>
      </c>
      <c r="J134" s="621">
        <f t="shared" si="79"/>
        <v>0</v>
      </c>
      <c r="K134" s="621">
        <f t="shared" si="79"/>
        <v>0</v>
      </c>
      <c r="L134" s="621">
        <f t="shared" si="79"/>
        <v>0</v>
      </c>
      <c r="M134" s="621">
        <f t="shared" si="79"/>
        <v>0</v>
      </c>
      <c r="N134" s="621">
        <f t="shared" si="79"/>
        <v>0</v>
      </c>
      <c r="O134" s="336"/>
      <c r="P134" s="337" t="s">
        <v>619</v>
      </c>
    </row>
    <row r="135" spans="4:16">
      <c r="D135" s="324" t="s">
        <v>2092</v>
      </c>
      <c r="E135" s="622">
        <f t="shared" ref="E135:N135" si="80">finY2AnnualIntegratedOpMargin</f>
        <v>-0.17356466964764275</v>
      </c>
      <c r="F135" s="622">
        <f t="shared" si="80"/>
        <v>-0.17356466964764275</v>
      </c>
      <c r="G135" s="622">
        <f t="shared" si="80"/>
        <v>-0.17356466964764275</v>
      </c>
      <c r="H135" s="622">
        <f t="shared" si="80"/>
        <v>-0.17356466964764275</v>
      </c>
      <c r="I135" s="622">
        <f t="shared" si="80"/>
        <v>-0.17356466964764275</v>
      </c>
      <c r="J135" s="622">
        <f t="shared" si="80"/>
        <v>-0.17356466964764275</v>
      </c>
      <c r="K135" s="622">
        <f t="shared" si="80"/>
        <v>-0.17356466964764275</v>
      </c>
      <c r="L135" s="622">
        <f t="shared" si="80"/>
        <v>-0.17356466964764275</v>
      </c>
      <c r="M135" s="622">
        <f t="shared" si="80"/>
        <v>-0.17356466964764275</v>
      </c>
      <c r="N135" s="622">
        <f t="shared" si="80"/>
        <v>-0.17356466964764275</v>
      </c>
      <c r="O135" s="336" t="s">
        <v>2093</v>
      </c>
      <c r="P135" s="337" t="s">
        <v>620</v>
      </c>
    </row>
    <row r="136" spans="4:16" ht="13.2" thickBot="1">
      <c r="D136" s="324"/>
      <c r="E136" s="246"/>
      <c r="F136" s="246"/>
      <c r="G136" s="246"/>
      <c r="H136" s="246"/>
      <c r="I136" s="246"/>
      <c r="J136" s="246"/>
      <c r="K136" s="246"/>
      <c r="L136" s="246"/>
      <c r="M136" s="246"/>
      <c r="N136" s="246"/>
      <c r="O136" s="338">
        <v>5</v>
      </c>
      <c r="P136" s="339" t="s">
        <v>621</v>
      </c>
    </row>
    <row r="137" spans="4:16">
      <c r="D137" s="324"/>
      <c r="E137" s="246"/>
      <c r="F137" s="246"/>
      <c r="G137" s="246"/>
      <c r="H137" s="246"/>
      <c r="I137" s="246"/>
      <c r="J137" s="246"/>
      <c r="K137" s="246"/>
      <c r="L137" s="246"/>
      <c r="M137" s="246"/>
      <c r="N137" s="246"/>
      <c r="O137" s="336"/>
      <c r="P137" s="337"/>
    </row>
    <row r="138" spans="4:16">
      <c r="D138" s="324"/>
      <c r="E138" s="246"/>
      <c r="F138" s="246"/>
      <c r="G138" s="246"/>
      <c r="H138" s="246"/>
      <c r="I138" s="246"/>
      <c r="J138" s="246"/>
      <c r="K138" s="246"/>
      <c r="L138" s="246"/>
      <c r="M138" s="246"/>
      <c r="N138" s="246"/>
      <c r="O138" s="336"/>
      <c r="P138" s="337"/>
    </row>
    <row r="139" spans="4:16">
      <c r="D139" s="324"/>
      <c r="E139" s="246"/>
      <c r="F139" s="246"/>
      <c r="G139" s="246"/>
      <c r="H139" s="246"/>
      <c r="I139" s="246"/>
      <c r="J139" s="246"/>
      <c r="K139" s="246"/>
      <c r="L139" s="246"/>
      <c r="M139" s="246"/>
      <c r="N139" s="246"/>
      <c r="O139" s="336"/>
      <c r="P139" s="337"/>
    </row>
    <row r="140" spans="4:16">
      <c r="D140" s="324"/>
      <c r="E140" s="246"/>
      <c r="F140" s="246"/>
      <c r="G140" s="246"/>
      <c r="H140" s="246"/>
      <c r="I140" s="246"/>
      <c r="J140" s="246"/>
      <c r="K140" s="246"/>
      <c r="L140" s="246"/>
      <c r="M140" s="246"/>
      <c r="N140" s="246"/>
      <c r="O140" s="336"/>
      <c r="P140" s="337"/>
    </row>
    <row r="141" spans="4:16" ht="13.2" thickBot="1">
      <c r="D141" s="324"/>
      <c r="E141" s="246"/>
      <c r="F141" s="246"/>
      <c r="G141" s="246"/>
      <c r="H141" s="246"/>
      <c r="I141" s="246"/>
      <c r="J141" s="246"/>
      <c r="K141" s="246"/>
      <c r="L141" s="246"/>
      <c r="M141" s="246"/>
      <c r="N141" s="246"/>
      <c r="O141" s="338"/>
      <c r="P141" s="339"/>
    </row>
    <row r="142" spans="4:16" ht="13.2" thickBot="1"/>
    <row r="143" spans="4:16">
      <c r="E143" s="333" t="str">
        <f t="shared" ref="E143:N143" si="81">E$23</f>
        <v>Snowflake (1)</v>
      </c>
      <c r="F143" s="333" t="str">
        <f t="shared" si="81"/>
        <v>Snowflake (2)</v>
      </c>
      <c r="G143" s="333" t="str">
        <f t="shared" si="81"/>
        <v>Snowflake (3)</v>
      </c>
      <c r="H143" s="333" t="str">
        <f t="shared" si="81"/>
        <v>Snowflake (4)</v>
      </c>
      <c r="I143" s="333" t="str">
        <f t="shared" si="81"/>
        <v>Snowflake (5)</v>
      </c>
      <c r="J143" s="333" t="str">
        <f t="shared" si="81"/>
        <v>Snowflake (6)</v>
      </c>
      <c r="K143" s="333" t="str">
        <f t="shared" si="81"/>
        <v>Snowflake (7)</v>
      </c>
      <c r="L143" s="333" t="str">
        <f t="shared" si="81"/>
        <v>Snowflake (8)</v>
      </c>
      <c r="M143" s="333" t="str">
        <f t="shared" si="81"/>
        <v>Snowflake (9)</v>
      </c>
      <c r="N143" s="333" t="str">
        <f t="shared" si="81"/>
        <v>Snowflake (10)</v>
      </c>
      <c r="O143" s="334" t="s">
        <v>605</v>
      </c>
      <c r="P143" s="335" t="s">
        <v>617</v>
      </c>
    </row>
    <row r="144" spans="4:16">
      <c r="D144" s="324" t="s">
        <v>899</v>
      </c>
      <c r="E144" s="621">
        <f t="shared" ref="E144:N144" si="82">finACVY1Q1</f>
        <v>9375000</v>
      </c>
      <c r="F144" s="621">
        <f t="shared" si="82"/>
        <v>9375000</v>
      </c>
      <c r="G144" s="621">
        <f t="shared" si="82"/>
        <v>9375000</v>
      </c>
      <c r="H144" s="621">
        <f t="shared" si="82"/>
        <v>9375000</v>
      </c>
      <c r="I144" s="621">
        <f t="shared" si="82"/>
        <v>9375000</v>
      </c>
      <c r="J144" s="621">
        <f t="shared" si="82"/>
        <v>9375000</v>
      </c>
      <c r="K144" s="621">
        <f t="shared" si="82"/>
        <v>9375000</v>
      </c>
      <c r="L144" s="621">
        <f t="shared" si="82"/>
        <v>9375000</v>
      </c>
      <c r="M144" s="621">
        <f t="shared" si="82"/>
        <v>9375000</v>
      </c>
      <c r="N144" s="621">
        <f t="shared" si="82"/>
        <v>9375000</v>
      </c>
      <c r="O144" s="336"/>
      <c r="P144" s="337" t="s">
        <v>58</v>
      </c>
    </row>
    <row r="145" spans="4:16">
      <c r="D145" s="324" t="s">
        <v>900</v>
      </c>
      <c r="E145" s="621">
        <f t="shared" ref="E145:N145" si="83">finACVY1Q2</f>
        <v>11458333.333333332</v>
      </c>
      <c r="F145" s="621">
        <f t="shared" si="83"/>
        <v>11458333.333333332</v>
      </c>
      <c r="G145" s="621">
        <f t="shared" si="83"/>
        <v>11458333.333333332</v>
      </c>
      <c r="H145" s="621">
        <f t="shared" si="83"/>
        <v>11458333.333333332</v>
      </c>
      <c r="I145" s="621">
        <f t="shared" si="83"/>
        <v>11458333.333333332</v>
      </c>
      <c r="J145" s="621">
        <f t="shared" si="83"/>
        <v>11458333.333333332</v>
      </c>
      <c r="K145" s="621">
        <f t="shared" si="83"/>
        <v>11458333.333333332</v>
      </c>
      <c r="L145" s="621">
        <f t="shared" si="83"/>
        <v>11458333.333333332</v>
      </c>
      <c r="M145" s="621">
        <f t="shared" si="83"/>
        <v>11458333.333333332</v>
      </c>
      <c r="N145" s="621">
        <f t="shared" si="83"/>
        <v>11458333.333333332</v>
      </c>
      <c r="O145" s="336"/>
      <c r="P145" s="337" t="s">
        <v>618</v>
      </c>
    </row>
    <row r="146" spans="4:16">
      <c r="D146" s="324" t="s">
        <v>901</v>
      </c>
      <c r="E146" s="621">
        <f t="shared" ref="E146:N146" si="84">finACVY1Q3</f>
        <v>17708333.333333336</v>
      </c>
      <c r="F146" s="621">
        <f t="shared" si="84"/>
        <v>17708333.333333336</v>
      </c>
      <c r="G146" s="621">
        <f t="shared" si="84"/>
        <v>17708333.333333336</v>
      </c>
      <c r="H146" s="621">
        <f t="shared" si="84"/>
        <v>17708333.333333336</v>
      </c>
      <c r="I146" s="621">
        <f t="shared" si="84"/>
        <v>17708333.333333336</v>
      </c>
      <c r="J146" s="621">
        <f t="shared" si="84"/>
        <v>17708333.333333336</v>
      </c>
      <c r="K146" s="621">
        <f t="shared" si="84"/>
        <v>17708333.333333336</v>
      </c>
      <c r="L146" s="621">
        <f t="shared" si="84"/>
        <v>17708333.333333336</v>
      </c>
      <c r="M146" s="621">
        <f t="shared" si="84"/>
        <v>17708333.333333336</v>
      </c>
      <c r="N146" s="621">
        <f t="shared" si="84"/>
        <v>17708333.333333336</v>
      </c>
      <c r="O146" s="336"/>
      <c r="P146" s="337" t="s">
        <v>619</v>
      </c>
    </row>
    <row r="147" spans="4:16">
      <c r="D147" s="324" t="s">
        <v>902</v>
      </c>
      <c r="E147" s="621">
        <f t="shared" ref="E147:N147" si="85">finACVY1Q4</f>
        <v>26041666.666666664</v>
      </c>
      <c r="F147" s="621">
        <f t="shared" si="85"/>
        <v>26041666.666666664</v>
      </c>
      <c r="G147" s="621">
        <f t="shared" si="85"/>
        <v>26041666.666666664</v>
      </c>
      <c r="H147" s="621">
        <f t="shared" si="85"/>
        <v>26041666.666666664</v>
      </c>
      <c r="I147" s="621">
        <f t="shared" si="85"/>
        <v>26041666.666666664</v>
      </c>
      <c r="J147" s="621">
        <f t="shared" si="85"/>
        <v>26041666.666666664</v>
      </c>
      <c r="K147" s="621">
        <f t="shared" si="85"/>
        <v>26041666.666666664</v>
      </c>
      <c r="L147" s="621">
        <f t="shared" si="85"/>
        <v>26041666.666666664</v>
      </c>
      <c r="M147" s="621">
        <f t="shared" si="85"/>
        <v>26041666.666666664</v>
      </c>
      <c r="N147" s="621">
        <f t="shared" si="85"/>
        <v>26041666.666666664</v>
      </c>
      <c r="O147" s="336" t="s">
        <v>2094</v>
      </c>
      <c r="P147" s="337" t="s">
        <v>620</v>
      </c>
    </row>
    <row r="148" spans="4:16" ht="13.2" thickBot="1">
      <c r="D148" s="324" t="s">
        <v>1938</v>
      </c>
      <c r="E148" s="621">
        <f t="shared" ref="E148:N148" si="86">finACVTotalY1</f>
        <v>64583333.333333336</v>
      </c>
      <c r="F148" s="621">
        <f t="shared" si="86"/>
        <v>64583333.333333336</v>
      </c>
      <c r="G148" s="621">
        <f t="shared" si="86"/>
        <v>64583333.333333336</v>
      </c>
      <c r="H148" s="621">
        <f t="shared" si="86"/>
        <v>64583333.333333336</v>
      </c>
      <c r="I148" s="621">
        <f t="shared" si="86"/>
        <v>64583333.333333336</v>
      </c>
      <c r="J148" s="621">
        <f t="shared" si="86"/>
        <v>64583333.333333336</v>
      </c>
      <c r="K148" s="621">
        <f t="shared" si="86"/>
        <v>64583333.333333336</v>
      </c>
      <c r="L148" s="621">
        <f t="shared" si="86"/>
        <v>64583333.333333336</v>
      </c>
      <c r="M148" s="621">
        <f t="shared" si="86"/>
        <v>64583333.333333336</v>
      </c>
      <c r="N148" s="621">
        <f t="shared" si="86"/>
        <v>64583333.333333336</v>
      </c>
      <c r="O148" s="338">
        <v>6</v>
      </c>
      <c r="P148" s="339" t="s">
        <v>621</v>
      </c>
    </row>
    <row r="149" spans="4:16">
      <c r="D149" s="324"/>
      <c r="E149" s="246"/>
      <c r="F149" s="246"/>
      <c r="G149" s="246"/>
      <c r="H149" s="246"/>
      <c r="I149" s="246"/>
      <c r="J149" s="246"/>
      <c r="K149" s="246"/>
      <c r="L149" s="246"/>
      <c r="M149" s="246"/>
      <c r="N149" s="246"/>
      <c r="O149" s="336"/>
      <c r="P149" s="337"/>
    </row>
    <row r="150" spans="4:16">
      <c r="D150" s="324"/>
      <c r="E150" s="246"/>
      <c r="F150" s="246"/>
      <c r="G150" s="246"/>
      <c r="H150" s="246"/>
      <c r="I150" s="246"/>
      <c r="J150" s="246"/>
      <c r="K150" s="246"/>
      <c r="L150" s="246"/>
      <c r="M150" s="246"/>
      <c r="N150" s="246"/>
      <c r="O150" s="336"/>
      <c r="P150" s="337"/>
    </row>
    <row r="151" spans="4:16">
      <c r="D151" s="324"/>
      <c r="E151" s="246"/>
      <c r="F151" s="246"/>
      <c r="G151" s="246"/>
      <c r="H151" s="246"/>
      <c r="I151" s="246"/>
      <c r="J151" s="246"/>
      <c r="K151" s="246"/>
      <c r="L151" s="246"/>
      <c r="M151" s="246"/>
      <c r="N151" s="246"/>
      <c r="O151" s="336"/>
      <c r="P151" s="337"/>
    </row>
    <row r="152" spans="4:16">
      <c r="D152" s="324"/>
      <c r="E152" s="246"/>
      <c r="F152" s="246"/>
      <c r="G152" s="246"/>
      <c r="H152" s="246"/>
      <c r="I152" s="246"/>
      <c r="J152" s="246"/>
      <c r="K152" s="246"/>
      <c r="L152" s="246"/>
      <c r="M152" s="246"/>
      <c r="N152" s="246"/>
      <c r="O152" s="336"/>
      <c r="P152" s="337"/>
    </row>
    <row r="153" spans="4:16" ht="13.2" thickBot="1">
      <c r="D153" s="324"/>
      <c r="E153" s="246"/>
      <c r="F153" s="246"/>
      <c r="G153" s="246"/>
      <c r="H153" s="246"/>
      <c r="I153" s="246"/>
      <c r="J153" s="246"/>
      <c r="K153" s="246"/>
      <c r="L153" s="246"/>
      <c r="M153" s="246"/>
      <c r="N153" s="246"/>
      <c r="O153" s="338"/>
      <c r="P153" s="339"/>
    </row>
    <row r="154" spans="4:16" ht="13.2" thickBot="1"/>
    <row r="155" spans="4:16">
      <c r="E155" s="333" t="str">
        <f t="shared" ref="E155:N155" si="87">E$23</f>
        <v>Snowflake (1)</v>
      </c>
      <c r="F155" s="333" t="str">
        <f t="shared" si="87"/>
        <v>Snowflake (2)</v>
      </c>
      <c r="G155" s="333" t="str">
        <f t="shared" si="87"/>
        <v>Snowflake (3)</v>
      </c>
      <c r="H155" s="333" t="str">
        <f t="shared" si="87"/>
        <v>Snowflake (4)</v>
      </c>
      <c r="I155" s="333" t="str">
        <f t="shared" si="87"/>
        <v>Snowflake (5)</v>
      </c>
      <c r="J155" s="333" t="str">
        <f t="shared" si="87"/>
        <v>Snowflake (6)</v>
      </c>
      <c r="K155" s="333" t="str">
        <f t="shared" si="87"/>
        <v>Snowflake (7)</v>
      </c>
      <c r="L155" s="333" t="str">
        <f t="shared" si="87"/>
        <v>Snowflake (8)</v>
      </c>
      <c r="M155" s="333" t="str">
        <f t="shared" si="87"/>
        <v>Snowflake (9)</v>
      </c>
      <c r="N155" s="333" t="str">
        <f t="shared" si="87"/>
        <v>Snowflake (10)</v>
      </c>
      <c r="O155" s="334" t="s">
        <v>605</v>
      </c>
      <c r="P155" s="335" t="s">
        <v>617</v>
      </c>
    </row>
    <row r="156" spans="4:16">
      <c r="D156" s="324" t="s">
        <v>899</v>
      </c>
      <c r="E156" s="621">
        <f t="shared" ref="E156:N156" si="88">finACVY2Q1</f>
        <v>11718750</v>
      </c>
      <c r="F156" s="621">
        <f t="shared" si="88"/>
        <v>11718750</v>
      </c>
      <c r="G156" s="621">
        <f t="shared" si="88"/>
        <v>11718750</v>
      </c>
      <c r="H156" s="621">
        <f t="shared" si="88"/>
        <v>11718750</v>
      </c>
      <c r="I156" s="621">
        <f t="shared" si="88"/>
        <v>11718750</v>
      </c>
      <c r="J156" s="621">
        <f t="shared" si="88"/>
        <v>11718750</v>
      </c>
      <c r="K156" s="621">
        <f t="shared" si="88"/>
        <v>11718750</v>
      </c>
      <c r="L156" s="621">
        <f t="shared" si="88"/>
        <v>11718750</v>
      </c>
      <c r="M156" s="621">
        <f t="shared" si="88"/>
        <v>11718750</v>
      </c>
      <c r="N156" s="621">
        <f t="shared" si="88"/>
        <v>11718750</v>
      </c>
      <c r="O156" s="336"/>
      <c r="P156" s="337" t="s">
        <v>58</v>
      </c>
    </row>
    <row r="157" spans="4:16">
      <c r="D157" s="324" t="s">
        <v>900</v>
      </c>
      <c r="E157" s="621">
        <f t="shared" ref="E157:N157" si="89">finACVY2Q2</f>
        <v>14322916.666666664</v>
      </c>
      <c r="F157" s="621">
        <f t="shared" si="89"/>
        <v>14322916.666666664</v>
      </c>
      <c r="G157" s="621">
        <f t="shared" si="89"/>
        <v>14322916.666666664</v>
      </c>
      <c r="H157" s="621">
        <f t="shared" si="89"/>
        <v>14322916.666666664</v>
      </c>
      <c r="I157" s="621">
        <f t="shared" si="89"/>
        <v>14322916.666666664</v>
      </c>
      <c r="J157" s="621">
        <f t="shared" si="89"/>
        <v>14322916.666666664</v>
      </c>
      <c r="K157" s="621">
        <f t="shared" si="89"/>
        <v>14322916.666666664</v>
      </c>
      <c r="L157" s="621">
        <f t="shared" si="89"/>
        <v>14322916.666666664</v>
      </c>
      <c r="M157" s="621">
        <f t="shared" si="89"/>
        <v>14322916.666666664</v>
      </c>
      <c r="N157" s="621">
        <f t="shared" si="89"/>
        <v>14322916.666666664</v>
      </c>
      <c r="O157" s="336"/>
      <c r="P157" s="337" t="s">
        <v>618</v>
      </c>
    </row>
    <row r="158" spans="4:16">
      <c r="D158" s="324" t="s">
        <v>901</v>
      </c>
      <c r="E158" s="621">
        <f t="shared" ref="E158:N158" si="90">finACVY2Q3</f>
        <v>22135416.666666672</v>
      </c>
      <c r="F158" s="621">
        <f t="shared" si="90"/>
        <v>22135416.666666672</v>
      </c>
      <c r="G158" s="621">
        <f t="shared" si="90"/>
        <v>22135416.666666672</v>
      </c>
      <c r="H158" s="621">
        <f t="shared" si="90"/>
        <v>22135416.666666672</v>
      </c>
      <c r="I158" s="621">
        <f t="shared" si="90"/>
        <v>22135416.666666672</v>
      </c>
      <c r="J158" s="621">
        <f t="shared" si="90"/>
        <v>22135416.666666672</v>
      </c>
      <c r="K158" s="621">
        <f t="shared" si="90"/>
        <v>22135416.666666672</v>
      </c>
      <c r="L158" s="621">
        <f t="shared" si="90"/>
        <v>22135416.666666672</v>
      </c>
      <c r="M158" s="621">
        <f t="shared" si="90"/>
        <v>22135416.666666672</v>
      </c>
      <c r="N158" s="621">
        <f t="shared" si="90"/>
        <v>22135416.666666672</v>
      </c>
      <c r="O158" s="336"/>
      <c r="P158" s="337" t="s">
        <v>619</v>
      </c>
    </row>
    <row r="159" spans="4:16">
      <c r="D159" s="324" t="s">
        <v>902</v>
      </c>
      <c r="E159" s="621">
        <f t="shared" ref="E159:N159" si="91">finACVY2Q4</f>
        <v>32552083.333333328</v>
      </c>
      <c r="F159" s="621">
        <f t="shared" si="91"/>
        <v>32552083.333333328</v>
      </c>
      <c r="G159" s="621">
        <f t="shared" si="91"/>
        <v>32552083.333333328</v>
      </c>
      <c r="H159" s="621">
        <f t="shared" si="91"/>
        <v>32552083.333333328</v>
      </c>
      <c r="I159" s="621">
        <f t="shared" si="91"/>
        <v>32552083.333333328</v>
      </c>
      <c r="J159" s="621">
        <f t="shared" si="91"/>
        <v>32552083.333333328</v>
      </c>
      <c r="K159" s="621">
        <f t="shared" si="91"/>
        <v>32552083.333333328</v>
      </c>
      <c r="L159" s="621">
        <f t="shared" si="91"/>
        <v>32552083.333333328</v>
      </c>
      <c r="M159" s="621">
        <f t="shared" si="91"/>
        <v>32552083.333333328</v>
      </c>
      <c r="N159" s="621">
        <f t="shared" si="91"/>
        <v>32552083.333333328</v>
      </c>
      <c r="O159" s="336" t="s">
        <v>2117</v>
      </c>
      <c r="P159" s="337" t="s">
        <v>620</v>
      </c>
    </row>
    <row r="160" spans="4:16" ht="13.2" thickBot="1">
      <c r="D160" s="324" t="s">
        <v>1938</v>
      </c>
      <c r="E160" s="621">
        <f t="shared" ref="E160:N160" si="92">finACVTotalY2</f>
        <v>80729166.666666657</v>
      </c>
      <c r="F160" s="621">
        <f t="shared" si="92"/>
        <v>80729166.666666657</v>
      </c>
      <c r="G160" s="621">
        <f t="shared" si="92"/>
        <v>80729166.666666657</v>
      </c>
      <c r="H160" s="621">
        <f t="shared" si="92"/>
        <v>80729166.666666657</v>
      </c>
      <c r="I160" s="621">
        <f t="shared" si="92"/>
        <v>80729166.666666657</v>
      </c>
      <c r="J160" s="621">
        <f t="shared" si="92"/>
        <v>80729166.666666657</v>
      </c>
      <c r="K160" s="621">
        <f t="shared" si="92"/>
        <v>80729166.666666657</v>
      </c>
      <c r="L160" s="621">
        <f t="shared" si="92"/>
        <v>80729166.666666657</v>
      </c>
      <c r="M160" s="621">
        <f t="shared" si="92"/>
        <v>80729166.666666657</v>
      </c>
      <c r="N160" s="621">
        <f t="shared" si="92"/>
        <v>80729166.666666657</v>
      </c>
      <c r="O160" s="338">
        <v>6</v>
      </c>
      <c r="P160" s="339" t="s">
        <v>621</v>
      </c>
    </row>
    <row r="161" spans="4:16">
      <c r="D161" s="324"/>
      <c r="E161" s="246"/>
      <c r="F161" s="246"/>
      <c r="G161" s="246"/>
      <c r="H161" s="246"/>
      <c r="I161" s="246"/>
      <c r="J161" s="246"/>
      <c r="K161" s="246"/>
      <c r="L161" s="246"/>
      <c r="M161" s="246"/>
      <c r="N161" s="246"/>
      <c r="O161" s="336"/>
      <c r="P161" s="337"/>
    </row>
    <row r="162" spans="4:16">
      <c r="D162" s="324"/>
      <c r="E162" s="246"/>
      <c r="F162" s="246"/>
      <c r="G162" s="246"/>
      <c r="H162" s="246"/>
      <c r="I162" s="246"/>
      <c r="J162" s="246"/>
      <c r="K162" s="246"/>
      <c r="L162" s="246"/>
      <c r="M162" s="246"/>
      <c r="N162" s="246"/>
      <c r="O162" s="336"/>
      <c r="P162" s="337"/>
    </row>
    <row r="163" spans="4:16">
      <c r="D163" s="324"/>
      <c r="E163" s="246"/>
      <c r="F163" s="246"/>
      <c r="G163" s="246"/>
      <c r="H163" s="246"/>
      <c r="I163" s="246"/>
      <c r="J163" s="246"/>
      <c r="K163" s="246"/>
      <c r="L163" s="246"/>
      <c r="M163" s="246"/>
      <c r="N163" s="246"/>
      <c r="O163" s="336"/>
      <c r="P163" s="337"/>
    </row>
    <row r="164" spans="4:16">
      <c r="D164" s="324"/>
      <c r="E164" s="246"/>
      <c r="F164" s="246"/>
      <c r="G164" s="246"/>
      <c r="H164" s="246"/>
      <c r="I164" s="246"/>
      <c r="J164" s="246"/>
      <c r="K164" s="246"/>
      <c r="L164" s="246"/>
      <c r="M164" s="246"/>
      <c r="N164" s="246"/>
      <c r="O164" s="336"/>
      <c r="P164" s="337"/>
    </row>
    <row r="165" spans="4:16" ht="13.2" thickBot="1">
      <c r="D165" s="324"/>
      <c r="E165" s="246"/>
      <c r="F165" s="246"/>
      <c r="G165" s="246"/>
      <c r="H165" s="246"/>
      <c r="I165" s="246"/>
      <c r="J165" s="246"/>
      <c r="K165" s="246"/>
      <c r="L165" s="246"/>
      <c r="M165" s="246"/>
      <c r="N165" s="246"/>
      <c r="O165" s="338"/>
      <c r="P165" s="339"/>
    </row>
    <row r="167" spans="4:16">
      <c r="D167" s="638" t="s">
        <v>2191</v>
      </c>
      <c r="E167" s="333" t="str">
        <f t="shared" ref="E167:N167" si="93">E$23</f>
        <v>Snowflake (1)</v>
      </c>
      <c r="F167" s="333" t="str">
        <f t="shared" si="93"/>
        <v>Snowflake (2)</v>
      </c>
      <c r="G167" s="333" t="str">
        <f t="shared" si="93"/>
        <v>Snowflake (3)</v>
      </c>
      <c r="H167" s="333" t="str">
        <f t="shared" si="93"/>
        <v>Snowflake (4)</v>
      </c>
      <c r="I167" s="333" t="str">
        <f t="shared" si="93"/>
        <v>Snowflake (5)</v>
      </c>
      <c r="J167" s="333" t="str">
        <f t="shared" si="93"/>
        <v>Snowflake (6)</v>
      </c>
      <c r="K167" s="333" t="str">
        <f t="shared" si="93"/>
        <v>Snowflake (7)</v>
      </c>
      <c r="L167" s="333" t="str">
        <f t="shared" si="93"/>
        <v>Snowflake (8)</v>
      </c>
      <c r="M167" s="333" t="str">
        <f t="shared" si="93"/>
        <v>Snowflake (9)</v>
      </c>
      <c r="N167" s="333" t="str">
        <f t="shared" si="93"/>
        <v>Snowflake (10)</v>
      </c>
    </row>
    <row r="168" spans="4:16">
      <c r="D168" s="252" t="s">
        <v>3023</v>
      </c>
      <c r="E168" s="252">
        <f>LeagueDriver1*League!$C$7</f>
        <v>20</v>
      </c>
      <c r="F168" s="252">
        <f>LeagueDriver1*League!$C$7</f>
        <v>20</v>
      </c>
      <c r="G168" s="252">
        <f>LeagueDriver1*League!$C$7</f>
        <v>20</v>
      </c>
      <c r="H168" s="252">
        <f>LeagueDriver1*League!$C$7</f>
        <v>20</v>
      </c>
      <c r="I168" s="252">
        <f>LeagueDriver1*League!$C$7</f>
        <v>20</v>
      </c>
      <c r="J168" s="252">
        <f>LeagueDriver1*League!$C$7</f>
        <v>20</v>
      </c>
      <c r="K168" s="252">
        <f>LeagueDriver1*League!$C$7</f>
        <v>0</v>
      </c>
      <c r="L168" s="252">
        <f>LeagueDriver1*League!$C$7</f>
        <v>0</v>
      </c>
      <c r="M168" s="252">
        <f>LeagueDriver1*League!$C$7</f>
        <v>0</v>
      </c>
      <c r="N168" s="252">
        <f>LeagueDriver1*League!$C$7</f>
        <v>0</v>
      </c>
    </row>
    <row r="169" spans="4:16">
      <c r="D169" s="252" t="str">
        <f>TLInputV2MOMValue2</f>
        <v>Customer Satisfaction</v>
      </c>
      <c r="E169" s="252">
        <f>LeagueDriver3*League!$C$7</f>
        <v>20</v>
      </c>
      <c r="F169" s="252">
        <f>LeagueDriver3*League!$C$7</f>
        <v>20</v>
      </c>
      <c r="G169" s="252">
        <f>LeagueDriver3*League!$C$7</f>
        <v>20</v>
      </c>
      <c r="H169" s="252">
        <f>LeagueDriver3*League!$C$7</f>
        <v>20</v>
      </c>
      <c r="I169" s="252">
        <f>LeagueDriver3*League!$C$7</f>
        <v>20</v>
      </c>
      <c r="J169" s="252">
        <f>LeagueDriver3*League!$C$7</f>
        <v>20</v>
      </c>
      <c r="K169" s="252">
        <f>LeagueDriver3*League!$C$7</f>
        <v>0</v>
      </c>
      <c r="L169" s="252">
        <f>LeagueDriver3*League!$C$7</f>
        <v>0</v>
      </c>
      <c r="M169" s="252">
        <f>LeagueDriver3*League!$C$7</f>
        <v>0</v>
      </c>
      <c r="N169" s="252">
        <f>LeagueDriver3*League!$C$7</f>
        <v>0</v>
      </c>
    </row>
    <row r="170" spans="4:16">
      <c r="D170" s="252" t="str">
        <f>TLInputV2MOMValue3</f>
        <v>Employee Engagement</v>
      </c>
      <c r="E170" s="252">
        <f>LeagueDriver2*League!$C$7</f>
        <v>20</v>
      </c>
      <c r="F170" s="252">
        <f>LeagueDriver2*League!$C$7</f>
        <v>20</v>
      </c>
      <c r="G170" s="252">
        <f>LeagueDriver2*League!$C$7</f>
        <v>20</v>
      </c>
      <c r="H170" s="252">
        <f>LeagueDriver2*League!$C$7</f>
        <v>20</v>
      </c>
      <c r="I170" s="252">
        <f>LeagueDriver2*League!$C$7</f>
        <v>20</v>
      </c>
      <c r="J170" s="252">
        <f>LeagueDriver2*League!$C$7</f>
        <v>20</v>
      </c>
      <c r="K170" s="252">
        <f>LeagueDriver2*League!$C$7</f>
        <v>0</v>
      </c>
      <c r="L170" s="252">
        <f>LeagueDriver2*League!$C$7</f>
        <v>0</v>
      </c>
      <c r="M170" s="252">
        <f>LeagueDriver2*League!$C$7</f>
        <v>0</v>
      </c>
      <c r="N170" s="252">
        <f>LeagueDriver2*League!$C$7</f>
        <v>0</v>
      </c>
    </row>
    <row r="171" spans="4:16">
      <c r="D171" s="252" t="str">
        <f>TLInputV2MOMValue4</f>
        <v>Trust</v>
      </c>
      <c r="E171" s="252">
        <f>LeagueDriver4*League!$C$7</f>
        <v>20</v>
      </c>
      <c r="F171" s="252">
        <f>LeagueDriver4*League!$C$7</f>
        <v>20</v>
      </c>
      <c r="G171" s="252">
        <f>LeagueDriver4*League!$C$7</f>
        <v>20</v>
      </c>
      <c r="H171" s="252">
        <f>LeagueDriver4*League!$C$7</f>
        <v>20</v>
      </c>
      <c r="I171" s="252">
        <f>LeagueDriver4*League!$C$7</f>
        <v>20</v>
      </c>
      <c r="J171" s="252">
        <f>LeagueDriver4*League!$C$7</f>
        <v>20</v>
      </c>
      <c r="K171" s="252">
        <f>LeagueDriver4*League!$C$7</f>
        <v>0</v>
      </c>
      <c r="L171" s="252">
        <f>LeagueDriver4*League!$C$7</f>
        <v>0</v>
      </c>
      <c r="M171" s="252">
        <f>LeagueDriver4*League!$C$7</f>
        <v>0</v>
      </c>
      <c r="N171" s="252">
        <f>LeagueDriver4*League!$C$7</f>
        <v>0</v>
      </c>
    </row>
    <row r="172" spans="4:16">
      <c r="D172" s="252" t="s">
        <v>3037</v>
      </c>
      <c r="E172" s="252">
        <f>LeagueDriver5*League!$C$7</f>
        <v>20</v>
      </c>
      <c r="F172" s="252">
        <f>LeagueDriver5*League!$C$7</f>
        <v>20</v>
      </c>
      <c r="G172" s="252">
        <f>LeagueDriver5*League!$C$7</f>
        <v>20</v>
      </c>
      <c r="H172" s="252">
        <f>LeagueDriver5*League!$C$7</f>
        <v>20</v>
      </c>
      <c r="I172" s="252">
        <f>LeagueDriver5*League!$C$7</f>
        <v>20</v>
      </c>
      <c r="J172" s="252">
        <f>LeagueDriver5*League!$C$7</f>
        <v>20</v>
      </c>
      <c r="K172" s="252">
        <f>LeagueDriver5*League!$C$7</f>
        <v>0</v>
      </c>
      <c r="L172" s="252">
        <f>LeagueDriver5*League!$C$7</f>
        <v>0</v>
      </c>
      <c r="M172" s="252">
        <f>LeagueDriver5*League!$C$7</f>
        <v>0</v>
      </c>
      <c r="N172" s="252">
        <f>LeagueDriver5*League!$C$7</f>
        <v>0</v>
      </c>
    </row>
    <row r="173" spans="4:16">
      <c r="D173" s="252" t="s">
        <v>54</v>
      </c>
      <c r="E173" s="252">
        <f>SUM(E168:E172)</f>
        <v>100</v>
      </c>
      <c r="F173" s="252">
        <f t="shared" ref="F173:I173" si="94">SUM(F168:F172)</f>
        <v>100</v>
      </c>
      <c r="G173" s="252">
        <f t="shared" si="94"/>
        <v>100</v>
      </c>
      <c r="H173" s="252">
        <f t="shared" si="94"/>
        <v>100</v>
      </c>
      <c r="I173" s="252">
        <f t="shared" si="94"/>
        <v>100</v>
      </c>
      <c r="J173" s="252">
        <f t="shared" ref="J173:N173" si="95">SUM(J168:J172)</f>
        <v>100</v>
      </c>
      <c r="K173" s="252">
        <f t="shared" si="95"/>
        <v>0</v>
      </c>
      <c r="L173" s="252">
        <f t="shared" si="95"/>
        <v>0</v>
      </c>
      <c r="M173" s="252">
        <f t="shared" si="95"/>
        <v>0</v>
      </c>
      <c r="N173" s="252">
        <f t="shared" si="95"/>
        <v>0</v>
      </c>
    </row>
    <row r="174" spans="4:16">
      <c r="D174" s="638" t="s">
        <v>2152</v>
      </c>
      <c r="E174" s="333" t="str">
        <f t="shared" ref="E174:N174" si="96">E$23</f>
        <v>Snowflake (1)</v>
      </c>
      <c r="F174" s="333" t="str">
        <f t="shared" si="96"/>
        <v>Snowflake (2)</v>
      </c>
      <c r="G174" s="333" t="str">
        <f t="shared" si="96"/>
        <v>Snowflake (3)</v>
      </c>
      <c r="H174" s="333" t="str">
        <f t="shared" si="96"/>
        <v>Snowflake (4)</v>
      </c>
      <c r="I174" s="333" t="str">
        <f t="shared" si="96"/>
        <v>Snowflake (5)</v>
      </c>
      <c r="J174" s="333" t="str">
        <f t="shared" si="96"/>
        <v>Snowflake (6)</v>
      </c>
      <c r="K174" s="333" t="str">
        <f t="shared" si="96"/>
        <v>Snowflake (7)</v>
      </c>
      <c r="L174" s="333" t="str">
        <f t="shared" si="96"/>
        <v>Snowflake (8)</v>
      </c>
      <c r="M174" s="333" t="str">
        <f t="shared" si="96"/>
        <v>Snowflake (9)</v>
      </c>
      <c r="N174" s="333" t="str">
        <f t="shared" si="96"/>
        <v>Snowflake (10)</v>
      </c>
    </row>
    <row r="175" spans="4:16">
      <c r="D175" s="252" t="str">
        <f>TLInputV2MOMValue1</f>
        <v>Revenue Growth</v>
      </c>
      <c r="E175" s="716">
        <f t="shared" ref="E175:N175" si="97">RANK(LeagueDriver1Weighted,LeagueDriver1Weighted,0)</f>
        <v>1</v>
      </c>
      <c r="F175" s="716">
        <f t="shared" si="97"/>
        <v>2</v>
      </c>
      <c r="G175" s="716">
        <f t="shared" si="97"/>
        <v>3</v>
      </c>
      <c r="H175" s="716">
        <f t="shared" si="97"/>
        <v>4</v>
      </c>
      <c r="I175" s="716">
        <f t="shared" si="97"/>
        <v>5</v>
      </c>
      <c r="J175" s="716">
        <f t="shared" si="97"/>
        <v>6</v>
      </c>
      <c r="K175" s="716">
        <f t="shared" si="97"/>
        <v>7</v>
      </c>
      <c r="L175" s="716">
        <f t="shared" si="97"/>
        <v>8</v>
      </c>
      <c r="M175" s="716">
        <f t="shared" si="97"/>
        <v>9</v>
      </c>
      <c r="N175" s="716">
        <f t="shared" si="97"/>
        <v>10</v>
      </c>
    </row>
    <row r="176" spans="4:16">
      <c r="D176" s="252" t="str">
        <f>TLInputV2MOMValue2</f>
        <v>Customer Satisfaction</v>
      </c>
      <c r="E176" s="716">
        <f t="shared" ref="E176:N176" si="98">RANK(LeagueDriver3Weighted,LeagueDriver3Weighted,0)</f>
        <v>1</v>
      </c>
      <c r="F176" s="716">
        <f t="shared" si="98"/>
        <v>2</v>
      </c>
      <c r="G176" s="716">
        <f t="shared" si="98"/>
        <v>3</v>
      </c>
      <c r="H176" s="716">
        <f t="shared" si="98"/>
        <v>4</v>
      </c>
      <c r="I176" s="716">
        <f t="shared" si="98"/>
        <v>5</v>
      </c>
      <c r="J176" s="716">
        <f t="shared" si="98"/>
        <v>6</v>
      </c>
      <c r="K176" s="716">
        <f t="shared" si="98"/>
        <v>7</v>
      </c>
      <c r="L176" s="716">
        <f t="shared" si="98"/>
        <v>8</v>
      </c>
      <c r="M176" s="716">
        <f t="shared" si="98"/>
        <v>9</v>
      </c>
      <c r="N176" s="716">
        <f t="shared" si="98"/>
        <v>10</v>
      </c>
    </row>
    <row r="177" spans="4:16">
      <c r="D177" s="252" t="str">
        <f>TLInputV2MOMValue3</f>
        <v>Employee Engagement</v>
      </c>
      <c r="E177" s="716">
        <f t="shared" ref="E177:N177" si="99">RANK(LeagueDriver2Weighted,LeagueDriver2Weighted,0)</f>
        <v>1</v>
      </c>
      <c r="F177" s="716">
        <f t="shared" si="99"/>
        <v>2</v>
      </c>
      <c r="G177" s="716">
        <f t="shared" si="99"/>
        <v>3</v>
      </c>
      <c r="H177" s="716">
        <f t="shared" si="99"/>
        <v>4</v>
      </c>
      <c r="I177" s="716">
        <f t="shared" si="99"/>
        <v>5</v>
      </c>
      <c r="J177" s="716">
        <f t="shared" si="99"/>
        <v>6</v>
      </c>
      <c r="K177" s="716">
        <f t="shared" si="99"/>
        <v>7</v>
      </c>
      <c r="L177" s="716">
        <f t="shared" si="99"/>
        <v>8</v>
      </c>
      <c r="M177" s="716">
        <f t="shared" si="99"/>
        <v>9</v>
      </c>
      <c r="N177" s="716">
        <f t="shared" si="99"/>
        <v>10</v>
      </c>
    </row>
    <row r="178" spans="4:16">
      <c r="D178" s="252" t="str">
        <f>TLInputV2MOMValue4</f>
        <v>Trust</v>
      </c>
      <c r="E178" s="716">
        <f t="shared" ref="E178:N178" si="100">RANK(LeagueDriver4Weighted,LeagueDriver4Weighted,0)</f>
        <v>1</v>
      </c>
      <c r="F178" s="716">
        <f t="shared" si="100"/>
        <v>2</v>
      </c>
      <c r="G178" s="716">
        <f t="shared" si="100"/>
        <v>3</v>
      </c>
      <c r="H178" s="716">
        <f t="shared" si="100"/>
        <v>4</v>
      </c>
      <c r="I178" s="716">
        <f t="shared" si="100"/>
        <v>5</v>
      </c>
      <c r="J178" s="716">
        <f t="shared" si="100"/>
        <v>6</v>
      </c>
      <c r="K178" s="716">
        <f t="shared" si="100"/>
        <v>7</v>
      </c>
      <c r="L178" s="716">
        <f t="shared" si="100"/>
        <v>8</v>
      </c>
      <c r="M178" s="716">
        <f t="shared" si="100"/>
        <v>9</v>
      </c>
      <c r="N178" s="716">
        <f t="shared" si="100"/>
        <v>10</v>
      </c>
    </row>
    <row r="179" spans="4:16">
      <c r="D179" s="252" t="s">
        <v>3037</v>
      </c>
      <c r="E179" s="716">
        <f t="shared" ref="E179:N179" si="101">RANK(LeagueDriver5Weighted,LeagueDriver5Weighted,0)</f>
        <v>1</v>
      </c>
      <c r="F179" s="716">
        <f t="shared" si="101"/>
        <v>2</v>
      </c>
      <c r="G179" s="716">
        <f t="shared" si="101"/>
        <v>3</v>
      </c>
      <c r="H179" s="716">
        <f t="shared" si="101"/>
        <v>4</v>
      </c>
      <c r="I179" s="716">
        <f t="shared" si="101"/>
        <v>5</v>
      </c>
      <c r="J179" s="716">
        <f t="shared" si="101"/>
        <v>6</v>
      </c>
      <c r="K179" s="716">
        <f t="shared" si="101"/>
        <v>7</v>
      </c>
      <c r="L179" s="716">
        <f t="shared" si="101"/>
        <v>8</v>
      </c>
      <c r="M179" s="716">
        <f t="shared" si="101"/>
        <v>9</v>
      </c>
      <c r="N179" s="716">
        <f t="shared" si="101"/>
        <v>10</v>
      </c>
    </row>
    <row r="180" spans="4:16">
      <c r="D180" s="252" t="s">
        <v>54</v>
      </c>
      <c r="E180" s="252">
        <f t="shared" ref="E180:N180" si="102">RANK(League_TotalScore,League_TotalScore,0)</f>
        <v>1</v>
      </c>
      <c r="F180" s="252">
        <f t="shared" si="102"/>
        <v>2</v>
      </c>
      <c r="G180" s="252">
        <f t="shared" si="102"/>
        <v>3</v>
      </c>
      <c r="H180" s="252">
        <f t="shared" si="102"/>
        <v>4</v>
      </c>
      <c r="I180" s="252">
        <f t="shared" si="102"/>
        <v>5</v>
      </c>
      <c r="J180" s="252">
        <f t="shared" si="102"/>
        <v>6</v>
      </c>
      <c r="K180" s="252">
        <f t="shared" si="102"/>
        <v>7</v>
      </c>
      <c r="L180" s="252">
        <f t="shared" si="102"/>
        <v>8</v>
      </c>
      <c r="M180" s="252">
        <f t="shared" si="102"/>
        <v>9</v>
      </c>
      <c r="N180" s="252">
        <f t="shared" si="102"/>
        <v>10</v>
      </c>
    </row>
    <row r="181" spans="4:16">
      <c r="D181" s="638" t="s">
        <v>2191</v>
      </c>
      <c r="E181" s="333" t="str">
        <f t="shared" ref="E181:N181" si="103">E$23</f>
        <v>Snowflake (1)</v>
      </c>
      <c r="F181" s="333" t="str">
        <f t="shared" si="103"/>
        <v>Snowflake (2)</v>
      </c>
      <c r="G181" s="333" t="str">
        <f t="shared" si="103"/>
        <v>Snowflake (3)</v>
      </c>
      <c r="H181" s="333" t="str">
        <f t="shared" si="103"/>
        <v>Snowflake (4)</v>
      </c>
      <c r="I181" s="333" t="str">
        <f t="shared" si="103"/>
        <v>Snowflake (5)</v>
      </c>
      <c r="J181" s="333" t="str">
        <f t="shared" si="103"/>
        <v>Snowflake (6)</v>
      </c>
      <c r="K181" s="333" t="str">
        <f t="shared" si="103"/>
        <v>Snowflake (7)</v>
      </c>
      <c r="L181" s="333" t="str">
        <f t="shared" si="103"/>
        <v>Snowflake (8)</v>
      </c>
      <c r="M181" s="333" t="str">
        <f t="shared" si="103"/>
        <v>Snowflake (9)</v>
      </c>
      <c r="N181" s="333" t="str">
        <f t="shared" si="103"/>
        <v>Snowflake (10)</v>
      </c>
    </row>
    <row r="182" spans="4:16">
      <c r="D182" s="252" t="s">
        <v>3023</v>
      </c>
      <c r="E182" s="716">
        <f t="shared" ref="E182:N182" si="104">RANK(LeagueDriver1,LeagueDriver1,0)</f>
        <v>1</v>
      </c>
      <c r="F182" s="716">
        <f t="shared" si="104"/>
        <v>1</v>
      </c>
      <c r="G182" s="716">
        <f t="shared" si="104"/>
        <v>1</v>
      </c>
      <c r="H182" s="716">
        <f t="shared" si="104"/>
        <v>1</v>
      </c>
      <c r="I182" s="716">
        <f t="shared" si="104"/>
        <v>1</v>
      </c>
      <c r="J182" s="716">
        <f t="shared" si="104"/>
        <v>1</v>
      </c>
      <c r="K182" s="716">
        <f t="shared" si="104"/>
        <v>7</v>
      </c>
      <c r="L182" s="716">
        <f t="shared" si="104"/>
        <v>7</v>
      </c>
      <c r="M182" s="716">
        <f t="shared" si="104"/>
        <v>7</v>
      </c>
      <c r="N182" s="716">
        <f t="shared" si="104"/>
        <v>7</v>
      </c>
    </row>
    <row r="183" spans="4:16">
      <c r="D183" s="252" t="str">
        <f>TLInputV2MOMValue2</f>
        <v>Customer Satisfaction</v>
      </c>
      <c r="E183" s="716">
        <f t="shared" ref="E183:N183" si="105">RANK(LeagueDriver3,LeagueDriver3,0)</f>
        <v>1</v>
      </c>
      <c r="F183" s="716">
        <f t="shared" si="105"/>
        <v>1</v>
      </c>
      <c r="G183" s="716">
        <f t="shared" si="105"/>
        <v>1</v>
      </c>
      <c r="H183" s="716">
        <f t="shared" si="105"/>
        <v>1</v>
      </c>
      <c r="I183" s="716">
        <f t="shared" si="105"/>
        <v>1</v>
      </c>
      <c r="J183" s="716">
        <f t="shared" si="105"/>
        <v>1</v>
      </c>
      <c r="K183" s="716">
        <f t="shared" si="105"/>
        <v>7</v>
      </c>
      <c r="L183" s="716">
        <f t="shared" si="105"/>
        <v>7</v>
      </c>
      <c r="M183" s="716">
        <f t="shared" si="105"/>
        <v>7</v>
      </c>
      <c r="N183" s="716">
        <f t="shared" si="105"/>
        <v>7</v>
      </c>
    </row>
    <row r="184" spans="4:16">
      <c r="D184" s="252" t="str">
        <f>TLInputV2MOMValue3</f>
        <v>Employee Engagement</v>
      </c>
      <c r="E184" s="716">
        <f t="shared" ref="E184:N184" si="106">RANK(LeagueDriver2,LeagueDriver2,0)</f>
        <v>1</v>
      </c>
      <c r="F184" s="716">
        <f t="shared" si="106"/>
        <v>1</v>
      </c>
      <c r="G184" s="716">
        <f t="shared" si="106"/>
        <v>1</v>
      </c>
      <c r="H184" s="716">
        <f t="shared" si="106"/>
        <v>1</v>
      </c>
      <c r="I184" s="716">
        <f t="shared" si="106"/>
        <v>1</v>
      </c>
      <c r="J184" s="716">
        <f t="shared" si="106"/>
        <v>1</v>
      </c>
      <c r="K184" s="716">
        <f t="shared" si="106"/>
        <v>7</v>
      </c>
      <c r="L184" s="716">
        <f t="shared" si="106"/>
        <v>7</v>
      </c>
      <c r="M184" s="716">
        <f t="shared" si="106"/>
        <v>7</v>
      </c>
      <c r="N184" s="716">
        <f t="shared" si="106"/>
        <v>7</v>
      </c>
    </row>
    <row r="185" spans="4:16">
      <c r="D185" s="252" t="str">
        <f>TLInputV2MOMValue4</f>
        <v>Trust</v>
      </c>
      <c r="E185" s="716">
        <f t="shared" ref="E185:N185" si="107">RANK(LeagueDriver4,LeagueDriver4,0)</f>
        <v>1</v>
      </c>
      <c r="F185" s="716">
        <f t="shared" si="107"/>
        <v>1</v>
      </c>
      <c r="G185" s="716">
        <f t="shared" si="107"/>
        <v>1</v>
      </c>
      <c r="H185" s="716">
        <f t="shared" si="107"/>
        <v>1</v>
      </c>
      <c r="I185" s="716">
        <f t="shared" si="107"/>
        <v>1</v>
      </c>
      <c r="J185" s="716">
        <f t="shared" si="107"/>
        <v>1</v>
      </c>
      <c r="K185" s="716">
        <f t="shared" si="107"/>
        <v>7</v>
      </c>
      <c r="L185" s="716">
        <f t="shared" si="107"/>
        <v>7</v>
      </c>
      <c r="M185" s="716">
        <f t="shared" si="107"/>
        <v>7</v>
      </c>
      <c r="N185" s="716">
        <f t="shared" si="107"/>
        <v>7</v>
      </c>
    </row>
    <row r="186" spans="4:16">
      <c r="D186" s="252" t="s">
        <v>3037</v>
      </c>
      <c r="E186" s="716">
        <f t="shared" ref="E186:N186" si="108">RANK(LeagueDriver5,LeagueDriver5,0)</f>
        <v>1</v>
      </c>
      <c r="F186" s="716">
        <f t="shared" si="108"/>
        <v>1</v>
      </c>
      <c r="G186" s="716">
        <f t="shared" si="108"/>
        <v>1</v>
      </c>
      <c r="H186" s="716">
        <f t="shared" si="108"/>
        <v>1</v>
      </c>
      <c r="I186" s="716">
        <f t="shared" si="108"/>
        <v>1</v>
      </c>
      <c r="J186" s="716">
        <f t="shared" si="108"/>
        <v>1</v>
      </c>
      <c r="K186" s="716">
        <f t="shared" si="108"/>
        <v>7</v>
      </c>
      <c r="L186" s="716">
        <f t="shared" si="108"/>
        <v>7</v>
      </c>
      <c r="M186" s="716">
        <f t="shared" si="108"/>
        <v>7</v>
      </c>
      <c r="N186" s="716">
        <f t="shared" si="108"/>
        <v>7</v>
      </c>
    </row>
    <row r="187" spans="4:16" ht="13.2" thickBot="1">
      <c r="D187" s="252" t="s">
        <v>54</v>
      </c>
      <c r="E187" s="716">
        <f>RANK(E173,$E$173:$N$173,0)</f>
        <v>1</v>
      </c>
      <c r="F187" s="716">
        <f t="shared" ref="F187:N187" si="109">RANK(F173,$E$173:$N$173,0)</f>
        <v>1</v>
      </c>
      <c r="G187" s="716">
        <f t="shared" si="109"/>
        <v>1</v>
      </c>
      <c r="H187" s="716">
        <f t="shared" si="109"/>
        <v>1</v>
      </c>
      <c r="I187" s="716">
        <f t="shared" si="109"/>
        <v>1</v>
      </c>
      <c r="J187" s="716">
        <f t="shared" si="109"/>
        <v>1</v>
      </c>
      <c r="K187" s="716">
        <f t="shared" si="109"/>
        <v>7</v>
      </c>
      <c r="L187" s="716">
        <f t="shared" si="109"/>
        <v>7</v>
      </c>
      <c r="M187" s="716">
        <f t="shared" si="109"/>
        <v>7</v>
      </c>
      <c r="N187" s="716">
        <f t="shared" si="109"/>
        <v>7</v>
      </c>
    </row>
    <row r="188" spans="4:16">
      <c r="E188" s="333" t="str">
        <f t="shared" ref="E188:N188" si="110">E$23</f>
        <v>Snowflake (1)</v>
      </c>
      <c r="F188" s="333" t="str">
        <f t="shared" si="110"/>
        <v>Snowflake (2)</v>
      </c>
      <c r="G188" s="333" t="str">
        <f t="shared" si="110"/>
        <v>Snowflake (3)</v>
      </c>
      <c r="H188" s="333" t="str">
        <f t="shared" si="110"/>
        <v>Snowflake (4)</v>
      </c>
      <c r="I188" s="333" t="str">
        <f t="shared" si="110"/>
        <v>Snowflake (5)</v>
      </c>
      <c r="J188" s="333" t="str">
        <f t="shared" si="110"/>
        <v>Snowflake (6)</v>
      </c>
      <c r="K188" s="333" t="str">
        <f t="shared" si="110"/>
        <v>Snowflake (7)</v>
      </c>
      <c r="L188" s="333" t="str">
        <f t="shared" si="110"/>
        <v>Snowflake (8)</v>
      </c>
      <c r="M188" s="333" t="str">
        <f t="shared" si="110"/>
        <v>Snowflake (9)</v>
      </c>
      <c r="N188" s="333" t="str">
        <f t="shared" si="110"/>
        <v>Snowflake (10)</v>
      </c>
      <c r="O188" s="334" t="s">
        <v>604</v>
      </c>
      <c r="P188" s="335" t="s">
        <v>617</v>
      </c>
    </row>
    <row r="189" spans="4:16">
      <c r="D189" s="324" t="s">
        <v>2209</v>
      </c>
      <c r="E189" s="621">
        <f t="shared" ref="E189:N189" si="111">calcFullIntegrationCosts</f>
        <v>0</v>
      </c>
      <c r="F189" s="621">
        <f t="shared" si="111"/>
        <v>0</v>
      </c>
      <c r="G189" s="621">
        <f t="shared" si="111"/>
        <v>0</v>
      </c>
      <c r="H189" s="621">
        <f t="shared" si="111"/>
        <v>0</v>
      </c>
      <c r="I189" s="621">
        <f t="shared" si="111"/>
        <v>0</v>
      </c>
      <c r="J189" s="621">
        <f t="shared" si="111"/>
        <v>0</v>
      </c>
      <c r="K189" s="621">
        <f t="shared" si="111"/>
        <v>0</v>
      </c>
      <c r="L189" s="621">
        <f t="shared" si="111"/>
        <v>0</v>
      </c>
      <c r="M189" s="621">
        <f t="shared" si="111"/>
        <v>0</v>
      </c>
      <c r="N189" s="621">
        <f t="shared" si="111"/>
        <v>0</v>
      </c>
      <c r="O189" s="336"/>
      <c r="P189" s="337" t="s">
        <v>58</v>
      </c>
    </row>
    <row r="190" spans="4:16">
      <c r="D190" s="324" t="s">
        <v>2210</v>
      </c>
      <c r="E190" s="621">
        <f t="shared" ref="E190:N190" si="112">calcFullIntegrationCostsY2</f>
        <v>0</v>
      </c>
      <c r="F190" s="621">
        <f t="shared" si="112"/>
        <v>0</v>
      </c>
      <c r="G190" s="621">
        <f t="shared" si="112"/>
        <v>0</v>
      </c>
      <c r="H190" s="621">
        <f t="shared" si="112"/>
        <v>0</v>
      </c>
      <c r="I190" s="621">
        <f t="shared" si="112"/>
        <v>0</v>
      </c>
      <c r="J190" s="621">
        <f t="shared" si="112"/>
        <v>0</v>
      </c>
      <c r="K190" s="621">
        <f t="shared" si="112"/>
        <v>0</v>
      </c>
      <c r="L190" s="621">
        <f t="shared" si="112"/>
        <v>0</v>
      </c>
      <c r="M190" s="621">
        <f t="shared" si="112"/>
        <v>0</v>
      </c>
      <c r="N190" s="621">
        <f t="shared" si="112"/>
        <v>0</v>
      </c>
      <c r="O190" s="336"/>
      <c r="P190" s="337" t="s">
        <v>618</v>
      </c>
    </row>
    <row r="191" spans="4:16">
      <c r="D191" s="324"/>
      <c r="E191" s="621"/>
      <c r="F191" s="621"/>
      <c r="G191" s="621"/>
      <c r="H191" s="621"/>
      <c r="I191" s="621"/>
      <c r="J191" s="621"/>
      <c r="K191" s="621"/>
      <c r="L191" s="621"/>
      <c r="M191" s="621"/>
      <c r="N191" s="621"/>
      <c r="O191" s="336"/>
      <c r="P191" s="337" t="s">
        <v>619</v>
      </c>
    </row>
    <row r="192" spans="4:16">
      <c r="D192" s="324"/>
      <c r="E192" s="621"/>
      <c r="F192" s="621"/>
      <c r="G192" s="621"/>
      <c r="H192" s="621"/>
      <c r="I192" s="621"/>
      <c r="J192" s="621"/>
      <c r="K192" s="621"/>
      <c r="L192" s="621"/>
      <c r="M192" s="621"/>
      <c r="N192" s="621"/>
      <c r="O192" s="336" t="s">
        <v>2009</v>
      </c>
      <c r="P192" s="337" t="s">
        <v>620</v>
      </c>
    </row>
    <row r="193" spans="4:16" ht="13.2" thickBot="1">
      <c r="D193" s="324"/>
      <c r="E193" s="246"/>
      <c r="F193" s="246"/>
      <c r="G193" s="246"/>
      <c r="H193" s="246"/>
      <c r="I193" s="246"/>
      <c r="J193" s="246"/>
      <c r="K193" s="246"/>
      <c r="L193" s="246"/>
      <c r="M193" s="246"/>
      <c r="N193" s="246"/>
      <c r="O193" s="338">
        <v>5</v>
      </c>
      <c r="P193" s="339" t="s">
        <v>621</v>
      </c>
    </row>
    <row r="195" spans="4:16">
      <c r="D195" s="638" t="s">
        <v>2243</v>
      </c>
      <c r="E195" s="333" t="str">
        <f t="shared" ref="E195:N195" si="113">E$23</f>
        <v>Snowflake (1)</v>
      </c>
      <c r="F195" s="333" t="str">
        <f t="shared" si="113"/>
        <v>Snowflake (2)</v>
      </c>
      <c r="G195" s="333" t="str">
        <f t="shared" si="113"/>
        <v>Snowflake (3)</v>
      </c>
      <c r="H195" s="333" t="str">
        <f t="shared" si="113"/>
        <v>Snowflake (4)</v>
      </c>
      <c r="I195" s="333" t="str">
        <f t="shared" si="113"/>
        <v>Snowflake (5)</v>
      </c>
      <c r="J195" s="333" t="str">
        <f t="shared" si="113"/>
        <v>Snowflake (6)</v>
      </c>
      <c r="K195" s="333" t="str">
        <f t="shared" si="113"/>
        <v>Snowflake (7)</v>
      </c>
      <c r="L195" s="333" t="str">
        <f t="shared" si="113"/>
        <v>Snowflake (8)</v>
      </c>
      <c r="M195" s="333" t="str">
        <f t="shared" si="113"/>
        <v>Snowflake (9)</v>
      </c>
      <c r="N195" s="333" t="str">
        <f t="shared" si="113"/>
        <v>Snowflake (10)</v>
      </c>
    </row>
    <row r="196" spans="4:16" s="638" customFormat="1">
      <c r="D196" s="638" t="s">
        <v>1153</v>
      </c>
    </row>
    <row r="197" spans="4:16">
      <c r="D197" s="252" t="s">
        <v>2244</v>
      </c>
      <c r="E197" s="252" t="b">
        <v>0</v>
      </c>
      <c r="F197" s="252" t="b">
        <v>0</v>
      </c>
      <c r="G197" s="252" t="b">
        <v>0</v>
      </c>
      <c r="H197" s="252" t="b">
        <v>0</v>
      </c>
      <c r="I197" s="252" t="b">
        <v>0</v>
      </c>
      <c r="J197" s="252" t="b">
        <v>0</v>
      </c>
      <c r="K197" s="252" t="b">
        <v>0</v>
      </c>
      <c r="L197" s="252" t="b">
        <v>0</v>
      </c>
      <c r="M197" s="252" t="b">
        <v>0</v>
      </c>
      <c r="N197" s="252" t="b">
        <v>0</v>
      </c>
    </row>
    <row r="198" spans="4:16" s="638" customFormat="1">
      <c r="D198" s="638" t="s">
        <v>2032</v>
      </c>
      <c r="E198" s="638">
        <f t="shared" ref="E198:N198" si="114">RANK(cbalExecutionVelocity,cbalExecutionVelocity,1)</f>
        <v>1</v>
      </c>
      <c r="F198" s="638">
        <f t="shared" si="114"/>
        <v>1</v>
      </c>
      <c r="G198" s="638">
        <f t="shared" si="114"/>
        <v>1</v>
      </c>
      <c r="H198" s="638">
        <f t="shared" si="114"/>
        <v>1</v>
      </c>
      <c r="I198" s="638">
        <f t="shared" si="114"/>
        <v>1</v>
      </c>
      <c r="J198" s="638">
        <f t="shared" si="114"/>
        <v>1</v>
      </c>
      <c r="K198" s="638">
        <f t="shared" si="114"/>
        <v>1</v>
      </c>
      <c r="L198" s="638">
        <f t="shared" si="114"/>
        <v>1</v>
      </c>
      <c r="M198" s="638">
        <f t="shared" si="114"/>
        <v>1</v>
      </c>
      <c r="N198" s="638">
        <f t="shared" si="114"/>
        <v>1</v>
      </c>
    </row>
    <row r="199" spans="4:16">
      <c r="D199" s="252" t="s">
        <v>2244</v>
      </c>
      <c r="E199" s="252" t="b">
        <f>E198=LARGE($E198:$N198,1)</f>
        <v>1</v>
      </c>
      <c r="F199" s="252" t="b">
        <f t="shared" ref="F199:N199" si="115">F198=LARGE($E198:$N198,1)</f>
        <v>1</v>
      </c>
      <c r="G199" s="252" t="b">
        <f t="shared" si="115"/>
        <v>1</v>
      </c>
      <c r="H199" s="252" t="b">
        <f t="shared" si="115"/>
        <v>1</v>
      </c>
      <c r="I199" s="252" t="b">
        <f t="shared" si="115"/>
        <v>1</v>
      </c>
      <c r="J199" s="252" t="b">
        <f t="shared" si="115"/>
        <v>1</v>
      </c>
      <c r="K199" s="252" t="b">
        <f t="shared" si="115"/>
        <v>1</v>
      </c>
      <c r="L199" s="252" t="b">
        <f t="shared" si="115"/>
        <v>1</v>
      </c>
      <c r="M199" s="252" t="b">
        <f t="shared" si="115"/>
        <v>1</v>
      </c>
      <c r="N199" s="252" t="b">
        <f t="shared" si="115"/>
        <v>1</v>
      </c>
    </row>
    <row r="201" spans="4:16">
      <c r="D201" s="638" t="s">
        <v>7</v>
      </c>
    </row>
    <row r="202" spans="4:16">
      <c r="D202" s="252" t="s">
        <v>480</v>
      </c>
      <c r="E202" s="252" t="str">
        <f t="shared" ref="E202:N202" si="116">decV2MOMVision</f>
        <v>Write your vision statement here.</v>
      </c>
      <c r="F202" s="252" t="str">
        <f t="shared" si="116"/>
        <v>Write your vision statement here.</v>
      </c>
      <c r="G202" s="252" t="str">
        <f t="shared" si="116"/>
        <v>Write your vision statement here.</v>
      </c>
      <c r="H202" s="252" t="str">
        <f t="shared" si="116"/>
        <v>Write your vision statement here.</v>
      </c>
      <c r="I202" s="252" t="str">
        <f t="shared" si="116"/>
        <v>Write your vision statement here.</v>
      </c>
      <c r="J202" s="252" t="str">
        <f t="shared" si="116"/>
        <v>Write your vision statement here.</v>
      </c>
      <c r="K202" s="252" t="str">
        <f t="shared" si="116"/>
        <v>Write your vision statement here.</v>
      </c>
      <c r="L202" s="252" t="str">
        <f t="shared" si="116"/>
        <v>Write your vision statement here.</v>
      </c>
      <c r="M202" s="252" t="str">
        <f t="shared" si="116"/>
        <v>Write your vision statement here.</v>
      </c>
      <c r="N202" s="252" t="str">
        <f t="shared" si="116"/>
        <v>Write your vision statement here.</v>
      </c>
    </row>
    <row r="203" spans="4:16">
      <c r="D203" s="252" t="s">
        <v>397</v>
      </c>
      <c r="E203" s="754">
        <f t="shared" ref="E203:N203" si="117">decV2MOMValue1Rank</f>
        <v>0.2</v>
      </c>
      <c r="F203" s="754">
        <f t="shared" si="117"/>
        <v>0.2</v>
      </c>
      <c r="G203" s="754">
        <f t="shared" si="117"/>
        <v>0.2</v>
      </c>
      <c r="H203" s="754">
        <f t="shared" si="117"/>
        <v>0.2</v>
      </c>
      <c r="I203" s="754">
        <f t="shared" si="117"/>
        <v>0.2</v>
      </c>
      <c r="J203" s="754">
        <f t="shared" si="117"/>
        <v>0.2</v>
      </c>
      <c r="K203" s="754">
        <f t="shared" si="117"/>
        <v>0.2</v>
      </c>
      <c r="L203" s="754">
        <f t="shared" si="117"/>
        <v>0.2</v>
      </c>
      <c r="M203" s="754">
        <f t="shared" si="117"/>
        <v>0.2</v>
      </c>
      <c r="N203" s="754">
        <f t="shared" si="117"/>
        <v>0.2</v>
      </c>
    </row>
    <row r="204" spans="4:16">
      <c r="D204" s="252" t="s">
        <v>384</v>
      </c>
      <c r="E204" s="252" t="str">
        <f t="shared" ref="E204:N204" si="118">decV2MOMValue1Desc</f>
        <v>Insert rationale.</v>
      </c>
      <c r="F204" s="252" t="str">
        <f t="shared" si="118"/>
        <v>Insert rationale.</v>
      </c>
      <c r="G204" s="252" t="str">
        <f t="shared" si="118"/>
        <v>Insert rationale.</v>
      </c>
      <c r="H204" s="252" t="str">
        <f t="shared" si="118"/>
        <v>Insert rationale.</v>
      </c>
      <c r="I204" s="252" t="str">
        <f t="shared" si="118"/>
        <v>Insert rationale.</v>
      </c>
      <c r="J204" s="252" t="str">
        <f t="shared" si="118"/>
        <v>Insert rationale.</v>
      </c>
      <c r="K204" s="252" t="str">
        <f t="shared" si="118"/>
        <v>Insert rationale.</v>
      </c>
      <c r="L204" s="252" t="str">
        <f t="shared" si="118"/>
        <v>Insert rationale.</v>
      </c>
      <c r="M204" s="252" t="str">
        <f t="shared" si="118"/>
        <v>Insert rationale.</v>
      </c>
      <c r="N204" s="252" t="str">
        <f t="shared" si="118"/>
        <v>Insert rationale.</v>
      </c>
    </row>
    <row r="205" spans="4:16">
      <c r="D205" s="252" t="s">
        <v>1942</v>
      </c>
      <c r="E205" s="755">
        <f t="shared" ref="E205:N205" si="119">decV2MOMValue2Rank</f>
        <v>0.2</v>
      </c>
      <c r="F205" s="755">
        <f t="shared" si="119"/>
        <v>0.2</v>
      </c>
      <c r="G205" s="755">
        <f t="shared" si="119"/>
        <v>0.2</v>
      </c>
      <c r="H205" s="755">
        <f t="shared" si="119"/>
        <v>0.2</v>
      </c>
      <c r="I205" s="755">
        <f t="shared" si="119"/>
        <v>0.2</v>
      </c>
      <c r="J205" s="755">
        <f t="shared" si="119"/>
        <v>0.2</v>
      </c>
      <c r="K205" s="755">
        <f t="shared" si="119"/>
        <v>0.2</v>
      </c>
      <c r="L205" s="755">
        <f t="shared" si="119"/>
        <v>0.2</v>
      </c>
      <c r="M205" s="755">
        <f t="shared" si="119"/>
        <v>0.2</v>
      </c>
      <c r="N205" s="755">
        <f t="shared" si="119"/>
        <v>0.2</v>
      </c>
    </row>
    <row r="206" spans="4:16">
      <c r="D206" s="252" t="s">
        <v>384</v>
      </c>
      <c r="E206" s="252" t="str">
        <f t="shared" ref="E206:N206" si="120">decV2MOMValue2Desc</f>
        <v>Insert rationale.</v>
      </c>
      <c r="F206" s="252" t="str">
        <f t="shared" si="120"/>
        <v>Insert rationale.</v>
      </c>
      <c r="G206" s="252" t="str">
        <f t="shared" si="120"/>
        <v>Insert rationale.</v>
      </c>
      <c r="H206" s="252" t="str">
        <f t="shared" si="120"/>
        <v>Insert rationale.</v>
      </c>
      <c r="I206" s="252" t="str">
        <f t="shared" si="120"/>
        <v>Insert rationale.</v>
      </c>
      <c r="J206" s="252" t="str">
        <f t="shared" si="120"/>
        <v>Insert rationale.</v>
      </c>
      <c r="K206" s="252" t="str">
        <f t="shared" si="120"/>
        <v>Insert rationale.</v>
      </c>
      <c r="L206" s="252" t="str">
        <f t="shared" si="120"/>
        <v>Insert rationale.</v>
      </c>
      <c r="M206" s="252" t="str">
        <f t="shared" si="120"/>
        <v>Insert rationale.</v>
      </c>
      <c r="N206" s="252" t="str">
        <f t="shared" si="120"/>
        <v>Insert rationale.</v>
      </c>
    </row>
    <row r="207" spans="4:16">
      <c r="D207" s="252" t="s">
        <v>470</v>
      </c>
      <c r="E207" s="755">
        <f t="shared" ref="E207:N207" si="121">decV2MOMValue3Rank</f>
        <v>0.2</v>
      </c>
      <c r="F207" s="755">
        <f t="shared" si="121"/>
        <v>0.2</v>
      </c>
      <c r="G207" s="755">
        <f t="shared" si="121"/>
        <v>0.2</v>
      </c>
      <c r="H207" s="755">
        <f t="shared" si="121"/>
        <v>0.2</v>
      </c>
      <c r="I207" s="755">
        <f t="shared" si="121"/>
        <v>0.2</v>
      </c>
      <c r="J207" s="755">
        <f t="shared" si="121"/>
        <v>0.2</v>
      </c>
      <c r="K207" s="755">
        <f t="shared" si="121"/>
        <v>0.2</v>
      </c>
      <c r="L207" s="755">
        <f t="shared" si="121"/>
        <v>0.2</v>
      </c>
      <c r="M207" s="755">
        <f t="shared" si="121"/>
        <v>0.2</v>
      </c>
      <c r="N207" s="755">
        <f t="shared" si="121"/>
        <v>0.2</v>
      </c>
    </row>
    <row r="208" spans="4:16">
      <c r="D208" s="252" t="s">
        <v>384</v>
      </c>
      <c r="E208" s="252" t="str">
        <f t="shared" ref="E208:N208" si="122">decV2MOMValue3Desc</f>
        <v>Insert rationale.</v>
      </c>
      <c r="F208" s="252" t="str">
        <f t="shared" si="122"/>
        <v>Insert rationale.</v>
      </c>
      <c r="G208" s="252" t="str">
        <f t="shared" si="122"/>
        <v>Insert rationale.</v>
      </c>
      <c r="H208" s="252" t="str">
        <f t="shared" si="122"/>
        <v>Insert rationale.</v>
      </c>
      <c r="I208" s="252" t="str">
        <f t="shared" si="122"/>
        <v>Insert rationale.</v>
      </c>
      <c r="J208" s="252" t="str">
        <f t="shared" si="122"/>
        <v>Insert rationale.</v>
      </c>
      <c r="K208" s="252" t="str">
        <f t="shared" si="122"/>
        <v>Insert rationale.</v>
      </c>
      <c r="L208" s="252" t="str">
        <f t="shared" si="122"/>
        <v>Insert rationale.</v>
      </c>
      <c r="M208" s="252" t="str">
        <f t="shared" si="122"/>
        <v>Insert rationale.</v>
      </c>
      <c r="N208" s="252" t="str">
        <f t="shared" si="122"/>
        <v>Insert rationale.</v>
      </c>
    </row>
    <row r="209" spans="4:14">
      <c r="D209" s="252" t="s">
        <v>1153</v>
      </c>
      <c r="E209" s="754">
        <f t="shared" ref="E209:N209" si="123">decV2MOMValue4Rank</f>
        <v>0.2</v>
      </c>
      <c r="F209" s="754">
        <f t="shared" si="123"/>
        <v>0.2</v>
      </c>
      <c r="G209" s="754">
        <f t="shared" si="123"/>
        <v>0.2</v>
      </c>
      <c r="H209" s="754">
        <f t="shared" si="123"/>
        <v>0.2</v>
      </c>
      <c r="I209" s="754">
        <f t="shared" si="123"/>
        <v>0.2</v>
      </c>
      <c r="J209" s="754">
        <f t="shared" si="123"/>
        <v>0.2</v>
      </c>
      <c r="K209" s="754">
        <f t="shared" si="123"/>
        <v>0.2</v>
      </c>
      <c r="L209" s="754">
        <f t="shared" si="123"/>
        <v>0.2</v>
      </c>
      <c r="M209" s="754">
        <f t="shared" si="123"/>
        <v>0.2</v>
      </c>
      <c r="N209" s="754">
        <f t="shared" si="123"/>
        <v>0.2</v>
      </c>
    </row>
    <row r="210" spans="4:14">
      <c r="D210" s="252" t="s">
        <v>384</v>
      </c>
      <c r="E210" s="252" t="str">
        <f t="shared" ref="E210:N210" si="124">decV2MOMValue4Desc</f>
        <v>Insert rationale.</v>
      </c>
      <c r="F210" s="252" t="str">
        <f t="shared" si="124"/>
        <v>Insert rationale.</v>
      </c>
      <c r="G210" s="252" t="str">
        <f t="shared" si="124"/>
        <v>Insert rationale.</v>
      </c>
      <c r="H210" s="252" t="str">
        <f t="shared" si="124"/>
        <v>Insert rationale.</v>
      </c>
      <c r="I210" s="252" t="str">
        <f t="shared" si="124"/>
        <v>Insert rationale.</v>
      </c>
      <c r="J210" s="252" t="str">
        <f t="shared" si="124"/>
        <v>Insert rationale.</v>
      </c>
      <c r="K210" s="252" t="str">
        <f t="shared" si="124"/>
        <v>Insert rationale.</v>
      </c>
      <c r="L210" s="252" t="str">
        <f t="shared" si="124"/>
        <v>Insert rationale.</v>
      </c>
      <c r="M210" s="252" t="str">
        <f t="shared" si="124"/>
        <v>Insert rationale.</v>
      </c>
      <c r="N210" s="252" t="str">
        <f t="shared" si="124"/>
        <v>Insert rationale.</v>
      </c>
    </row>
    <row r="212" spans="4:14">
      <c r="D212" s="252" t="s">
        <v>2263</v>
      </c>
      <c r="E212" s="252" t="str">
        <f t="shared" ref="E212:N212" si="125">decV2MOMRisk1</f>
        <v>Please write your response here.</v>
      </c>
      <c r="F212" s="252" t="str">
        <f t="shared" si="125"/>
        <v>Please write your response here.</v>
      </c>
      <c r="G212" s="252" t="str">
        <f t="shared" si="125"/>
        <v>Please write your response here.</v>
      </c>
      <c r="H212" s="252" t="str">
        <f t="shared" si="125"/>
        <v>Please write your response here.</v>
      </c>
      <c r="I212" s="252" t="str">
        <f t="shared" si="125"/>
        <v>Please write your response here.</v>
      </c>
      <c r="J212" s="252" t="str">
        <f t="shared" si="125"/>
        <v>Please write your response here.</v>
      </c>
      <c r="K212" s="252" t="str">
        <f t="shared" si="125"/>
        <v>Please write your response here.</v>
      </c>
      <c r="L212" s="252" t="str">
        <f t="shared" si="125"/>
        <v>Please write your response here.</v>
      </c>
      <c r="M212" s="252" t="str">
        <f t="shared" si="125"/>
        <v>Please write your response here.</v>
      </c>
      <c r="N212" s="252" t="str">
        <f t="shared" si="125"/>
        <v>Please write your response here.</v>
      </c>
    </row>
    <row r="213" spans="4:14">
      <c r="D213" s="252" t="s">
        <v>2261</v>
      </c>
      <c r="E213" s="252" t="str">
        <f t="shared" ref="E213:N213" si="126">decV2MOMRisk2</f>
        <v>Please write your response here.</v>
      </c>
      <c r="F213" s="252" t="str">
        <f t="shared" si="126"/>
        <v>Please write your response here.</v>
      </c>
      <c r="G213" s="252" t="str">
        <f t="shared" si="126"/>
        <v>Please write your response here.</v>
      </c>
      <c r="H213" s="252" t="str">
        <f t="shared" si="126"/>
        <v>Please write your response here.</v>
      </c>
      <c r="I213" s="252" t="str">
        <f t="shared" si="126"/>
        <v>Please write your response here.</v>
      </c>
      <c r="J213" s="252" t="str">
        <f t="shared" si="126"/>
        <v>Please write your response here.</v>
      </c>
      <c r="K213" s="252" t="str">
        <f t="shared" si="126"/>
        <v>Please write your response here.</v>
      </c>
      <c r="L213" s="252" t="str">
        <f t="shared" si="126"/>
        <v>Please write your response here.</v>
      </c>
      <c r="M213" s="252" t="str">
        <f t="shared" si="126"/>
        <v>Please write your response here.</v>
      </c>
      <c r="N213" s="252" t="str">
        <f t="shared" si="126"/>
        <v>Please write your response here.</v>
      </c>
    </row>
    <row r="214" spans="4:14">
      <c r="D214" s="252" t="s">
        <v>2262</v>
      </c>
      <c r="E214" s="252" t="str">
        <f t="shared" ref="E214:N214" si="127">decV2MOMRisk3</f>
        <v>Please write your response here.</v>
      </c>
      <c r="F214" s="252" t="str">
        <f t="shared" si="127"/>
        <v>Please write your response here.</v>
      </c>
      <c r="G214" s="252" t="str">
        <f t="shared" si="127"/>
        <v>Please write your response here.</v>
      </c>
      <c r="H214" s="252" t="str">
        <f t="shared" si="127"/>
        <v>Please write your response here.</v>
      </c>
      <c r="I214" s="252" t="str">
        <f t="shared" si="127"/>
        <v>Please write your response here.</v>
      </c>
      <c r="J214" s="252" t="str">
        <f t="shared" si="127"/>
        <v>Please write your response here.</v>
      </c>
      <c r="K214" s="252" t="str">
        <f t="shared" si="127"/>
        <v>Please write your response here.</v>
      </c>
      <c r="L214" s="252" t="str">
        <f t="shared" si="127"/>
        <v>Please write your response here.</v>
      </c>
      <c r="M214" s="252" t="str">
        <f t="shared" si="127"/>
        <v>Please write your response here.</v>
      </c>
      <c r="N214" s="252" t="str">
        <f t="shared" si="127"/>
        <v>Please write your response here.</v>
      </c>
    </row>
    <row r="216" spans="4:14">
      <c r="D216" s="252" t="s">
        <v>408</v>
      </c>
      <c r="E216" s="252" t="str">
        <f t="shared" ref="E216:N216" si="128">decPeopleTimeline</f>
        <v>Choose</v>
      </c>
      <c r="F216" s="252" t="str">
        <f t="shared" si="128"/>
        <v>Choose</v>
      </c>
      <c r="G216" s="252" t="str">
        <f t="shared" si="128"/>
        <v>Choose</v>
      </c>
      <c r="H216" s="252" t="str">
        <f t="shared" si="128"/>
        <v>Choose</v>
      </c>
      <c r="I216" s="252" t="str">
        <f t="shared" si="128"/>
        <v>Choose</v>
      </c>
      <c r="J216" s="252" t="str">
        <f t="shared" si="128"/>
        <v>Choose</v>
      </c>
      <c r="K216" s="252" t="str">
        <f t="shared" si="128"/>
        <v>Choose</v>
      </c>
      <c r="L216" s="252" t="str">
        <f t="shared" si="128"/>
        <v>Choose</v>
      </c>
      <c r="M216" s="252" t="str">
        <f t="shared" si="128"/>
        <v>Choose</v>
      </c>
      <c r="N216" s="252" t="str">
        <f t="shared" si="128"/>
        <v>Choose</v>
      </c>
    </row>
    <row r="217" spans="4:14">
      <c r="D217" s="252" t="s">
        <v>1291</v>
      </c>
      <c r="E217" s="717">
        <f t="shared" ref="E217:N217" si="129">decPeopleHarmonizationLevel</f>
        <v>0</v>
      </c>
      <c r="F217" s="717">
        <f t="shared" si="129"/>
        <v>0</v>
      </c>
      <c r="G217" s="717">
        <f t="shared" si="129"/>
        <v>0</v>
      </c>
      <c r="H217" s="717">
        <f t="shared" si="129"/>
        <v>0</v>
      </c>
      <c r="I217" s="717">
        <f t="shared" si="129"/>
        <v>0</v>
      </c>
      <c r="J217" s="717">
        <f t="shared" si="129"/>
        <v>0</v>
      </c>
      <c r="K217" s="717">
        <f t="shared" si="129"/>
        <v>0</v>
      </c>
      <c r="L217" s="717">
        <f t="shared" si="129"/>
        <v>0</v>
      </c>
      <c r="M217" s="717">
        <f t="shared" si="129"/>
        <v>0</v>
      </c>
      <c r="N217" s="717">
        <f t="shared" si="129"/>
        <v>0</v>
      </c>
    </row>
    <row r="218" spans="4:14">
      <c r="D218" s="252" t="s">
        <v>1290</v>
      </c>
      <c r="E218" s="717">
        <f t="shared" ref="E218:N218" si="130">decPeopleNonKeyHarmonizationLevel</f>
        <v>0</v>
      </c>
      <c r="F218" s="717">
        <f t="shared" si="130"/>
        <v>0</v>
      </c>
      <c r="G218" s="717">
        <f t="shared" si="130"/>
        <v>0</v>
      </c>
      <c r="H218" s="717">
        <f t="shared" si="130"/>
        <v>0</v>
      </c>
      <c r="I218" s="717">
        <f t="shared" si="130"/>
        <v>0</v>
      </c>
      <c r="J218" s="717">
        <f t="shared" si="130"/>
        <v>0</v>
      </c>
      <c r="K218" s="717">
        <f t="shared" si="130"/>
        <v>0</v>
      </c>
      <c r="L218" s="717">
        <f t="shared" si="130"/>
        <v>0</v>
      </c>
      <c r="M218" s="717">
        <f t="shared" si="130"/>
        <v>0</v>
      </c>
      <c r="N218" s="717">
        <f t="shared" si="130"/>
        <v>0</v>
      </c>
    </row>
    <row r="220" spans="4:14">
      <c r="D220" s="252" t="s">
        <v>1009</v>
      </c>
      <c r="E220" s="252" t="str">
        <f t="shared" ref="E220:N220" si="131">decITTimeline</f>
        <v>Choose</v>
      </c>
      <c r="F220" s="252" t="str">
        <f t="shared" si="131"/>
        <v>Choose</v>
      </c>
      <c r="G220" s="252" t="str">
        <f t="shared" si="131"/>
        <v>Choose</v>
      </c>
      <c r="H220" s="252" t="str">
        <f t="shared" si="131"/>
        <v>Choose</v>
      </c>
      <c r="I220" s="252" t="str">
        <f t="shared" si="131"/>
        <v>Choose</v>
      </c>
      <c r="J220" s="252" t="str">
        <f t="shared" si="131"/>
        <v>Choose</v>
      </c>
      <c r="K220" s="252" t="str">
        <f t="shared" si="131"/>
        <v>Choose</v>
      </c>
      <c r="L220" s="252" t="str">
        <f t="shared" si="131"/>
        <v>Choose</v>
      </c>
      <c r="M220" s="252" t="str">
        <f t="shared" si="131"/>
        <v>Choose</v>
      </c>
      <c r="N220" s="252" t="str">
        <f t="shared" si="131"/>
        <v>Choose</v>
      </c>
    </row>
    <row r="221" spans="4:14">
      <c r="D221" s="252" t="s">
        <v>1008</v>
      </c>
      <c r="E221" s="252">
        <f t="shared" ref="E221:N221" si="132">decITIntegrationLevel</f>
        <v>0</v>
      </c>
      <c r="F221" s="252">
        <f t="shared" si="132"/>
        <v>0</v>
      </c>
      <c r="G221" s="252">
        <f t="shared" si="132"/>
        <v>0</v>
      </c>
      <c r="H221" s="252">
        <f t="shared" si="132"/>
        <v>0</v>
      </c>
      <c r="I221" s="252">
        <f t="shared" si="132"/>
        <v>0</v>
      </c>
      <c r="J221" s="252">
        <f t="shared" si="132"/>
        <v>0</v>
      </c>
      <c r="K221" s="252">
        <f t="shared" si="132"/>
        <v>0</v>
      </c>
      <c r="L221" s="252">
        <f t="shared" si="132"/>
        <v>0</v>
      </c>
      <c r="M221" s="252">
        <f t="shared" si="132"/>
        <v>0</v>
      </c>
      <c r="N221" s="252">
        <f t="shared" si="132"/>
        <v>0</v>
      </c>
    </row>
    <row r="222" spans="4:14">
      <c r="D222" s="252" t="s">
        <v>495</v>
      </c>
      <c r="E222" s="252" t="str">
        <f t="shared" ref="E222:N222" si="133">decITOfficePlan</f>
        <v>Choose</v>
      </c>
      <c r="F222" s="252" t="str">
        <f t="shared" si="133"/>
        <v>Choose</v>
      </c>
      <c r="G222" s="252" t="str">
        <f t="shared" si="133"/>
        <v>Choose</v>
      </c>
      <c r="H222" s="252" t="str">
        <f t="shared" si="133"/>
        <v>Choose</v>
      </c>
      <c r="I222" s="252" t="str">
        <f t="shared" si="133"/>
        <v>Choose</v>
      </c>
      <c r="J222" s="252" t="str">
        <f t="shared" si="133"/>
        <v>Choose</v>
      </c>
      <c r="K222" s="252" t="str">
        <f t="shared" si="133"/>
        <v>Choose</v>
      </c>
      <c r="L222" s="252" t="str">
        <f t="shared" si="133"/>
        <v>Choose</v>
      </c>
      <c r="M222" s="252" t="str">
        <f t="shared" si="133"/>
        <v>Choose</v>
      </c>
      <c r="N222" s="252" t="str">
        <f t="shared" si="133"/>
        <v>Choose</v>
      </c>
    </row>
    <row r="224" spans="4:14">
      <c r="E224" s="333" t="str">
        <f t="shared" ref="E224:N224" si="134">E$23</f>
        <v>Snowflake (1)</v>
      </c>
      <c r="F224" s="333" t="str">
        <f t="shared" si="134"/>
        <v>Snowflake (2)</v>
      </c>
      <c r="G224" s="333" t="str">
        <f t="shared" si="134"/>
        <v>Snowflake (3)</v>
      </c>
      <c r="H224" s="333" t="str">
        <f t="shared" si="134"/>
        <v>Snowflake (4)</v>
      </c>
      <c r="I224" s="333" t="str">
        <f t="shared" si="134"/>
        <v>Snowflake (5)</v>
      </c>
      <c r="J224" s="333" t="str">
        <f t="shared" si="134"/>
        <v>Snowflake (6)</v>
      </c>
      <c r="K224" s="333" t="str">
        <f t="shared" si="134"/>
        <v>Snowflake (7)</v>
      </c>
      <c r="L224" s="333" t="str">
        <f t="shared" si="134"/>
        <v>Snowflake (8)</v>
      </c>
      <c r="M224" s="333" t="str">
        <f t="shared" si="134"/>
        <v>Snowflake (9)</v>
      </c>
      <c r="N224" s="333" t="str">
        <f t="shared" si="134"/>
        <v>Snowflake (10)</v>
      </c>
    </row>
    <row r="225" spans="4:15">
      <c r="D225" s="252" t="s">
        <v>1969</v>
      </c>
      <c r="E225" s="252" t="str">
        <f t="shared" ref="E225:N225" si="135">decSecurityTimeline</f>
        <v>Choose</v>
      </c>
      <c r="F225" s="252" t="str">
        <f t="shared" si="135"/>
        <v>Choose</v>
      </c>
      <c r="G225" s="252" t="str">
        <f t="shared" si="135"/>
        <v>Choose</v>
      </c>
      <c r="H225" s="252" t="str">
        <f t="shared" si="135"/>
        <v>Choose</v>
      </c>
      <c r="I225" s="252" t="str">
        <f t="shared" si="135"/>
        <v>Choose</v>
      </c>
      <c r="J225" s="252" t="str">
        <f t="shared" si="135"/>
        <v>Choose</v>
      </c>
      <c r="K225" s="252" t="str">
        <f t="shared" si="135"/>
        <v>Choose</v>
      </c>
      <c r="L225" s="252" t="str">
        <f t="shared" si="135"/>
        <v>Choose</v>
      </c>
      <c r="M225" s="252" t="str">
        <f t="shared" si="135"/>
        <v>Choose</v>
      </c>
      <c r="N225" s="252" t="str">
        <f t="shared" si="135"/>
        <v>Choose</v>
      </c>
    </row>
    <row r="226" spans="4:15">
      <c r="D226" s="252" t="s">
        <v>410</v>
      </c>
      <c r="E226" s="754" t="str">
        <f t="shared" ref="E226:N226" si="136">decSecurityP0RiskMitigation</f>
        <v>Choose</v>
      </c>
      <c r="F226" s="754" t="str">
        <f t="shared" si="136"/>
        <v>Choose</v>
      </c>
      <c r="G226" s="754" t="str">
        <f t="shared" si="136"/>
        <v>Choose</v>
      </c>
      <c r="H226" s="754" t="str">
        <f t="shared" si="136"/>
        <v>Choose</v>
      </c>
      <c r="I226" s="754" t="str">
        <f t="shared" si="136"/>
        <v>Choose</v>
      </c>
      <c r="J226" s="754" t="str">
        <f t="shared" si="136"/>
        <v>Choose</v>
      </c>
      <c r="K226" s="754" t="str">
        <f t="shared" si="136"/>
        <v>Choose</v>
      </c>
      <c r="L226" s="754" t="str">
        <f t="shared" si="136"/>
        <v>Choose</v>
      </c>
      <c r="M226" s="754" t="str">
        <f t="shared" si="136"/>
        <v>Choose</v>
      </c>
      <c r="N226" s="754" t="str">
        <f t="shared" si="136"/>
        <v>Choose</v>
      </c>
    </row>
    <row r="227" spans="4:15">
      <c r="D227" s="252" t="s">
        <v>412</v>
      </c>
      <c r="E227" s="754" t="str">
        <f t="shared" ref="E227:N227" si="137">decSecurityP1RiskMitigation</f>
        <v>Choose</v>
      </c>
      <c r="F227" s="754" t="str">
        <f t="shared" si="137"/>
        <v>Choose</v>
      </c>
      <c r="G227" s="754" t="str">
        <f t="shared" si="137"/>
        <v>Choose</v>
      </c>
      <c r="H227" s="754" t="str">
        <f t="shared" si="137"/>
        <v>Choose</v>
      </c>
      <c r="I227" s="754" t="str">
        <f t="shared" si="137"/>
        <v>Choose</v>
      </c>
      <c r="J227" s="754" t="str">
        <f t="shared" si="137"/>
        <v>Choose</v>
      </c>
      <c r="K227" s="754" t="str">
        <f t="shared" si="137"/>
        <v>Choose</v>
      </c>
      <c r="L227" s="754" t="str">
        <f t="shared" si="137"/>
        <v>Choose</v>
      </c>
      <c r="M227" s="754" t="str">
        <f t="shared" si="137"/>
        <v>Choose</v>
      </c>
      <c r="N227" s="754" t="str">
        <f t="shared" si="137"/>
        <v>Choose</v>
      </c>
    </row>
    <row r="228" spans="4:15">
      <c r="D228" s="252" t="s">
        <v>411</v>
      </c>
      <c r="E228" s="754" t="str">
        <f t="shared" ref="E228:N228" si="138">decSecurityP2RiskMitigation</f>
        <v>Choose</v>
      </c>
      <c r="F228" s="754" t="str">
        <f t="shared" si="138"/>
        <v>Choose</v>
      </c>
      <c r="G228" s="754" t="str">
        <f t="shared" si="138"/>
        <v>Choose</v>
      </c>
      <c r="H228" s="754" t="str">
        <f t="shared" si="138"/>
        <v>Choose</v>
      </c>
      <c r="I228" s="754" t="str">
        <f t="shared" si="138"/>
        <v>Choose</v>
      </c>
      <c r="J228" s="754" t="str">
        <f t="shared" si="138"/>
        <v>Choose</v>
      </c>
      <c r="K228" s="754" t="str">
        <f t="shared" si="138"/>
        <v>Choose</v>
      </c>
      <c r="L228" s="754" t="str">
        <f t="shared" si="138"/>
        <v>Choose</v>
      </c>
      <c r="M228" s="754" t="str">
        <f t="shared" si="138"/>
        <v>Choose</v>
      </c>
      <c r="N228" s="754" t="str">
        <f t="shared" si="138"/>
        <v>Choose</v>
      </c>
    </row>
    <row r="229" spans="4:15">
      <c r="D229" s="252" t="s">
        <v>506</v>
      </c>
      <c r="E229" s="252" t="str">
        <f t="shared" ref="E229:N229" si="139">decSecurityBuildSiteInfrastructure</f>
        <v>Choose</v>
      </c>
      <c r="F229" s="252" t="str">
        <f t="shared" si="139"/>
        <v>Choose</v>
      </c>
      <c r="G229" s="252" t="str">
        <f t="shared" si="139"/>
        <v>Choose</v>
      </c>
      <c r="H229" s="252" t="str">
        <f t="shared" si="139"/>
        <v>Choose</v>
      </c>
      <c r="I229" s="252" t="str">
        <f t="shared" si="139"/>
        <v>Choose</v>
      </c>
      <c r="J229" s="252" t="str">
        <f t="shared" si="139"/>
        <v>Choose</v>
      </c>
      <c r="K229" s="252" t="str">
        <f t="shared" si="139"/>
        <v>Choose</v>
      </c>
      <c r="L229" s="252" t="str">
        <f t="shared" si="139"/>
        <v>Choose</v>
      </c>
      <c r="M229" s="252" t="str">
        <f t="shared" si="139"/>
        <v>Choose</v>
      </c>
      <c r="N229" s="252" t="str">
        <f t="shared" si="139"/>
        <v>Choose</v>
      </c>
    </row>
    <row r="230" spans="4:15">
      <c r="D230" s="252" t="s">
        <v>1032</v>
      </c>
      <c r="E230" s="252" t="str">
        <f t="shared" ref="E230:N230" si="140">decSecurityProductRestrictions</f>
        <v>Choose</v>
      </c>
      <c r="F230" s="252" t="str">
        <f t="shared" si="140"/>
        <v>Choose</v>
      </c>
      <c r="G230" s="252" t="str">
        <f t="shared" si="140"/>
        <v>Choose</v>
      </c>
      <c r="H230" s="252" t="str">
        <f t="shared" si="140"/>
        <v>Choose</v>
      </c>
      <c r="I230" s="252" t="str">
        <f t="shared" si="140"/>
        <v>Choose</v>
      </c>
      <c r="J230" s="252" t="str">
        <f t="shared" si="140"/>
        <v>Choose</v>
      </c>
      <c r="K230" s="252" t="str">
        <f t="shared" si="140"/>
        <v>Choose</v>
      </c>
      <c r="L230" s="252" t="str">
        <f t="shared" si="140"/>
        <v>Choose</v>
      </c>
      <c r="M230" s="252" t="str">
        <f t="shared" si="140"/>
        <v>Choose</v>
      </c>
      <c r="N230" s="252" t="str">
        <f t="shared" si="140"/>
        <v>Choose</v>
      </c>
    </row>
    <row r="231" spans="4:15">
      <c r="D231" s="252" t="s">
        <v>2277</v>
      </c>
      <c r="E231" s="252" t="str">
        <f t="shared" ref="E231:N231" si="141">decGTMLeadPass</f>
        <v>Choose</v>
      </c>
      <c r="F231" s="252" t="str">
        <f t="shared" si="141"/>
        <v>Choose</v>
      </c>
      <c r="G231" s="252" t="str">
        <f t="shared" si="141"/>
        <v>Choose</v>
      </c>
      <c r="H231" s="252" t="str">
        <f t="shared" si="141"/>
        <v>Choose</v>
      </c>
      <c r="I231" s="252" t="str">
        <f t="shared" si="141"/>
        <v>Choose</v>
      </c>
      <c r="J231" s="252" t="str">
        <f t="shared" si="141"/>
        <v>Choose</v>
      </c>
      <c r="K231" s="252" t="str">
        <f t="shared" si="141"/>
        <v>Choose</v>
      </c>
      <c r="L231" s="252" t="str">
        <f t="shared" si="141"/>
        <v>Choose</v>
      </c>
      <c r="M231" s="252" t="str">
        <f t="shared" si="141"/>
        <v>Choose</v>
      </c>
      <c r="N231" s="252" t="str">
        <f t="shared" si="141"/>
        <v>Choose</v>
      </c>
    </row>
    <row r="232" spans="4:15">
      <c r="D232" s="252" t="s">
        <v>1035</v>
      </c>
      <c r="E232" s="252" t="str">
        <f t="shared" ref="E232:N232" si="142">decGTMOrg62Timeline</f>
        <v>Choose</v>
      </c>
      <c r="F232" s="252" t="str">
        <f t="shared" si="142"/>
        <v>Choose</v>
      </c>
      <c r="G232" s="252" t="str">
        <f t="shared" si="142"/>
        <v>Choose</v>
      </c>
      <c r="H232" s="252" t="str">
        <f t="shared" si="142"/>
        <v>Choose</v>
      </c>
      <c r="I232" s="252" t="str">
        <f t="shared" si="142"/>
        <v>Choose</v>
      </c>
      <c r="J232" s="252" t="str">
        <f t="shared" si="142"/>
        <v>Choose</v>
      </c>
      <c r="K232" s="252" t="str">
        <f t="shared" si="142"/>
        <v>Choose</v>
      </c>
      <c r="L232" s="252" t="str">
        <f t="shared" si="142"/>
        <v>Choose</v>
      </c>
      <c r="M232" s="252" t="str">
        <f t="shared" si="142"/>
        <v>Choose</v>
      </c>
      <c r="N232" s="252" t="str">
        <f t="shared" si="142"/>
        <v>Choose</v>
      </c>
    </row>
    <row r="233" spans="4:15">
      <c r="D233" s="252" t="s">
        <v>1036</v>
      </c>
      <c r="E233" s="252" t="str">
        <f t="shared" ref="E233:N233" si="143">decGTMExternalSales</f>
        <v>Choose</v>
      </c>
      <c r="F233" s="252" t="str">
        <f t="shared" si="143"/>
        <v>Choose</v>
      </c>
      <c r="G233" s="252" t="str">
        <f t="shared" si="143"/>
        <v>Choose</v>
      </c>
      <c r="H233" s="252" t="str">
        <f t="shared" si="143"/>
        <v>Choose</v>
      </c>
      <c r="I233" s="252" t="str">
        <f t="shared" si="143"/>
        <v>Choose</v>
      </c>
      <c r="J233" s="252" t="str">
        <f t="shared" si="143"/>
        <v>Choose</v>
      </c>
      <c r="K233" s="252" t="str">
        <f t="shared" si="143"/>
        <v>Choose</v>
      </c>
      <c r="L233" s="252" t="str">
        <f t="shared" si="143"/>
        <v>Choose</v>
      </c>
      <c r="M233" s="252" t="str">
        <f t="shared" si="143"/>
        <v>Choose</v>
      </c>
      <c r="N233" s="252" t="str">
        <f t="shared" si="143"/>
        <v>Choose</v>
      </c>
    </row>
    <row r="234" spans="4:15">
      <c r="D234" s="252" t="s">
        <v>2284</v>
      </c>
      <c r="E234" s="252" t="str">
        <f t="shared" ref="E234:N234" si="144">decGTMCSGPostSales</f>
        <v>Choose</v>
      </c>
      <c r="F234" s="252" t="str">
        <f t="shared" si="144"/>
        <v>Choose</v>
      </c>
      <c r="G234" s="252" t="str">
        <f t="shared" si="144"/>
        <v>Choose</v>
      </c>
      <c r="H234" s="252" t="str">
        <f t="shared" si="144"/>
        <v>Choose</v>
      </c>
      <c r="I234" s="252" t="str">
        <f t="shared" si="144"/>
        <v>Choose</v>
      </c>
      <c r="J234" s="252" t="str">
        <f t="shared" si="144"/>
        <v>Choose</v>
      </c>
      <c r="K234" s="252" t="str">
        <f t="shared" si="144"/>
        <v>Choose</v>
      </c>
      <c r="L234" s="252" t="str">
        <f t="shared" si="144"/>
        <v>Choose</v>
      </c>
      <c r="M234" s="252" t="str">
        <f t="shared" si="144"/>
        <v>Choose</v>
      </c>
      <c r="N234" s="252" t="str">
        <f t="shared" si="144"/>
        <v>Choose</v>
      </c>
    </row>
    <row r="235" spans="4:15">
      <c r="D235" s="252" t="s">
        <v>974</v>
      </c>
      <c r="E235" s="252" t="str">
        <f t="shared" ref="E235:N235" si="145">decProductTimeline</f>
        <v>Choose</v>
      </c>
      <c r="F235" s="252" t="str">
        <f t="shared" si="145"/>
        <v>Choose</v>
      </c>
      <c r="G235" s="252" t="str">
        <f t="shared" si="145"/>
        <v>Choose</v>
      </c>
      <c r="H235" s="252" t="str">
        <f t="shared" si="145"/>
        <v>Choose</v>
      </c>
      <c r="I235" s="252" t="str">
        <f t="shared" si="145"/>
        <v>Choose</v>
      </c>
      <c r="J235" s="252" t="str">
        <f t="shared" si="145"/>
        <v>Choose</v>
      </c>
      <c r="K235" s="252" t="str">
        <f t="shared" si="145"/>
        <v>Choose</v>
      </c>
      <c r="L235" s="252" t="str">
        <f t="shared" si="145"/>
        <v>Choose</v>
      </c>
      <c r="M235" s="252" t="str">
        <f t="shared" si="145"/>
        <v>Choose</v>
      </c>
      <c r="N235" s="252" t="str">
        <f t="shared" si="145"/>
        <v>Choose</v>
      </c>
    </row>
    <row r="236" spans="4:15">
      <c r="D236" s="252" t="s">
        <v>1962</v>
      </c>
      <c r="E236" s="252" t="str">
        <f t="shared" ref="E236:N236" si="146">decProductStackFocus</f>
        <v>Choose</v>
      </c>
      <c r="F236" s="252" t="str">
        <f t="shared" si="146"/>
        <v>Choose</v>
      </c>
      <c r="G236" s="252" t="str">
        <f t="shared" si="146"/>
        <v>Choose</v>
      </c>
      <c r="H236" s="252" t="str">
        <f t="shared" si="146"/>
        <v>Choose</v>
      </c>
      <c r="I236" s="252" t="str">
        <f t="shared" si="146"/>
        <v>Choose</v>
      </c>
      <c r="J236" s="252" t="str">
        <f t="shared" si="146"/>
        <v>Choose</v>
      </c>
      <c r="K236" s="252" t="str">
        <f t="shared" si="146"/>
        <v>Choose</v>
      </c>
      <c r="L236" s="252" t="str">
        <f t="shared" si="146"/>
        <v>Choose</v>
      </c>
      <c r="M236" s="252" t="str">
        <f t="shared" si="146"/>
        <v>Choose</v>
      </c>
      <c r="N236" s="252" t="str">
        <f t="shared" si="146"/>
        <v>Choose</v>
      </c>
    </row>
    <row r="238" spans="4:15">
      <c r="D238" s="252" t="s">
        <v>3042</v>
      </c>
      <c r="E238" s="717">
        <f>IFERROR(E236-50%,0%)</f>
        <v>0</v>
      </c>
      <c r="F238" s="717">
        <f t="shared" ref="F238:I238" si="147">IFERROR(F236-50%,0%)</f>
        <v>0</v>
      </c>
      <c r="G238" s="717">
        <f t="shared" si="147"/>
        <v>0</v>
      </c>
      <c r="H238" s="717">
        <f t="shared" si="147"/>
        <v>0</v>
      </c>
      <c r="I238" s="717">
        <f t="shared" si="147"/>
        <v>0</v>
      </c>
      <c r="J238" s="717">
        <f t="shared" ref="J238:N238" si="148">IFERROR(J236-50%,0%)</f>
        <v>0</v>
      </c>
      <c r="K238" s="717">
        <f t="shared" si="148"/>
        <v>0</v>
      </c>
      <c r="L238" s="717">
        <f t="shared" si="148"/>
        <v>0</v>
      </c>
      <c r="M238" s="717">
        <f t="shared" si="148"/>
        <v>0</v>
      </c>
      <c r="N238" s="717">
        <f t="shared" si="148"/>
        <v>0</v>
      </c>
    </row>
    <row r="239" spans="4:15" ht="13.2" thickBot="1"/>
    <row r="240" spans="4:15">
      <c r="E240" s="333" t="str">
        <f t="shared" ref="E240:N240" si="149">E$23</f>
        <v>Snowflake (1)</v>
      </c>
      <c r="F240" s="333" t="str">
        <f t="shared" si="149"/>
        <v>Snowflake (2)</v>
      </c>
      <c r="G240" s="333" t="str">
        <f t="shared" si="149"/>
        <v>Snowflake (3)</v>
      </c>
      <c r="H240" s="333" t="str">
        <f t="shared" si="149"/>
        <v>Snowflake (4)</v>
      </c>
      <c r="I240" s="333" t="str">
        <f t="shared" si="149"/>
        <v>Snowflake (5)</v>
      </c>
      <c r="J240" s="333" t="str">
        <f t="shared" si="149"/>
        <v>Snowflake (6)</v>
      </c>
      <c r="K240" s="333" t="str">
        <f t="shared" si="149"/>
        <v>Snowflake (7)</v>
      </c>
      <c r="L240" s="333" t="str">
        <f t="shared" si="149"/>
        <v>Snowflake (8)</v>
      </c>
      <c r="M240" s="333" t="str">
        <f t="shared" si="149"/>
        <v>Snowflake (9)</v>
      </c>
      <c r="N240" s="333" t="str">
        <f t="shared" si="149"/>
        <v>Snowflake (10)</v>
      </c>
      <c r="O240" s="334" t="s">
        <v>608</v>
      </c>
    </row>
    <row r="241" spans="4:15">
      <c r="D241" s="324" t="s">
        <v>3023</v>
      </c>
      <c r="E241" s="621">
        <f t="shared" ref="E241:N241" si="150">FinY5AnnualRev</f>
        <v>498050988.59179169</v>
      </c>
      <c r="F241" s="621">
        <f t="shared" si="150"/>
        <v>498050988.59179169</v>
      </c>
      <c r="G241" s="621">
        <f t="shared" si="150"/>
        <v>498050988.59179169</v>
      </c>
      <c r="H241" s="621">
        <f t="shared" si="150"/>
        <v>498050988.59179169</v>
      </c>
      <c r="I241" s="621">
        <f t="shared" si="150"/>
        <v>498050988.59179169</v>
      </c>
      <c r="J241" s="621">
        <f t="shared" si="150"/>
        <v>498050988.59179169</v>
      </c>
      <c r="K241" s="621">
        <f t="shared" si="150"/>
        <v>498050988.59179169</v>
      </c>
      <c r="L241" s="621">
        <f t="shared" si="150"/>
        <v>498050988.59179169</v>
      </c>
      <c r="M241" s="621">
        <f t="shared" si="150"/>
        <v>498050988.59179169</v>
      </c>
      <c r="N241" s="621">
        <f t="shared" si="150"/>
        <v>498050988.59179169</v>
      </c>
      <c r="O241" s="336"/>
    </row>
    <row r="242" spans="4:15">
      <c r="D242" s="324" t="s">
        <v>3024</v>
      </c>
      <c r="E242" s="776">
        <f t="shared" ref="E242:N242" si="151">(FinY5AnnualRev/obalTargetRev)^(1/(6-1))-1</f>
        <v>0.38559582014415428</v>
      </c>
      <c r="F242" s="776">
        <f t="shared" si="151"/>
        <v>0.38559582014415428</v>
      </c>
      <c r="G242" s="776">
        <f t="shared" si="151"/>
        <v>0.38559582014415428</v>
      </c>
      <c r="H242" s="776">
        <f t="shared" si="151"/>
        <v>0.38559582014415428</v>
      </c>
      <c r="I242" s="776">
        <f t="shared" si="151"/>
        <v>0.38559582014415428</v>
      </c>
      <c r="J242" s="776">
        <f t="shared" si="151"/>
        <v>0.38559582014415428</v>
      </c>
      <c r="K242" s="776">
        <f t="shared" si="151"/>
        <v>0.38559582014415428</v>
      </c>
      <c r="L242" s="776">
        <f t="shared" si="151"/>
        <v>0.38559582014415428</v>
      </c>
      <c r="M242" s="776">
        <f t="shared" si="151"/>
        <v>0.38559582014415428</v>
      </c>
      <c r="N242" s="776">
        <f t="shared" si="151"/>
        <v>0.38559582014415428</v>
      </c>
      <c r="O242" s="336"/>
    </row>
    <row r="243" spans="4:15">
      <c r="D243" s="324"/>
      <c r="E243" s="621"/>
      <c r="F243" s="621"/>
      <c r="G243" s="621"/>
      <c r="H243" s="621"/>
      <c r="I243" s="621"/>
      <c r="J243" s="621"/>
      <c r="K243" s="621"/>
      <c r="L243" s="621"/>
      <c r="M243" s="621"/>
      <c r="N243" s="621"/>
      <c r="O243" s="336"/>
    </row>
    <row r="244" spans="4:15">
      <c r="D244" s="324"/>
      <c r="E244" s="621"/>
      <c r="F244" s="621"/>
      <c r="G244" s="621"/>
      <c r="H244" s="621"/>
      <c r="I244" s="621"/>
      <c r="J244" s="621"/>
      <c r="K244" s="621"/>
      <c r="L244" s="621"/>
      <c r="M244" s="621"/>
      <c r="N244" s="621"/>
      <c r="O244" s="336" t="s">
        <v>3043</v>
      </c>
    </row>
    <row r="245" spans="4:15" ht="13.2" thickBot="1">
      <c r="D245" s="324"/>
      <c r="E245" s="246"/>
      <c r="F245" s="246"/>
      <c r="G245" s="246"/>
      <c r="H245" s="246"/>
      <c r="I245" s="246"/>
      <c r="J245" s="246"/>
      <c r="K245" s="246"/>
      <c r="L245" s="246"/>
      <c r="M245" s="246"/>
      <c r="N245" s="246"/>
      <c r="O245" s="338">
        <v>3</v>
      </c>
    </row>
    <row r="248" spans="4:15">
      <c r="D248" s="638" t="s">
        <v>2069</v>
      </c>
      <c r="E248" s="333" t="str">
        <f t="shared" ref="E248:N248" si="152">E$23</f>
        <v>Snowflake (1)</v>
      </c>
      <c r="F248" s="333" t="str">
        <f t="shared" si="152"/>
        <v>Snowflake (2)</v>
      </c>
      <c r="G248" s="333" t="str">
        <f t="shared" si="152"/>
        <v>Snowflake (3)</v>
      </c>
      <c r="H248" s="333" t="str">
        <f t="shared" si="152"/>
        <v>Snowflake (4)</v>
      </c>
      <c r="I248" s="333" t="str">
        <f t="shared" si="152"/>
        <v>Snowflake (5)</v>
      </c>
      <c r="J248" s="333" t="str">
        <f t="shared" si="152"/>
        <v>Snowflake (6)</v>
      </c>
      <c r="K248" s="333" t="str">
        <f t="shared" si="152"/>
        <v>Snowflake (7)</v>
      </c>
      <c r="L248" s="333" t="str">
        <f t="shared" si="152"/>
        <v>Snowflake (8)</v>
      </c>
      <c r="M248" s="333" t="str">
        <f t="shared" si="152"/>
        <v>Snowflake (9)</v>
      </c>
      <c r="N248" s="333" t="str">
        <f t="shared" si="152"/>
        <v>Snowflake (10)</v>
      </c>
    </row>
    <row r="249" spans="4:15">
      <c r="D249" s="252" t="s">
        <v>3023</v>
      </c>
      <c r="E249" s="637">
        <f t="shared" ref="E249:N249" si="153">FinY5AnnualRev</f>
        <v>498050988.59179169</v>
      </c>
      <c r="F249" s="637">
        <f t="shared" si="153"/>
        <v>498050988.59179169</v>
      </c>
      <c r="G249" s="637">
        <f t="shared" si="153"/>
        <v>498050988.59179169</v>
      </c>
      <c r="H249" s="637">
        <f t="shared" si="153"/>
        <v>498050988.59179169</v>
      </c>
      <c r="I249" s="637">
        <f t="shared" si="153"/>
        <v>498050988.59179169</v>
      </c>
      <c r="J249" s="637">
        <f t="shared" si="153"/>
        <v>498050988.59179169</v>
      </c>
      <c r="K249" s="637">
        <f t="shared" si="153"/>
        <v>498050988.59179169</v>
      </c>
      <c r="L249" s="637">
        <f t="shared" si="153"/>
        <v>498050988.59179169</v>
      </c>
      <c r="M249" s="637">
        <f t="shared" si="153"/>
        <v>498050988.59179169</v>
      </c>
      <c r="N249" s="637">
        <f t="shared" si="153"/>
        <v>498050988.59179169</v>
      </c>
    </row>
    <row r="250" spans="4:15">
      <c r="D250" s="252" t="str">
        <f>TLInputV2MOMValue2</f>
        <v>Customer Satisfaction</v>
      </c>
      <c r="E250" s="636">
        <f t="shared" ref="E250:N250" si="154">cbalNPS</f>
        <v>50</v>
      </c>
      <c r="F250" s="636">
        <f t="shared" si="154"/>
        <v>50</v>
      </c>
      <c r="G250" s="636">
        <f t="shared" si="154"/>
        <v>50</v>
      </c>
      <c r="H250" s="636">
        <f t="shared" si="154"/>
        <v>50</v>
      </c>
      <c r="I250" s="636">
        <f t="shared" si="154"/>
        <v>50</v>
      </c>
      <c r="J250" s="636">
        <f t="shared" si="154"/>
        <v>50</v>
      </c>
      <c r="K250" s="636">
        <f t="shared" si="154"/>
        <v>50</v>
      </c>
      <c r="L250" s="636">
        <f t="shared" si="154"/>
        <v>50</v>
      </c>
      <c r="M250" s="636">
        <f t="shared" si="154"/>
        <v>50</v>
      </c>
      <c r="N250" s="636">
        <f t="shared" si="154"/>
        <v>50</v>
      </c>
    </row>
    <row r="251" spans="4:15">
      <c r="D251" s="252" t="str">
        <f>TLInputV2MOMValue3</f>
        <v>Employee Engagement</v>
      </c>
      <c r="E251" s="636">
        <f t="shared" ref="E251:N251" si="155">cbalESAT</f>
        <v>50</v>
      </c>
      <c r="F251" s="636">
        <f t="shared" si="155"/>
        <v>50</v>
      </c>
      <c r="G251" s="636">
        <f t="shared" si="155"/>
        <v>50</v>
      </c>
      <c r="H251" s="636">
        <f t="shared" si="155"/>
        <v>50</v>
      </c>
      <c r="I251" s="636">
        <f t="shared" si="155"/>
        <v>50</v>
      </c>
      <c r="J251" s="636">
        <f t="shared" si="155"/>
        <v>50</v>
      </c>
      <c r="K251" s="636">
        <f t="shared" si="155"/>
        <v>50</v>
      </c>
      <c r="L251" s="636">
        <f t="shared" si="155"/>
        <v>50</v>
      </c>
      <c r="M251" s="636">
        <f t="shared" si="155"/>
        <v>50</v>
      </c>
      <c r="N251" s="636">
        <f t="shared" si="155"/>
        <v>50</v>
      </c>
    </row>
    <row r="252" spans="4:15">
      <c r="D252" s="252" t="s">
        <v>1153</v>
      </c>
      <c r="E252" s="636">
        <f t="shared" ref="E252:N252" si="156">cbalRiskIndex</f>
        <v>50</v>
      </c>
      <c r="F252" s="636">
        <f t="shared" si="156"/>
        <v>50</v>
      </c>
      <c r="G252" s="636">
        <f t="shared" si="156"/>
        <v>50</v>
      </c>
      <c r="H252" s="636">
        <f t="shared" si="156"/>
        <v>50</v>
      </c>
      <c r="I252" s="636">
        <f t="shared" si="156"/>
        <v>50</v>
      </c>
      <c r="J252" s="636">
        <f t="shared" si="156"/>
        <v>50</v>
      </c>
      <c r="K252" s="636">
        <f t="shared" si="156"/>
        <v>50</v>
      </c>
      <c r="L252" s="636">
        <f t="shared" si="156"/>
        <v>50</v>
      </c>
      <c r="M252" s="636">
        <f t="shared" si="156"/>
        <v>50</v>
      </c>
      <c r="N252" s="636">
        <f t="shared" si="156"/>
        <v>50</v>
      </c>
    </row>
    <row r="253" spans="4:15">
      <c r="D253" s="252" t="s">
        <v>3037</v>
      </c>
      <c r="E253" s="717">
        <f t="shared" ref="E253:N253" si="157">finAnnualOpMargin</f>
        <v>-0.18999999999999992</v>
      </c>
      <c r="F253" s="717">
        <f t="shared" si="157"/>
        <v>-0.18999999999999992</v>
      </c>
      <c r="G253" s="717">
        <f t="shared" si="157"/>
        <v>-0.18999999999999992</v>
      </c>
      <c r="H253" s="717">
        <f t="shared" si="157"/>
        <v>-0.18999999999999992</v>
      </c>
      <c r="I253" s="717">
        <f t="shared" si="157"/>
        <v>-0.18999999999999992</v>
      </c>
      <c r="J253" s="717">
        <f t="shared" si="157"/>
        <v>-0.18999999999999992</v>
      </c>
      <c r="K253" s="717">
        <f t="shared" si="157"/>
        <v>-0.18999999999999992</v>
      </c>
      <c r="L253" s="717">
        <f t="shared" si="157"/>
        <v>-0.18999999999999992</v>
      </c>
      <c r="M253" s="717">
        <f t="shared" si="157"/>
        <v>-0.18999999999999992</v>
      </c>
      <c r="N253" s="717">
        <f t="shared" si="157"/>
        <v>-0.18999999999999992</v>
      </c>
    </row>
    <row r="255" spans="4:15">
      <c r="D255" s="638" t="s">
        <v>2152</v>
      </c>
      <c r="E255" s="333" t="str">
        <f t="shared" ref="E255:N255" si="158">E$23</f>
        <v>Snowflake (1)</v>
      </c>
      <c r="F255" s="333" t="str">
        <f t="shared" si="158"/>
        <v>Snowflake (2)</v>
      </c>
      <c r="G255" s="333" t="str">
        <f t="shared" si="158"/>
        <v>Snowflake (3)</v>
      </c>
      <c r="H255" s="333" t="str">
        <f t="shared" si="158"/>
        <v>Snowflake (4)</v>
      </c>
      <c r="I255" s="333" t="str">
        <f t="shared" si="158"/>
        <v>Snowflake (5)</v>
      </c>
      <c r="J255" s="333" t="str">
        <f t="shared" si="158"/>
        <v>Snowflake (6)</v>
      </c>
      <c r="K255" s="333" t="str">
        <f t="shared" si="158"/>
        <v>Snowflake (7)</v>
      </c>
      <c r="L255" s="333" t="str">
        <f t="shared" si="158"/>
        <v>Snowflake (8)</v>
      </c>
      <c r="M255" s="333" t="str">
        <f t="shared" si="158"/>
        <v>Snowflake (9)</v>
      </c>
      <c r="N255" s="333" t="str">
        <f t="shared" si="158"/>
        <v>Snowflake (10)</v>
      </c>
    </row>
    <row r="256" spans="4:15">
      <c r="D256" s="252" t="s">
        <v>3023</v>
      </c>
      <c r="E256" s="716">
        <f t="shared" ref="E256:N256" si="159">LeagueDriver1Weighted</f>
        <v>20.00001</v>
      </c>
      <c r="F256" s="716">
        <f t="shared" si="159"/>
        <v>20.000001000000001</v>
      </c>
      <c r="G256" s="716">
        <f t="shared" si="159"/>
        <v>20.000000100000001</v>
      </c>
      <c r="H256" s="716">
        <f t="shared" si="159"/>
        <v>20.000000010000001</v>
      </c>
      <c r="I256" s="716">
        <f t="shared" si="159"/>
        <v>20.000000001</v>
      </c>
      <c r="J256" s="716">
        <f t="shared" si="159"/>
        <v>20.000000000999989</v>
      </c>
      <c r="K256" s="716">
        <f t="shared" si="159"/>
        <v>9.9997999999999989E-10</v>
      </c>
      <c r="L256" s="716">
        <f t="shared" si="159"/>
        <v>9.999699999999998E-10</v>
      </c>
      <c r="M256" s="716">
        <f t="shared" si="159"/>
        <v>9.9995999999999972E-10</v>
      </c>
      <c r="N256" s="716">
        <f t="shared" si="159"/>
        <v>9.9994999999999963E-10</v>
      </c>
    </row>
    <row r="257" spans="4:15">
      <c r="D257" s="252" t="str">
        <f>TLInputV2MOMValue2</f>
        <v>Customer Satisfaction</v>
      </c>
      <c r="E257" s="716">
        <f t="shared" ref="E257:N257" si="160">LeagueDriver3Weighted</f>
        <v>20.00001</v>
      </c>
      <c r="F257" s="716">
        <f t="shared" si="160"/>
        <v>20.000001000000001</v>
      </c>
      <c r="G257" s="716">
        <f t="shared" si="160"/>
        <v>20.000000100000001</v>
      </c>
      <c r="H257" s="716">
        <f t="shared" si="160"/>
        <v>20.000000010000001</v>
      </c>
      <c r="I257" s="716">
        <f t="shared" si="160"/>
        <v>20.000000001</v>
      </c>
      <c r="J257" s="716">
        <f t="shared" si="160"/>
        <v>20.000000000999989</v>
      </c>
      <c r="K257" s="716">
        <f t="shared" si="160"/>
        <v>9.9997999999999989E-10</v>
      </c>
      <c r="L257" s="716">
        <f t="shared" si="160"/>
        <v>9.999699999999998E-10</v>
      </c>
      <c r="M257" s="716">
        <f t="shared" si="160"/>
        <v>9.9995999999999972E-10</v>
      </c>
      <c r="N257" s="716">
        <f t="shared" si="160"/>
        <v>9.9994999999999963E-10</v>
      </c>
    </row>
    <row r="258" spans="4:15">
      <c r="D258" s="252" t="str">
        <f>TLInputV2MOMValue3</f>
        <v>Employee Engagement</v>
      </c>
      <c r="E258" s="716">
        <f t="shared" ref="E258:N258" si="161">LeagueDriver2Weighted</f>
        <v>20.00001</v>
      </c>
      <c r="F258" s="716">
        <f t="shared" si="161"/>
        <v>20.000001000000001</v>
      </c>
      <c r="G258" s="716">
        <f t="shared" si="161"/>
        <v>20.000000100000001</v>
      </c>
      <c r="H258" s="716">
        <f t="shared" si="161"/>
        <v>20.000000010000001</v>
      </c>
      <c r="I258" s="716">
        <f t="shared" si="161"/>
        <v>20.000000001</v>
      </c>
      <c r="J258" s="716">
        <f t="shared" si="161"/>
        <v>20.000000000999989</v>
      </c>
      <c r="K258" s="716">
        <f t="shared" si="161"/>
        <v>9.9997999999999989E-10</v>
      </c>
      <c r="L258" s="716">
        <f t="shared" si="161"/>
        <v>9.999699999999998E-10</v>
      </c>
      <c r="M258" s="716">
        <f t="shared" si="161"/>
        <v>9.9995999999999972E-10</v>
      </c>
      <c r="N258" s="716">
        <f t="shared" si="161"/>
        <v>9.9994999999999963E-10</v>
      </c>
    </row>
    <row r="259" spans="4:15">
      <c r="D259" s="252" t="str">
        <f>TLInputV2MOMValue4</f>
        <v>Trust</v>
      </c>
      <c r="E259" s="716">
        <f t="shared" ref="E259:N259" si="162">LeagueDriver4Weighted</f>
        <v>20.00001</v>
      </c>
      <c r="F259" s="716">
        <f t="shared" si="162"/>
        <v>20.000001000000001</v>
      </c>
      <c r="G259" s="716">
        <f t="shared" si="162"/>
        <v>20.000000100000001</v>
      </c>
      <c r="H259" s="716">
        <f t="shared" si="162"/>
        <v>20.000000010000001</v>
      </c>
      <c r="I259" s="716">
        <f t="shared" si="162"/>
        <v>20.000000001</v>
      </c>
      <c r="J259" s="716">
        <f t="shared" si="162"/>
        <v>20.000000000999989</v>
      </c>
      <c r="K259" s="716">
        <f t="shared" si="162"/>
        <v>9.9997999999999989E-10</v>
      </c>
      <c r="L259" s="716">
        <f t="shared" si="162"/>
        <v>9.999699999999998E-10</v>
      </c>
      <c r="M259" s="716">
        <f t="shared" si="162"/>
        <v>9.9995999999999972E-10</v>
      </c>
      <c r="N259" s="716">
        <f t="shared" si="162"/>
        <v>9.9994999999999963E-10</v>
      </c>
    </row>
    <row r="260" spans="4:15">
      <c r="D260" s="252" t="s">
        <v>3037</v>
      </c>
      <c r="E260" s="716">
        <f t="shared" ref="E260:N260" si="163">LeagueDriver5Weighted</f>
        <v>20.00001</v>
      </c>
      <c r="F260" s="716">
        <f t="shared" si="163"/>
        <v>20.000001000000001</v>
      </c>
      <c r="G260" s="716">
        <f t="shared" si="163"/>
        <v>20.000000100000001</v>
      </c>
      <c r="H260" s="716">
        <f t="shared" si="163"/>
        <v>20.000000010000001</v>
      </c>
      <c r="I260" s="716">
        <f t="shared" si="163"/>
        <v>20.000000001</v>
      </c>
      <c r="J260" s="716">
        <f t="shared" si="163"/>
        <v>20.000000000999989</v>
      </c>
      <c r="K260" s="716">
        <f t="shared" si="163"/>
        <v>9.9997999999999989E-10</v>
      </c>
      <c r="L260" s="716">
        <f t="shared" si="163"/>
        <v>9.999699999999998E-10</v>
      </c>
      <c r="M260" s="716">
        <f t="shared" si="163"/>
        <v>9.9995999999999972E-10</v>
      </c>
      <c r="N260" s="716">
        <f t="shared" si="163"/>
        <v>9.9994999999999963E-10</v>
      </c>
      <c r="O260" s="716"/>
    </row>
    <row r="261" spans="4:15">
      <c r="E261" s="333" t="str">
        <f t="shared" ref="E261:N261" si="164">E$23</f>
        <v>Snowflake (1)</v>
      </c>
      <c r="F261" s="333" t="str">
        <f t="shared" si="164"/>
        <v>Snowflake (2)</v>
      </c>
      <c r="G261" s="333" t="str">
        <f t="shared" si="164"/>
        <v>Snowflake (3)</v>
      </c>
      <c r="H261" s="333" t="str">
        <f t="shared" si="164"/>
        <v>Snowflake (4)</v>
      </c>
      <c r="I261" s="333" t="str">
        <f t="shared" si="164"/>
        <v>Snowflake (5)</v>
      </c>
      <c r="J261" s="333" t="str">
        <f t="shared" si="164"/>
        <v>Snowflake (6)</v>
      </c>
      <c r="K261" s="333" t="str">
        <f t="shared" si="164"/>
        <v>Snowflake (7)</v>
      </c>
      <c r="L261" s="333" t="str">
        <f t="shared" si="164"/>
        <v>Snowflake (8)</v>
      </c>
      <c r="M261" s="333" t="str">
        <f t="shared" si="164"/>
        <v>Snowflake (9)</v>
      </c>
      <c r="N261" s="333" t="str">
        <f t="shared" si="164"/>
        <v>Snowflake (10)</v>
      </c>
    </row>
    <row r="262" spans="4:15">
      <c r="D262" s="252" t="s">
        <v>2032</v>
      </c>
      <c r="E262" s="717">
        <f t="shared" ref="E262:N262" si="165">cbalExecutionVelocity</f>
        <v>0.5</v>
      </c>
      <c r="F262" s="717">
        <f t="shared" si="165"/>
        <v>0.5</v>
      </c>
      <c r="G262" s="717">
        <f t="shared" si="165"/>
        <v>0.5</v>
      </c>
      <c r="H262" s="717">
        <f t="shared" si="165"/>
        <v>0.5</v>
      </c>
      <c r="I262" s="717">
        <f t="shared" si="165"/>
        <v>0.5</v>
      </c>
      <c r="J262" s="717">
        <f t="shared" si="165"/>
        <v>0.5</v>
      </c>
      <c r="K262" s="717">
        <f t="shared" si="165"/>
        <v>0.5</v>
      </c>
      <c r="L262" s="717">
        <f t="shared" si="165"/>
        <v>0.5</v>
      </c>
      <c r="M262" s="717">
        <f t="shared" si="165"/>
        <v>0.5</v>
      </c>
      <c r="N262" s="717">
        <f t="shared" si="165"/>
        <v>0.5</v>
      </c>
    </row>
  </sheetData>
  <dataValidations disablePrompts="1" count="2">
    <dataValidation type="list" allowBlank="1" showInputMessage="1" showErrorMessage="1" sqref="O25 O32 O39 O46 O58 O70 O82 O94 O119 O131 O143 O155 O188 O240">
      <formula1>$R$5:$R$11</formula1>
    </dataValidation>
    <dataValidation type="whole" allowBlank="1" showInputMessage="1" showErrorMessage="1" errorTitle="Number of Teams" error="Please enter a valid number of teams: a whole number between 1 and 10, inclusive." sqref="D15">
      <formula1>1</formula1>
      <formula2>10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fbSimSizeColumns">
                <anchor moveWithCells="1" sizeWithCells="1">
                  <from>
                    <xdr:col>1</xdr:col>
                    <xdr:colOff>708660</xdr:colOff>
                    <xdr:row>16</xdr:row>
                    <xdr:rowOff>0</xdr:rowOff>
                  </from>
                  <to>
                    <xdr:col>3</xdr:col>
                    <xdr:colOff>1249680</xdr:colOff>
                    <xdr:row>17</xdr:row>
                    <xdr:rowOff>99060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5"/>
  </sheetPr>
  <dimension ref="A1:U52"/>
  <sheetViews>
    <sheetView workbookViewId="0"/>
  </sheetViews>
  <sheetFormatPr defaultColWidth="8.81640625" defaultRowHeight="12.6"/>
  <cols>
    <col min="1" max="2" width="15.1796875" style="330" customWidth="1"/>
    <col min="3" max="3" width="4.7265625" style="330" customWidth="1"/>
    <col min="4" max="4" width="12.7265625" style="330" customWidth="1"/>
    <col min="5" max="10" width="14.7265625" style="332" customWidth="1"/>
    <col min="11" max="14" width="14.7265625" style="332" hidden="1" customWidth="1"/>
    <col min="15" max="16384" width="8.81640625" style="330"/>
  </cols>
  <sheetData>
    <row r="1" spans="1:21" s="340" customFormat="1" ht="13.2">
      <c r="A1" s="340" t="s">
        <v>622</v>
      </c>
      <c r="E1" s="320" t="s">
        <v>8</v>
      </c>
      <c r="F1" s="320" t="s">
        <v>9</v>
      </c>
      <c r="G1" s="320" t="s">
        <v>10</v>
      </c>
      <c r="H1" s="320" t="s">
        <v>11</v>
      </c>
      <c r="I1" s="320" t="s">
        <v>12</v>
      </c>
      <c r="J1" s="320" t="s">
        <v>595</v>
      </c>
      <c r="K1" s="320" t="s">
        <v>596</v>
      </c>
      <c r="L1" s="320" t="s">
        <v>597</v>
      </c>
      <c r="M1" s="320" t="s">
        <v>598</v>
      </c>
      <c r="N1" s="320" t="s">
        <v>599</v>
      </c>
      <c r="O1" s="340" t="s">
        <v>623</v>
      </c>
      <c r="Q1" s="341">
        <f>COUNTIF(A:A,"Graph Type")</f>
        <v>2</v>
      </c>
      <c r="R1" s="319" t="s">
        <v>601</v>
      </c>
    </row>
    <row r="2" spans="1:21" s="252" customFormat="1">
      <c r="D2" s="323"/>
      <c r="F2" s="323"/>
      <c r="G2" s="323"/>
      <c r="H2" s="323"/>
      <c r="I2" s="323"/>
      <c r="J2" s="323"/>
      <c r="K2" s="323"/>
    </row>
    <row r="3" spans="1:21" s="321" customFormat="1">
      <c r="B3" s="322" t="s">
        <v>602</v>
      </c>
      <c r="C3" s="322"/>
      <c r="D3" s="322"/>
      <c r="E3" s="322"/>
      <c r="F3" s="322"/>
      <c r="G3" s="322"/>
      <c r="H3" s="322"/>
      <c r="I3" s="322"/>
      <c r="J3" s="322"/>
      <c r="K3" s="322"/>
      <c r="L3" s="322"/>
      <c r="M3" s="322"/>
      <c r="N3" s="322"/>
      <c r="O3" s="322"/>
      <c r="P3" s="322"/>
      <c r="Q3" s="322"/>
      <c r="R3" s="322"/>
      <c r="S3" s="322"/>
      <c r="T3" s="322"/>
      <c r="U3" s="322"/>
    </row>
    <row r="4" spans="1:21" s="252" customFormat="1">
      <c r="D4" s="323"/>
      <c r="F4" s="323"/>
      <c r="G4" s="323"/>
      <c r="H4" s="323"/>
      <c r="I4" s="323"/>
      <c r="J4" s="323"/>
      <c r="K4" s="323"/>
    </row>
    <row r="5" spans="1:21" s="252" customFormat="1">
      <c r="B5" s="324"/>
      <c r="C5" s="325" t="s">
        <v>603</v>
      </c>
      <c r="D5" s="326"/>
      <c r="F5" s="326"/>
      <c r="G5" s="326"/>
      <c r="H5" s="326"/>
      <c r="I5" s="326"/>
      <c r="J5" s="326"/>
      <c r="K5" s="326"/>
      <c r="R5" s="252" t="s">
        <v>624</v>
      </c>
    </row>
    <row r="6" spans="1:21" s="252" customFormat="1">
      <c r="B6" s="327"/>
      <c r="C6" s="325" t="s">
        <v>527</v>
      </c>
      <c r="D6" s="326"/>
      <c r="F6" s="326"/>
      <c r="G6" s="326"/>
      <c r="H6" s="326"/>
      <c r="I6" s="326"/>
      <c r="J6" s="326"/>
      <c r="K6" s="326"/>
      <c r="R6" s="252" t="s">
        <v>625</v>
      </c>
    </row>
    <row r="7" spans="1:21" s="252" customFormat="1">
      <c r="B7" s="342"/>
      <c r="C7" s="325" t="s">
        <v>606</v>
      </c>
      <c r="D7" s="326"/>
      <c r="F7" s="326"/>
      <c r="G7" s="326"/>
      <c r="H7" s="326"/>
      <c r="I7" s="326"/>
      <c r="J7" s="326"/>
      <c r="K7" s="326"/>
    </row>
    <row r="8" spans="1:21" s="252" customFormat="1">
      <c r="D8" s="323"/>
      <c r="F8" s="323"/>
      <c r="G8" s="323"/>
      <c r="H8" s="323"/>
      <c r="I8" s="323"/>
      <c r="J8" s="323"/>
      <c r="K8" s="323"/>
    </row>
    <row r="9" spans="1:21" s="321" customFormat="1">
      <c r="B9" s="322"/>
      <c r="C9" s="322"/>
      <c r="D9" s="322"/>
      <c r="E9" s="322"/>
      <c r="F9" s="322"/>
      <c r="G9" s="322"/>
      <c r="H9" s="322"/>
      <c r="I9" s="322"/>
      <c r="J9" s="322"/>
      <c r="K9" s="322"/>
      <c r="L9" s="322"/>
      <c r="M9" s="322"/>
      <c r="N9" s="322"/>
      <c r="O9" s="322"/>
      <c r="P9" s="322"/>
      <c r="Q9" s="322"/>
      <c r="R9" s="322"/>
      <c r="S9" s="322"/>
      <c r="T9" s="322"/>
      <c r="U9" s="322"/>
    </row>
    <row r="10" spans="1:21" s="252" customFormat="1">
      <c r="D10" s="323"/>
      <c r="F10" s="323"/>
      <c r="G10" s="323"/>
      <c r="H10" s="323"/>
      <c r="I10" s="323"/>
      <c r="J10" s="323"/>
      <c r="K10" s="323"/>
    </row>
    <row r="11" spans="1:21">
      <c r="D11" s="331" t="s">
        <v>41</v>
      </c>
      <c r="E11" s="246" t="str">
        <f>decTeamName</f>
        <v>Snowflake</v>
      </c>
      <c r="F11" s="246" t="str">
        <f>decTeamName</f>
        <v>Snowflake</v>
      </c>
      <c r="G11" s="246" t="str">
        <f>decTeamName</f>
        <v>Snowflake</v>
      </c>
      <c r="H11" s="246" t="str">
        <f>decTeamName</f>
        <v>Snowflake</v>
      </c>
      <c r="I11" s="246" t="str">
        <f>decTeamName</f>
        <v>Snowflake</v>
      </c>
      <c r="J11" s="246" t="s">
        <v>626</v>
      </c>
      <c r="K11" s="246" t="s">
        <v>626</v>
      </c>
      <c r="L11" s="246" t="s">
        <v>626</v>
      </c>
      <c r="M11" s="246" t="s">
        <v>626</v>
      </c>
      <c r="N11" s="246" t="s">
        <v>626</v>
      </c>
    </row>
    <row r="12" spans="1:21">
      <c r="E12" s="332" t="str">
        <f>E11&amp; " (1)"</f>
        <v>Snowflake (1)</v>
      </c>
      <c r="F12" s="332" t="str">
        <f>F11&amp; " (2)"</f>
        <v>Snowflake (2)</v>
      </c>
      <c r="G12" s="332" t="str">
        <f>G11&amp; " (3)"</f>
        <v>Snowflake (3)</v>
      </c>
      <c r="H12" s="332" t="str">
        <f>H11&amp; " (4)"</f>
        <v>Snowflake (4)</v>
      </c>
      <c r="I12" s="332" t="str">
        <f>I11&amp; " (5)"</f>
        <v>Snowflake (5)</v>
      </c>
      <c r="J12" s="332" t="str">
        <f>J11&amp; " (6)"</f>
        <v>decteamname (6)</v>
      </c>
      <c r="K12" s="332" t="str">
        <f>K11&amp; " (7)"</f>
        <v>decteamname (7)</v>
      </c>
      <c r="L12" s="332" t="str">
        <f>L11&amp; " (8)"</f>
        <v>decteamname (8)</v>
      </c>
      <c r="M12" s="332" t="str">
        <f>M11&amp; " (9)"</f>
        <v>decteamname (9)</v>
      </c>
      <c r="N12" s="332" t="str">
        <f>N11&amp; " (10)"</f>
        <v>decteamname (10)</v>
      </c>
    </row>
    <row r="14" spans="1:21" ht="13.2" thickBot="1">
      <c r="D14" s="343" t="s">
        <v>219</v>
      </c>
      <c r="E14" s="246" t="s">
        <v>627</v>
      </c>
      <c r="F14" s="246" t="s">
        <v>627</v>
      </c>
      <c r="G14" s="246" t="s">
        <v>627</v>
      </c>
      <c r="H14" s="246" t="s">
        <v>627</v>
      </c>
      <c r="I14" s="246" t="s">
        <v>627</v>
      </c>
      <c r="J14" s="246" t="s">
        <v>627</v>
      </c>
      <c r="K14" s="246" t="s">
        <v>627</v>
      </c>
      <c r="L14" s="246" t="s">
        <v>627</v>
      </c>
      <c r="M14" s="246" t="s">
        <v>627</v>
      </c>
      <c r="N14" s="246" t="s">
        <v>627</v>
      </c>
      <c r="O14" s="344" t="s">
        <v>628</v>
      </c>
    </row>
    <row r="15" spans="1:21">
      <c r="A15" s="345" t="s">
        <v>617</v>
      </c>
      <c r="B15" s="334" t="s">
        <v>625</v>
      </c>
      <c r="D15" s="346"/>
      <c r="E15" s="347" t="str">
        <f t="shared" ref="E15:N15" si="0">E$12</f>
        <v>Snowflake (1)</v>
      </c>
      <c r="F15" s="347" t="str">
        <f t="shared" si="0"/>
        <v>Snowflake (2)</v>
      </c>
      <c r="G15" s="347" t="str">
        <f t="shared" si="0"/>
        <v>Snowflake (3)</v>
      </c>
      <c r="H15" s="347" t="str">
        <f t="shared" si="0"/>
        <v>Snowflake (4)</v>
      </c>
      <c r="I15" s="347" t="str">
        <f t="shared" si="0"/>
        <v>Snowflake (5)</v>
      </c>
      <c r="J15" s="347" t="str">
        <f t="shared" si="0"/>
        <v>decteamname (6)</v>
      </c>
      <c r="K15" s="347" t="str">
        <f t="shared" si="0"/>
        <v>decteamname (7)</v>
      </c>
      <c r="L15" s="347" t="str">
        <f t="shared" si="0"/>
        <v>decteamname (8)</v>
      </c>
      <c r="M15" s="347" t="str">
        <f t="shared" si="0"/>
        <v>decteamname (9)</v>
      </c>
      <c r="N15" s="347" t="str">
        <f t="shared" si="0"/>
        <v>decteamname (10)</v>
      </c>
    </row>
    <row r="16" spans="1:21">
      <c r="A16" s="348" t="s">
        <v>58</v>
      </c>
      <c r="B16" s="336" t="s">
        <v>629</v>
      </c>
      <c r="D16" s="346">
        <v>0</v>
      </c>
      <c r="E16" s="349"/>
      <c r="F16" s="349"/>
      <c r="G16" s="349"/>
      <c r="H16" s="349"/>
      <c r="I16" s="349"/>
      <c r="J16" s="349"/>
      <c r="K16" s="349"/>
      <c r="L16" s="349"/>
      <c r="M16" s="349"/>
      <c r="N16" s="349"/>
    </row>
    <row r="17" spans="1:15">
      <c r="A17" s="348" t="s">
        <v>618</v>
      </c>
      <c r="B17" s="336" t="s">
        <v>219</v>
      </c>
      <c r="D17" s="346">
        <v>1</v>
      </c>
      <c r="E17" s="349"/>
      <c r="F17" s="349"/>
      <c r="G17" s="349"/>
      <c r="H17" s="349"/>
      <c r="I17" s="349"/>
      <c r="J17" s="349"/>
      <c r="K17" s="349"/>
      <c r="L17" s="349"/>
      <c r="M17" s="349"/>
      <c r="N17" s="349"/>
    </row>
    <row r="18" spans="1:15">
      <c r="A18" s="348" t="s">
        <v>619</v>
      </c>
      <c r="B18" s="336" t="s">
        <v>630</v>
      </c>
      <c r="D18" s="346">
        <v>2</v>
      </c>
      <c r="E18" s="349"/>
      <c r="F18" s="349"/>
      <c r="G18" s="349"/>
      <c r="H18" s="349"/>
      <c r="I18" s="349"/>
      <c r="J18" s="349"/>
      <c r="K18" s="349"/>
      <c r="L18" s="349"/>
      <c r="M18" s="349"/>
      <c r="N18" s="349"/>
    </row>
    <row r="19" spans="1:15" ht="13.2" thickBot="1">
      <c r="A19" s="348" t="s">
        <v>620</v>
      </c>
      <c r="B19" s="338" t="s">
        <v>631</v>
      </c>
      <c r="D19" s="346">
        <v>3</v>
      </c>
      <c r="E19" s="349"/>
      <c r="F19" s="349"/>
      <c r="G19" s="349"/>
      <c r="H19" s="349"/>
      <c r="I19" s="349"/>
      <c r="J19" s="349"/>
      <c r="K19" s="349"/>
      <c r="L19" s="349"/>
      <c r="M19" s="349"/>
      <c r="N19" s="349"/>
    </row>
    <row r="20" spans="1:15">
      <c r="A20" s="348" t="s">
        <v>632</v>
      </c>
      <c r="B20" s="336">
        <v>24</v>
      </c>
      <c r="D20" s="346">
        <v>4</v>
      </c>
      <c r="E20" s="349"/>
      <c r="F20" s="349"/>
      <c r="G20" s="349"/>
      <c r="H20" s="349"/>
      <c r="I20" s="349"/>
      <c r="J20" s="349"/>
      <c r="K20" s="349"/>
      <c r="L20" s="349"/>
      <c r="M20" s="349"/>
      <c r="N20" s="349"/>
    </row>
    <row r="21" spans="1:15">
      <c r="A21" s="348" t="s">
        <v>633</v>
      </c>
      <c r="B21" s="336">
        <v>32</v>
      </c>
      <c r="D21" s="346"/>
      <c r="E21" s="346"/>
      <c r="F21" s="346"/>
      <c r="G21" s="346"/>
      <c r="H21" s="346"/>
      <c r="I21" s="346"/>
      <c r="J21" s="346"/>
      <c r="K21" s="346"/>
      <c r="L21" s="346"/>
      <c r="M21" s="346"/>
      <c r="N21" s="346"/>
    </row>
    <row r="22" spans="1:15" ht="13.2" thickBot="1">
      <c r="A22" s="350" t="s">
        <v>634</v>
      </c>
      <c r="B22" s="336">
        <v>40</v>
      </c>
      <c r="D22" s="343" t="s">
        <v>630</v>
      </c>
      <c r="E22" s="246" t="s">
        <v>627</v>
      </c>
      <c r="F22" s="246" t="s">
        <v>627</v>
      </c>
      <c r="G22" s="246" t="s">
        <v>627</v>
      </c>
      <c r="H22" s="246" t="s">
        <v>627</v>
      </c>
      <c r="I22" s="246" t="s">
        <v>627</v>
      </c>
      <c r="J22" s="246" t="s">
        <v>627</v>
      </c>
      <c r="K22" s="246" t="s">
        <v>627</v>
      </c>
      <c r="L22" s="246" t="s">
        <v>627</v>
      </c>
      <c r="M22" s="246" t="s">
        <v>627</v>
      </c>
      <c r="N22" s="246" t="s">
        <v>627</v>
      </c>
      <c r="O22" s="344" t="s">
        <v>635</v>
      </c>
    </row>
    <row r="23" spans="1:15" ht="13.2" thickBot="1">
      <c r="A23" s="351" t="s">
        <v>636</v>
      </c>
      <c r="B23" s="352"/>
      <c r="D23" s="346"/>
      <c r="E23" s="353" t="str">
        <f t="shared" ref="E23:N23" si="1">E$12</f>
        <v>Snowflake (1)</v>
      </c>
      <c r="F23" s="353" t="str">
        <f t="shared" si="1"/>
        <v>Snowflake (2)</v>
      </c>
      <c r="G23" s="353" t="str">
        <f t="shared" si="1"/>
        <v>Snowflake (3)</v>
      </c>
      <c r="H23" s="353" t="str">
        <f t="shared" si="1"/>
        <v>Snowflake (4)</v>
      </c>
      <c r="I23" s="353" t="str">
        <f t="shared" si="1"/>
        <v>Snowflake (5)</v>
      </c>
      <c r="J23" s="353" t="str">
        <f t="shared" si="1"/>
        <v>decteamname (6)</v>
      </c>
      <c r="K23" s="353" t="str">
        <f t="shared" si="1"/>
        <v>decteamname (7)</v>
      </c>
      <c r="L23" s="353" t="str">
        <f t="shared" si="1"/>
        <v>decteamname (8)</v>
      </c>
      <c r="M23" s="353" t="str">
        <f t="shared" si="1"/>
        <v>decteamname (9)</v>
      </c>
      <c r="N23" s="353" t="str">
        <f t="shared" si="1"/>
        <v>decteamname (10)</v>
      </c>
    </row>
    <row r="24" spans="1:15">
      <c r="D24" s="346">
        <v>0</v>
      </c>
      <c r="E24" s="354"/>
      <c r="F24" s="354"/>
      <c r="G24" s="354"/>
      <c r="H24" s="354"/>
      <c r="I24" s="354"/>
      <c r="J24" s="354"/>
      <c r="K24" s="354"/>
      <c r="L24" s="354"/>
      <c r="M24" s="354"/>
      <c r="N24" s="354"/>
    </row>
    <row r="25" spans="1:15">
      <c r="D25" s="346">
        <v>1</v>
      </c>
      <c r="E25" s="354"/>
      <c r="F25" s="354"/>
      <c r="G25" s="354"/>
      <c r="H25" s="354"/>
      <c r="I25" s="354"/>
      <c r="J25" s="354"/>
      <c r="K25" s="354"/>
      <c r="L25" s="354"/>
      <c r="M25" s="354"/>
      <c r="N25" s="354"/>
    </row>
    <row r="26" spans="1:15">
      <c r="D26" s="346">
        <v>2</v>
      </c>
      <c r="E26" s="354"/>
      <c r="F26" s="354"/>
      <c r="G26" s="354"/>
      <c r="H26" s="354"/>
      <c r="I26" s="354"/>
      <c r="J26" s="354"/>
      <c r="K26" s="354"/>
      <c r="L26" s="354"/>
      <c r="M26" s="354"/>
      <c r="N26" s="354"/>
    </row>
    <row r="27" spans="1:15">
      <c r="D27" s="346">
        <v>3</v>
      </c>
      <c r="E27" s="354"/>
      <c r="F27" s="354"/>
      <c r="G27" s="354"/>
      <c r="H27" s="354"/>
      <c r="I27" s="354"/>
      <c r="J27" s="354"/>
      <c r="K27" s="354"/>
      <c r="L27" s="354"/>
      <c r="M27" s="354"/>
      <c r="N27" s="354"/>
    </row>
    <row r="28" spans="1:15">
      <c r="D28" s="346">
        <v>4</v>
      </c>
      <c r="E28" s="354"/>
      <c r="F28" s="354"/>
      <c r="G28" s="354"/>
      <c r="H28" s="354"/>
      <c r="I28" s="354"/>
      <c r="J28" s="354"/>
      <c r="K28" s="354"/>
      <c r="L28" s="354"/>
      <c r="M28" s="354"/>
      <c r="N28" s="354"/>
    </row>
    <row r="29" spans="1:15">
      <c r="D29" s="346"/>
      <c r="E29" s="346"/>
      <c r="F29" s="346"/>
      <c r="G29" s="346"/>
      <c r="H29" s="346"/>
      <c r="I29" s="346"/>
      <c r="J29" s="346"/>
      <c r="K29" s="346"/>
      <c r="L29" s="346"/>
      <c r="M29" s="346"/>
      <c r="N29" s="346"/>
    </row>
    <row r="30" spans="1:15">
      <c r="D30" s="343" t="s">
        <v>637</v>
      </c>
      <c r="E30" s="246" t="s">
        <v>627</v>
      </c>
      <c r="F30" s="246" t="s">
        <v>627</v>
      </c>
      <c r="G30" s="246" t="s">
        <v>627</v>
      </c>
      <c r="H30" s="246" t="s">
        <v>627</v>
      </c>
      <c r="I30" s="246" t="s">
        <v>627</v>
      </c>
      <c r="J30" s="246" t="s">
        <v>627</v>
      </c>
      <c r="K30" s="246" t="s">
        <v>627</v>
      </c>
      <c r="L30" s="246" t="s">
        <v>627</v>
      </c>
      <c r="M30" s="246" t="s">
        <v>627</v>
      </c>
      <c r="N30" s="246" t="s">
        <v>627</v>
      </c>
      <c r="O30" s="344" t="s">
        <v>638</v>
      </c>
    </row>
    <row r="31" spans="1:15">
      <c r="D31" s="346"/>
      <c r="E31" s="353" t="str">
        <f t="shared" ref="E31:N31" si="2">E$12</f>
        <v>Snowflake (1)</v>
      </c>
      <c r="F31" s="353" t="str">
        <f t="shared" si="2"/>
        <v>Snowflake (2)</v>
      </c>
      <c r="G31" s="353" t="str">
        <f t="shared" si="2"/>
        <v>Snowflake (3)</v>
      </c>
      <c r="H31" s="353" t="str">
        <f t="shared" si="2"/>
        <v>Snowflake (4)</v>
      </c>
      <c r="I31" s="353" t="str">
        <f t="shared" si="2"/>
        <v>Snowflake (5)</v>
      </c>
      <c r="J31" s="353" t="str">
        <f t="shared" si="2"/>
        <v>decteamname (6)</v>
      </c>
      <c r="K31" s="353" t="str">
        <f t="shared" si="2"/>
        <v>decteamname (7)</v>
      </c>
      <c r="L31" s="353" t="str">
        <f t="shared" si="2"/>
        <v>decteamname (8)</v>
      </c>
      <c r="M31" s="353" t="str">
        <f t="shared" si="2"/>
        <v>decteamname (9)</v>
      </c>
      <c r="N31" s="353" t="str">
        <f t="shared" si="2"/>
        <v>decteamname (10)</v>
      </c>
    </row>
    <row r="32" spans="1:15">
      <c r="D32" s="346">
        <v>0</v>
      </c>
      <c r="E32" s="354"/>
      <c r="F32" s="354"/>
      <c r="G32" s="354"/>
      <c r="H32" s="354"/>
      <c r="I32" s="354"/>
      <c r="J32" s="354"/>
      <c r="K32" s="354"/>
      <c r="L32" s="354"/>
      <c r="M32" s="354"/>
      <c r="N32" s="354"/>
    </row>
    <row r="33" spans="1:15">
      <c r="D33" s="346">
        <v>1</v>
      </c>
      <c r="E33" s="354"/>
      <c r="F33" s="354"/>
      <c r="G33" s="354"/>
      <c r="H33" s="354"/>
      <c r="I33" s="354"/>
      <c r="J33" s="354"/>
      <c r="K33" s="354"/>
      <c r="L33" s="354"/>
      <c r="M33" s="354"/>
      <c r="N33" s="354"/>
    </row>
    <row r="34" spans="1:15">
      <c r="D34" s="346">
        <v>2</v>
      </c>
      <c r="E34" s="354"/>
      <c r="F34" s="354"/>
      <c r="G34" s="354"/>
      <c r="H34" s="354"/>
      <c r="I34" s="354"/>
      <c r="J34" s="354"/>
      <c r="K34" s="354"/>
      <c r="L34" s="354"/>
      <c r="M34" s="354"/>
      <c r="N34" s="354"/>
    </row>
    <row r="35" spans="1:15">
      <c r="D35" s="346">
        <v>3</v>
      </c>
      <c r="E35" s="354"/>
      <c r="F35" s="354"/>
      <c r="G35" s="354"/>
      <c r="H35" s="354"/>
      <c r="I35" s="354"/>
      <c r="J35" s="354"/>
      <c r="K35" s="354"/>
      <c r="L35" s="354"/>
      <c r="M35" s="354"/>
      <c r="N35" s="354"/>
    </row>
    <row r="36" spans="1:15">
      <c r="D36" s="346">
        <v>4</v>
      </c>
      <c r="E36" s="354"/>
      <c r="F36" s="354"/>
      <c r="G36" s="354"/>
      <c r="H36" s="354"/>
      <c r="I36" s="354"/>
      <c r="J36" s="354"/>
      <c r="K36" s="354"/>
      <c r="L36" s="354"/>
      <c r="M36" s="354"/>
      <c r="N36" s="354"/>
    </row>
    <row r="37" spans="1:15">
      <c r="D37" s="346"/>
      <c r="E37" s="355"/>
      <c r="F37" s="355"/>
      <c r="G37" s="355"/>
      <c r="H37" s="355"/>
      <c r="I37" s="355"/>
      <c r="J37" s="355"/>
      <c r="K37" s="355"/>
      <c r="L37" s="355"/>
      <c r="M37" s="355"/>
      <c r="N37" s="355"/>
    </row>
    <row r="38" spans="1:15">
      <c r="D38" s="343" t="s">
        <v>639</v>
      </c>
      <c r="E38" s="246" t="s">
        <v>627</v>
      </c>
      <c r="F38" s="246" t="s">
        <v>627</v>
      </c>
      <c r="G38" s="246" t="s">
        <v>627</v>
      </c>
      <c r="H38" s="246" t="s">
        <v>627</v>
      </c>
      <c r="I38" s="246" t="s">
        <v>627</v>
      </c>
      <c r="J38" s="246" t="s">
        <v>627</v>
      </c>
      <c r="K38" s="246" t="s">
        <v>627</v>
      </c>
      <c r="L38" s="246" t="s">
        <v>627</v>
      </c>
      <c r="M38" s="246" t="s">
        <v>627</v>
      </c>
      <c r="N38" s="246" t="s">
        <v>627</v>
      </c>
      <c r="O38" s="344" t="s">
        <v>640</v>
      </c>
    </row>
    <row r="39" spans="1:15">
      <c r="D39" s="346"/>
      <c r="E39" s="353" t="str">
        <f t="shared" ref="E39:N39" si="3">E$12</f>
        <v>Snowflake (1)</v>
      </c>
      <c r="F39" s="353" t="str">
        <f t="shared" si="3"/>
        <v>Snowflake (2)</v>
      </c>
      <c r="G39" s="353" t="str">
        <f t="shared" si="3"/>
        <v>Snowflake (3)</v>
      </c>
      <c r="H39" s="353" t="str">
        <f t="shared" si="3"/>
        <v>Snowflake (4)</v>
      </c>
      <c r="I39" s="353" t="str">
        <f t="shared" si="3"/>
        <v>Snowflake (5)</v>
      </c>
      <c r="J39" s="353" t="str">
        <f t="shared" si="3"/>
        <v>decteamname (6)</v>
      </c>
      <c r="K39" s="353" t="str">
        <f t="shared" si="3"/>
        <v>decteamname (7)</v>
      </c>
      <c r="L39" s="353" t="str">
        <f t="shared" si="3"/>
        <v>decteamname (8)</v>
      </c>
      <c r="M39" s="353" t="str">
        <f t="shared" si="3"/>
        <v>decteamname (9)</v>
      </c>
      <c r="N39" s="353" t="str">
        <f t="shared" si="3"/>
        <v>decteamname (10)</v>
      </c>
    </row>
    <row r="40" spans="1:15">
      <c r="D40" s="346">
        <v>0</v>
      </c>
      <c r="E40" s="354"/>
      <c r="F40" s="354"/>
      <c r="G40" s="354"/>
      <c r="H40" s="354"/>
      <c r="I40" s="354"/>
      <c r="J40" s="354"/>
      <c r="K40" s="354"/>
      <c r="L40" s="354"/>
      <c r="M40" s="354"/>
      <c r="N40" s="354"/>
    </row>
    <row r="41" spans="1:15">
      <c r="D41" s="346">
        <v>1</v>
      </c>
      <c r="E41" s="354"/>
      <c r="F41" s="354"/>
      <c r="G41" s="354"/>
      <c r="H41" s="354"/>
      <c r="I41" s="354"/>
      <c r="J41" s="354"/>
      <c r="K41" s="354"/>
      <c r="L41" s="354"/>
      <c r="M41" s="354"/>
      <c r="N41" s="354"/>
    </row>
    <row r="42" spans="1:15">
      <c r="D42" s="346">
        <v>2</v>
      </c>
      <c r="E42" s="354"/>
      <c r="F42" s="354"/>
      <c r="G42" s="354"/>
      <c r="H42" s="354"/>
      <c r="I42" s="354"/>
      <c r="J42" s="354"/>
      <c r="K42" s="354"/>
      <c r="L42" s="354"/>
      <c r="M42" s="354"/>
      <c r="N42" s="354"/>
    </row>
    <row r="43" spans="1:15">
      <c r="D43" s="346">
        <v>3</v>
      </c>
      <c r="E43" s="354"/>
      <c r="F43" s="354"/>
      <c r="G43" s="354"/>
      <c r="H43" s="354"/>
      <c r="I43" s="354"/>
      <c r="J43" s="354"/>
      <c r="K43" s="354"/>
      <c r="L43" s="354"/>
      <c r="M43" s="354"/>
      <c r="N43" s="354"/>
    </row>
    <row r="44" spans="1:15">
      <c r="D44" s="346">
        <v>4</v>
      </c>
      <c r="E44" s="354"/>
      <c r="F44" s="354"/>
      <c r="G44" s="354"/>
      <c r="H44" s="354"/>
      <c r="I44" s="354"/>
      <c r="J44" s="354"/>
      <c r="K44" s="354"/>
      <c r="L44" s="354"/>
      <c r="M44" s="354"/>
      <c r="N44" s="354"/>
    </row>
    <row r="46" spans="1:15" ht="13.2" thickBot="1">
      <c r="D46" s="356"/>
      <c r="E46" s="246" t="s">
        <v>627</v>
      </c>
      <c r="F46" s="246" t="s">
        <v>627</v>
      </c>
      <c r="G46" s="246" t="s">
        <v>627</v>
      </c>
      <c r="H46" s="246" t="s">
        <v>627</v>
      </c>
      <c r="I46" s="246" t="s">
        <v>627</v>
      </c>
      <c r="J46" s="246" t="s">
        <v>627</v>
      </c>
      <c r="K46" s="246" t="s">
        <v>627</v>
      </c>
      <c r="L46" s="246" t="s">
        <v>627</v>
      </c>
      <c r="M46" s="246" t="s">
        <v>627</v>
      </c>
      <c r="N46" s="246" t="s">
        <v>627</v>
      </c>
      <c r="O46" s="344" t="s">
        <v>641</v>
      </c>
    </row>
    <row r="47" spans="1:15">
      <c r="A47" s="345" t="s">
        <v>617</v>
      </c>
      <c r="B47" s="334" t="s">
        <v>624</v>
      </c>
      <c r="D47" s="356"/>
      <c r="E47" s="353" t="str">
        <f t="shared" ref="E47:N47" si="4">E$12</f>
        <v>Snowflake (1)</v>
      </c>
      <c r="F47" s="353" t="str">
        <f t="shared" si="4"/>
        <v>Snowflake (2)</v>
      </c>
      <c r="G47" s="353" t="str">
        <f t="shared" si="4"/>
        <v>Snowflake (3)</v>
      </c>
      <c r="H47" s="353" t="str">
        <f t="shared" si="4"/>
        <v>Snowflake (4)</v>
      </c>
      <c r="I47" s="353" t="str">
        <f t="shared" si="4"/>
        <v>Snowflake (5)</v>
      </c>
      <c r="J47" s="353" t="str">
        <f t="shared" si="4"/>
        <v>decteamname (6)</v>
      </c>
      <c r="K47" s="353" t="str">
        <f t="shared" si="4"/>
        <v>decteamname (7)</v>
      </c>
      <c r="L47" s="353" t="str">
        <f t="shared" si="4"/>
        <v>decteamname (8)</v>
      </c>
      <c r="M47" s="353" t="str">
        <f t="shared" si="4"/>
        <v>decteamname (9)</v>
      </c>
      <c r="N47" s="353" t="str">
        <f t="shared" si="4"/>
        <v>decteamname (10)</v>
      </c>
      <c r="O47" s="356"/>
    </row>
    <row r="48" spans="1:15">
      <c r="A48" s="348" t="s">
        <v>58</v>
      </c>
      <c r="B48" s="336" t="s">
        <v>642</v>
      </c>
      <c r="D48" s="346">
        <v>0</v>
      </c>
      <c r="E48" s="354"/>
      <c r="F48" s="354"/>
      <c r="G48" s="354"/>
      <c r="H48" s="354"/>
      <c r="I48" s="354"/>
      <c r="J48" s="354"/>
      <c r="K48" s="354"/>
      <c r="L48" s="354"/>
      <c r="M48" s="354"/>
      <c r="N48" s="354"/>
      <c r="O48" s="356"/>
    </row>
    <row r="49" spans="1:15">
      <c r="A49" s="348" t="s">
        <v>618</v>
      </c>
      <c r="B49" s="336"/>
      <c r="D49" s="346">
        <v>1</v>
      </c>
      <c r="E49" s="354"/>
      <c r="F49" s="354"/>
      <c r="G49" s="354"/>
      <c r="H49" s="354"/>
      <c r="I49" s="354"/>
      <c r="J49" s="354"/>
      <c r="K49" s="354"/>
      <c r="L49" s="354"/>
      <c r="M49" s="354"/>
      <c r="N49" s="354"/>
      <c r="O49" s="356"/>
    </row>
    <row r="50" spans="1:15">
      <c r="A50" s="348" t="s">
        <v>619</v>
      </c>
      <c r="B50" s="336" t="s">
        <v>126</v>
      </c>
      <c r="D50" s="346">
        <v>2</v>
      </c>
      <c r="E50" s="354"/>
      <c r="F50" s="354"/>
      <c r="G50" s="354"/>
      <c r="H50" s="354"/>
      <c r="I50" s="354"/>
      <c r="J50" s="354"/>
      <c r="K50" s="354"/>
      <c r="L50" s="354"/>
      <c r="M50" s="354"/>
      <c r="N50" s="354"/>
      <c r="O50" s="356"/>
    </row>
    <row r="51" spans="1:15" ht="13.2" thickBot="1">
      <c r="A51" s="350" t="s">
        <v>620</v>
      </c>
      <c r="B51" s="338" t="s">
        <v>643</v>
      </c>
      <c r="D51" s="346">
        <v>3</v>
      </c>
      <c r="E51" s="354"/>
      <c r="F51" s="354"/>
      <c r="G51" s="354"/>
      <c r="H51" s="354"/>
      <c r="I51" s="354"/>
      <c r="J51" s="354"/>
      <c r="K51" s="354"/>
      <c r="L51" s="354"/>
      <c r="M51" s="354"/>
      <c r="N51" s="354"/>
      <c r="O51" s="356"/>
    </row>
    <row r="52" spans="1:15">
      <c r="D52" s="346">
        <v>4</v>
      </c>
      <c r="E52" s="354"/>
      <c r="F52" s="354"/>
      <c r="G52" s="354"/>
      <c r="H52" s="354"/>
      <c r="I52" s="354"/>
      <c r="J52" s="354"/>
      <c r="K52" s="354"/>
      <c r="L52" s="354"/>
      <c r="M52" s="354"/>
      <c r="N52" s="354"/>
    </row>
  </sheetData>
  <conditionalFormatting sqref="N6:N7">
    <cfRule type="colorScale" priority="1">
      <colorScale>
        <cfvo type="min"/>
        <cfvo type="percentile" val="50"/>
        <cfvo type="max"/>
        <color rgb="FFF8696B"/>
        <color rgb="FFFFEB84"/>
        <color rgb="FF63BE7B"/>
      </colorScale>
    </cfRule>
  </conditionalFormatting>
  <conditionalFormatting sqref="M6:M7">
    <cfRule type="colorScale" priority="2">
      <colorScale>
        <cfvo type="min"/>
        <cfvo type="percentile" val="50"/>
        <cfvo type="max"/>
        <color rgb="FFF8696B"/>
        <color rgb="FFFFEB84"/>
        <color rgb="FF63BE7B"/>
      </colorScale>
    </cfRule>
  </conditionalFormatting>
  <dataValidations disablePrompts="1" count="2">
    <dataValidation type="list" allowBlank="1" showInputMessage="1" showErrorMessage="1" sqref="B47">
      <formula1>listFBTypes</formula1>
    </dataValidation>
    <dataValidation type="list" allowBlank="1" showInputMessage="1" showErrorMessage="1" sqref="B15">
      <formula1>$R$5:$R$6</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3858</vt:i4>
      </vt:variant>
    </vt:vector>
  </HeadingPairs>
  <TitlesOfParts>
    <vt:vector size="3897" baseType="lpstr">
      <vt:lpstr>Instructions</vt:lpstr>
      <vt:lpstr>DeveloperNotes</vt:lpstr>
      <vt:lpstr>Controls</vt:lpstr>
      <vt:lpstr>PopUp</vt:lpstr>
      <vt:lpstr>Wobbler</vt:lpstr>
      <vt:lpstr>frmNavControls</vt:lpstr>
      <vt:lpstr>ClearAdj</vt:lpstr>
      <vt:lpstr>DecErrorMessage</vt:lpstr>
      <vt:lpstr>League</vt:lpstr>
      <vt:lpstr>Dashboard</vt:lpstr>
      <vt:lpstr>InfoButton</vt:lpstr>
      <vt:lpstr>ExportData</vt:lpstr>
      <vt:lpstr>tlIntro</vt:lpstr>
      <vt:lpstr>tlV2MOM</vt:lpstr>
      <vt:lpstr>tlPeople</vt:lpstr>
      <vt:lpstr>tlIT</vt:lpstr>
      <vt:lpstr>tlGTM</vt:lpstr>
      <vt:lpstr>tlProduct</vt:lpstr>
      <vt:lpstr>tlTimeline</vt:lpstr>
      <vt:lpstr>tlScenarios</vt:lpstr>
      <vt:lpstr>Graphs</vt:lpstr>
      <vt:lpstr>ModuleLockCells</vt:lpstr>
      <vt:lpstr>ModuleUnLockCells</vt:lpstr>
      <vt:lpstr>SimpleCSV_Config</vt:lpstr>
      <vt:lpstr>SimpleCSV_Import</vt:lpstr>
      <vt:lpstr>SimpleCSV_Data</vt:lpstr>
      <vt:lpstr>Dec</vt:lpstr>
      <vt:lpstr>Fin</vt:lpstr>
      <vt:lpstr>Obal</vt:lpstr>
      <vt:lpstr>Cbal</vt:lpstr>
      <vt:lpstr>param</vt:lpstr>
      <vt:lpstr>adj</vt:lpstr>
      <vt:lpstr>Calc</vt:lpstr>
      <vt:lpstr>Analysis</vt:lpstr>
      <vt:lpstr>Data</vt:lpstr>
      <vt:lpstr>Glossary</vt:lpstr>
      <vt:lpstr>CaseGraphs</vt:lpstr>
      <vt:lpstr>Feedback</vt:lpstr>
      <vt:lpstr>FeedbackTS</vt:lpstr>
      <vt:lpstr>adj_IndexTeam</vt:lpstr>
      <vt:lpstr>adjDisruptionThresh</vt:lpstr>
      <vt:lpstr>button1_visible</vt:lpstr>
      <vt:lpstr>button10_visible</vt:lpstr>
      <vt:lpstr>button11_visible</vt:lpstr>
      <vt:lpstr>button12_visible</vt:lpstr>
      <vt:lpstr>button13_visible</vt:lpstr>
      <vt:lpstr>button14_visible</vt:lpstr>
      <vt:lpstr>button15_visible</vt:lpstr>
      <vt:lpstr>button16_visible</vt:lpstr>
      <vt:lpstr>button17_visible</vt:lpstr>
      <vt:lpstr>button18_visible</vt:lpstr>
      <vt:lpstr>button19_visible</vt:lpstr>
      <vt:lpstr>button2_visible</vt:lpstr>
      <vt:lpstr>button20_visible</vt:lpstr>
      <vt:lpstr>button21_visible</vt:lpstr>
      <vt:lpstr>button22_visible</vt:lpstr>
      <vt:lpstr>button23_visible</vt:lpstr>
      <vt:lpstr>button24_visible</vt:lpstr>
      <vt:lpstr>button25_visible</vt:lpstr>
      <vt:lpstr>button26_visible</vt:lpstr>
      <vt:lpstr>button27_visible</vt:lpstr>
      <vt:lpstr>button28_visible</vt:lpstr>
      <vt:lpstr>button29_visible</vt:lpstr>
      <vt:lpstr>button3_visible</vt:lpstr>
      <vt:lpstr>button30_visible</vt:lpstr>
      <vt:lpstr>button31_visible</vt:lpstr>
      <vt:lpstr>button32_visible</vt:lpstr>
      <vt:lpstr>button33_visible</vt:lpstr>
      <vt:lpstr>button34_visible</vt:lpstr>
      <vt:lpstr>button35_visible</vt:lpstr>
      <vt:lpstr>button36_visible</vt:lpstr>
      <vt:lpstr>button37_visible</vt:lpstr>
      <vt:lpstr>button38_visible</vt:lpstr>
      <vt:lpstr>button39_visible</vt:lpstr>
      <vt:lpstr>button4_visible</vt:lpstr>
      <vt:lpstr>button40_visible</vt:lpstr>
      <vt:lpstr>button41_visible</vt:lpstr>
      <vt:lpstr>button42_visible</vt:lpstr>
      <vt:lpstr>button43_visible</vt:lpstr>
      <vt:lpstr>button44_visible</vt:lpstr>
      <vt:lpstr>button45_visible</vt:lpstr>
      <vt:lpstr>button46_visible</vt:lpstr>
      <vt:lpstr>button47_visible</vt:lpstr>
      <vt:lpstr>button48_visible</vt:lpstr>
      <vt:lpstr>button49_visible</vt:lpstr>
      <vt:lpstr>button5_visible</vt:lpstr>
      <vt:lpstr>button50_visible</vt:lpstr>
      <vt:lpstr>button51_visible</vt:lpstr>
      <vt:lpstr>button52_visible</vt:lpstr>
      <vt:lpstr>button53_visible</vt:lpstr>
      <vt:lpstr>button54_visible</vt:lpstr>
      <vt:lpstr>button55_visible</vt:lpstr>
      <vt:lpstr>button56_visible</vt:lpstr>
      <vt:lpstr>button57_visible</vt:lpstr>
      <vt:lpstr>button58_visible</vt:lpstr>
      <vt:lpstr>button59_visible</vt:lpstr>
      <vt:lpstr>button6_visible</vt:lpstr>
      <vt:lpstr>button60_visible</vt:lpstr>
      <vt:lpstr>button61_visible</vt:lpstr>
      <vt:lpstr>button62_visible</vt:lpstr>
      <vt:lpstr>button63_visible</vt:lpstr>
      <vt:lpstr>button64_visible</vt:lpstr>
      <vt:lpstr>button65_visible</vt:lpstr>
      <vt:lpstr>button66_visible</vt:lpstr>
      <vt:lpstr>button67_visible</vt:lpstr>
      <vt:lpstr>button68_visible</vt:lpstr>
      <vt:lpstr>button69_visible</vt:lpstr>
      <vt:lpstr>button7_visible</vt:lpstr>
      <vt:lpstr>button70_visible</vt:lpstr>
      <vt:lpstr>button71_visible</vt:lpstr>
      <vt:lpstr>button72_visible</vt:lpstr>
      <vt:lpstr>button8_visible</vt:lpstr>
      <vt:lpstr>button9_visible</vt:lpstr>
      <vt:lpstr>calcACVTotalY0</vt:lpstr>
      <vt:lpstr>calcACVTotalY1</vt:lpstr>
      <vt:lpstr>calcACVTotalY2</vt:lpstr>
      <vt:lpstr>calcACVTotalY3</vt:lpstr>
      <vt:lpstr>calcACVTotalY4</vt:lpstr>
      <vt:lpstr>calcACVTotalY5</vt:lpstr>
      <vt:lpstr>calcACVY1Q1</vt:lpstr>
      <vt:lpstr>calcACVY1Q2</vt:lpstr>
      <vt:lpstr>calcACVY1Q3</vt:lpstr>
      <vt:lpstr>calcACVY1Q4</vt:lpstr>
      <vt:lpstr>calcACVY2Q1</vt:lpstr>
      <vt:lpstr>calcACVY2Q2</vt:lpstr>
      <vt:lpstr>calcACVY2Q3</vt:lpstr>
      <vt:lpstr>calcACVY2Q4</vt:lpstr>
      <vt:lpstr>calcACVY3Q1</vt:lpstr>
      <vt:lpstr>calcACVY3Q2</vt:lpstr>
      <vt:lpstr>calcACVY3Q3</vt:lpstr>
      <vt:lpstr>calcACVY3Q4</vt:lpstr>
      <vt:lpstr>calcACVY4Q1</vt:lpstr>
      <vt:lpstr>calcACVY4Q2</vt:lpstr>
      <vt:lpstr>calcACVY4Q3</vt:lpstr>
      <vt:lpstr>calcACVY4Q4</vt:lpstr>
      <vt:lpstr>calcACVY5Q1</vt:lpstr>
      <vt:lpstr>calcACVY5Q2</vt:lpstr>
      <vt:lpstr>calcACVY5Q3</vt:lpstr>
      <vt:lpstr>calcACVY5Q4</vt:lpstr>
      <vt:lpstr>calcBackOfficeIntegrationTimelineImpact</vt:lpstr>
      <vt:lpstr>calcBaseRevWriteDownCost</vt:lpstr>
      <vt:lpstr>calcBrandIntegrationTimeline</vt:lpstr>
      <vt:lpstr>calcBrandIntExpLeftPostQ1</vt:lpstr>
      <vt:lpstr>calcBrandIntExpLeftPostQ2</vt:lpstr>
      <vt:lpstr>calcBrandIntExpLeftPostQ3</vt:lpstr>
      <vt:lpstr>calcBrandIntExpLeftPostQ4</vt:lpstr>
      <vt:lpstr>calcBrandIntExpLeftPostY2Q1</vt:lpstr>
      <vt:lpstr>calcBrandIntExpLeftPostY2Q2</vt:lpstr>
      <vt:lpstr>calcBrandIntExpLeftPostY2Q3</vt:lpstr>
      <vt:lpstr>calcBrandIntExpLeftPostY2Q4</vt:lpstr>
      <vt:lpstr>calcCSGExpLeftPostQ1</vt:lpstr>
      <vt:lpstr>calcCSGExpLeftPostQ2</vt:lpstr>
      <vt:lpstr>calcCSGExpLeftPostQ3</vt:lpstr>
      <vt:lpstr>calcCSGExpLeftPostQ4</vt:lpstr>
      <vt:lpstr>calcCSGExpLeftPostY2Q1</vt:lpstr>
      <vt:lpstr>calcCSGExpLeftPostY2Q2</vt:lpstr>
      <vt:lpstr>calcCSGExpLeftPostY2Q3</vt:lpstr>
      <vt:lpstr>calcCSGExpLeftPostY2Q4</vt:lpstr>
      <vt:lpstr>calcCSGTimeline</vt:lpstr>
      <vt:lpstr>calcDelayImpact</vt:lpstr>
      <vt:lpstr>calcDelayImpactBackOffice</vt:lpstr>
      <vt:lpstr>calcDelayImpactHarm</vt:lpstr>
      <vt:lpstr>calcDelayImpactOrg62</vt:lpstr>
      <vt:lpstr>calcDelayImpactProduct</vt:lpstr>
      <vt:lpstr>calcDelayImpactTrust</vt:lpstr>
      <vt:lpstr>calcDisruptionTimelineImpact</vt:lpstr>
      <vt:lpstr>calcEEBackOfficeTimeline</vt:lpstr>
      <vt:lpstr>calcEEEmpIT</vt:lpstr>
      <vt:lpstr>calcEEEvents</vt:lpstr>
      <vt:lpstr>calcEEEvents_1</vt:lpstr>
      <vt:lpstr>calcEEExternalSales</vt:lpstr>
      <vt:lpstr>calcEEHarmTime</vt:lpstr>
      <vt:lpstr>calcEEKeyHarm</vt:lpstr>
      <vt:lpstr>calcEEKeyHarmTime</vt:lpstr>
      <vt:lpstr>calcEENonKeyHarm</vt:lpstr>
      <vt:lpstr>calcEENonKeyHarmTime</vt:lpstr>
      <vt:lpstr>calcEEOrg62</vt:lpstr>
      <vt:lpstr>calcEERealEstate</vt:lpstr>
      <vt:lpstr>calcEERiskMitP0</vt:lpstr>
      <vt:lpstr>calcEERiskMitP1</vt:lpstr>
      <vt:lpstr>calcEERiskMitP2</vt:lpstr>
      <vt:lpstr>calcEESiteInfra</vt:lpstr>
      <vt:lpstr>calcEEStack</vt:lpstr>
      <vt:lpstr>calcEndingGAPerc</vt:lpstr>
      <vt:lpstr>calcEndingMSPerc</vt:lpstr>
      <vt:lpstr>calcEndingRDPerc</vt:lpstr>
      <vt:lpstr>calcESAT</vt:lpstr>
      <vt:lpstr>calcESATBeforeTheoretical</vt:lpstr>
      <vt:lpstr>calcExecutionVelocity</vt:lpstr>
      <vt:lpstr>calcExecVelocBrandIntegration</vt:lpstr>
      <vt:lpstr>calcExecVelocCSG</vt:lpstr>
      <vt:lpstr>calcExecVelocEmpIntegration</vt:lpstr>
      <vt:lpstr>calcExecVelocEvents</vt:lpstr>
      <vt:lpstr>calcExecVelocHarmTimeline</vt:lpstr>
      <vt:lpstr>calcExecVelocITTimeline</vt:lpstr>
      <vt:lpstr>calcExecVelocLeadPass</vt:lpstr>
      <vt:lpstr>calcExecVelocOrg62</vt:lpstr>
      <vt:lpstr>calcExecVelocProductTimeline</vt:lpstr>
      <vt:lpstr>calcExecVelocRE</vt:lpstr>
      <vt:lpstr>calcExecVelocRiskMitP0</vt:lpstr>
      <vt:lpstr>calcExecVelocRiskMitP1</vt:lpstr>
      <vt:lpstr>calcExecVelocRiskMitP2</vt:lpstr>
      <vt:lpstr>calcExecVelocTimeline</vt:lpstr>
      <vt:lpstr>calcExecVelocTrustTimeline</vt:lpstr>
      <vt:lpstr>calcExternalSalesExpLeftPostQ1</vt:lpstr>
      <vt:lpstr>calcExternalSalesExpLeftPostQ2</vt:lpstr>
      <vt:lpstr>calcExternalSalesExpLeftPostQ3</vt:lpstr>
      <vt:lpstr>calcExternalSalesExpLeftPostQ4</vt:lpstr>
      <vt:lpstr>calcExternalSalesExpLeftPostY2Q1</vt:lpstr>
      <vt:lpstr>calcExternalSalesExpLeftPostY2Q2</vt:lpstr>
      <vt:lpstr>calcExternalSalesExpLeftPostY2Q3</vt:lpstr>
      <vt:lpstr>calcExternalSalesExpLeftPostY2Q4</vt:lpstr>
      <vt:lpstr>calcExternalSalesTimeline</vt:lpstr>
      <vt:lpstr>calcFullBrandIntExp</vt:lpstr>
      <vt:lpstr>calcFullBrandIntExpY2</vt:lpstr>
      <vt:lpstr>calcFullCSGExp</vt:lpstr>
      <vt:lpstr>calcFullCSGExpY2</vt:lpstr>
      <vt:lpstr>calcFullExternalSalesExp</vt:lpstr>
      <vt:lpstr>calcFullExternalSalesExpY2</vt:lpstr>
      <vt:lpstr>calcFullHarmExp</vt:lpstr>
      <vt:lpstr>calcFullHarmExpY2</vt:lpstr>
      <vt:lpstr>calcFullIntegrationCosts</vt:lpstr>
      <vt:lpstr>calcFullIntegrationCostsY2</vt:lpstr>
      <vt:lpstr>calcFullITExp</vt:lpstr>
      <vt:lpstr>calcFullITExpY2</vt:lpstr>
      <vt:lpstr>calcFullLeadPassExp</vt:lpstr>
      <vt:lpstr>calcFullLeadPassExpY2</vt:lpstr>
      <vt:lpstr>calcFullOrg62Exp</vt:lpstr>
      <vt:lpstr>calcFullOrg62ExpY2</vt:lpstr>
      <vt:lpstr>calcFullRealEstateCost</vt:lpstr>
      <vt:lpstr>calcFullRECost</vt:lpstr>
      <vt:lpstr>calcFullREExp</vt:lpstr>
      <vt:lpstr>calcFullREExpLeftPostQ1</vt:lpstr>
      <vt:lpstr>calcFullREExpLeftPostQ2</vt:lpstr>
      <vt:lpstr>calcFullREExpLeftPostQ3</vt:lpstr>
      <vt:lpstr>calcFullREExpLeftPostQ4</vt:lpstr>
      <vt:lpstr>calcFullREExpLeftPostY2Q1</vt:lpstr>
      <vt:lpstr>calcFullREExpLeftPostY2Q2</vt:lpstr>
      <vt:lpstr>calcFullREExpLeftPostY2Q3</vt:lpstr>
      <vt:lpstr>calcFullREExpLeftPostY2Q4</vt:lpstr>
      <vt:lpstr>calcFullREExpY2</vt:lpstr>
      <vt:lpstr>calcFullStackExp</vt:lpstr>
      <vt:lpstr>calcFullStackExpY2</vt:lpstr>
      <vt:lpstr>calcFullTrustExp</vt:lpstr>
      <vt:lpstr>calcFullTrustExpY2</vt:lpstr>
      <vt:lpstr>calcHarmExpEventImpacts</vt:lpstr>
      <vt:lpstr>calcHarmExpEventImpactsY2</vt:lpstr>
      <vt:lpstr>calcHarmExpLeftPostQ1</vt:lpstr>
      <vt:lpstr>calcHarmExpLeftPostQ2</vt:lpstr>
      <vt:lpstr>calcHarmExpLeftPostQ3</vt:lpstr>
      <vt:lpstr>calcHarmExpLeftPostQ4</vt:lpstr>
      <vt:lpstr>calcHarmExpLeftPostY2Q1</vt:lpstr>
      <vt:lpstr>calcHarmExpLeftPostY2Q2</vt:lpstr>
      <vt:lpstr>calcHarmExpLeftPostY2Q3</vt:lpstr>
      <vt:lpstr>calcHarmExpLeftPostY2Q4</vt:lpstr>
      <vt:lpstr>calcHarmTimeline</vt:lpstr>
      <vt:lpstr>calcImmediateP0Cost</vt:lpstr>
      <vt:lpstr>calcImmediateP1Cost</vt:lpstr>
      <vt:lpstr>calcImmediateP2Cost</vt:lpstr>
      <vt:lpstr>calcIntCostBrandInt</vt:lpstr>
      <vt:lpstr>calcIntCostBrandIntY2</vt:lpstr>
      <vt:lpstr>calcIntCostBudgetDelayY2</vt:lpstr>
      <vt:lpstr>calcIntCostCSG</vt:lpstr>
      <vt:lpstr>calcIntCostCSGY2</vt:lpstr>
      <vt:lpstr>calcIntCostEmpIntegration</vt:lpstr>
      <vt:lpstr>calcIntCostEmpIntegrationY2</vt:lpstr>
      <vt:lpstr>calcIntCostEmpIntegrationY2Delay</vt:lpstr>
      <vt:lpstr>calcIntCostEvents</vt:lpstr>
      <vt:lpstr>calcIntCostEventsY2</vt:lpstr>
      <vt:lpstr>calcIntCostExternalSales</vt:lpstr>
      <vt:lpstr>calcIntCostExternalSalesY2</vt:lpstr>
      <vt:lpstr>calcIntCostHarm</vt:lpstr>
      <vt:lpstr>calcIntCostHarmY2</vt:lpstr>
      <vt:lpstr>calcIntCostHarmY2Delay</vt:lpstr>
      <vt:lpstr>calcIntCostLeadPass</vt:lpstr>
      <vt:lpstr>calcIntCostLeadPassY2</vt:lpstr>
      <vt:lpstr>calcIntCostOrg62</vt:lpstr>
      <vt:lpstr>calcIntCostOrg62Y2</vt:lpstr>
      <vt:lpstr>calcIntCostOrg62Y2Delay</vt:lpstr>
      <vt:lpstr>calcIntCostRealEstate</vt:lpstr>
      <vt:lpstr>calcIntCostRealEstateY2</vt:lpstr>
      <vt:lpstr>calcIntCostRealEstateY2Delay</vt:lpstr>
      <vt:lpstr>calcIntCostRiskMit</vt:lpstr>
      <vt:lpstr>calcIntCostRiskMitY2</vt:lpstr>
      <vt:lpstr>calcIntCostRiskMitY2Delay</vt:lpstr>
      <vt:lpstr>calcIntCostSiteInfra</vt:lpstr>
      <vt:lpstr>calcIntCostSiteInfraY2</vt:lpstr>
      <vt:lpstr>calcIntCostSiteInfraY2Delay</vt:lpstr>
      <vt:lpstr>calcIntCostStack</vt:lpstr>
      <vt:lpstr>calcIntCostStackY2</vt:lpstr>
      <vt:lpstr>calcIntCostStackY2Delay</vt:lpstr>
      <vt:lpstr>calcIntegrationBudget</vt:lpstr>
      <vt:lpstr>calcIntegrationBudgetLeftY1</vt:lpstr>
      <vt:lpstr>calcIntegrationBudgetLeftY2</vt:lpstr>
      <vt:lpstr>calcIntegrationBudgetY2</vt:lpstr>
      <vt:lpstr>calcITExpLeftPostQ1</vt:lpstr>
      <vt:lpstr>calcITExpLeftPostQ2</vt:lpstr>
      <vt:lpstr>calcITExpLeftPostQ3</vt:lpstr>
      <vt:lpstr>calcITExpLeftPostQ4</vt:lpstr>
      <vt:lpstr>calcITExpLeftPostY2Q1</vt:lpstr>
      <vt:lpstr>calcITExpLeftPostY2Q2</vt:lpstr>
      <vt:lpstr>calcITExpLeftPostY2Q3</vt:lpstr>
      <vt:lpstr>calcITExpLeftPostY2Q4</vt:lpstr>
      <vt:lpstr>calcITTimeline</vt:lpstr>
      <vt:lpstr>calcKeyHarmExp</vt:lpstr>
      <vt:lpstr>calcKeyHarmExpY2</vt:lpstr>
      <vt:lpstr>calcLeadPassActivate</vt:lpstr>
      <vt:lpstr>calcLeadPassExpLeftPostQ1</vt:lpstr>
      <vt:lpstr>calcLeadPassExpLeftPostQ2</vt:lpstr>
      <vt:lpstr>calcLeadPassExpLeftPostQ3</vt:lpstr>
      <vt:lpstr>calcLeadPassExpLeftPostQ4</vt:lpstr>
      <vt:lpstr>calcLeadPassExpLeftPostY2Q1</vt:lpstr>
      <vt:lpstr>calcLeadPassExpLeftPostY2Q2</vt:lpstr>
      <vt:lpstr>calcLeadPassExpLeftPostY2Q3</vt:lpstr>
      <vt:lpstr>calcLeadPassExpLeftPostY2Q4</vt:lpstr>
      <vt:lpstr>calcLeadPassTimeline</vt:lpstr>
      <vt:lpstr>calcNonKeyHarmExp</vt:lpstr>
      <vt:lpstr>calcNonKeyHarmExpY2</vt:lpstr>
      <vt:lpstr>calcNPS</vt:lpstr>
      <vt:lpstr>calcNPSBrandIntegration</vt:lpstr>
      <vt:lpstr>calcNPSCSGPostSales</vt:lpstr>
      <vt:lpstr>calcNPSEvents</vt:lpstr>
      <vt:lpstr>calcNPSExternalSales</vt:lpstr>
      <vt:lpstr>calcNPSOrg62</vt:lpstr>
      <vt:lpstr>calcNPSStackFocus</vt:lpstr>
      <vt:lpstr>calcOrg62ExpLeftPostQ1</vt:lpstr>
      <vt:lpstr>calcOrg62ExpLeftPostQ2</vt:lpstr>
      <vt:lpstr>calcOrg62ExpLeftPostQ3</vt:lpstr>
      <vt:lpstr>calcOrg62ExpLeftPostQ4</vt:lpstr>
      <vt:lpstr>calcOrg62ExpLeftPostY2Q1</vt:lpstr>
      <vt:lpstr>calcOrg62ExpLeftPostY2Q2</vt:lpstr>
      <vt:lpstr>calcOrg62ExpLeftPostY2Q3</vt:lpstr>
      <vt:lpstr>calcOrg62ExpLeftPostY2Q4</vt:lpstr>
      <vt:lpstr>calcOrg62Timeline</vt:lpstr>
      <vt:lpstr>calcPeopleTimeline</vt:lpstr>
      <vt:lpstr>calcProductIntegrationTimelineImpact</vt:lpstr>
      <vt:lpstr>calcProductTimeline</vt:lpstr>
      <vt:lpstr>calcQ1AttritionDifference</vt:lpstr>
      <vt:lpstr>calcQ1BrandIntExp</vt:lpstr>
      <vt:lpstr>calcQ1COSPerc</vt:lpstr>
      <vt:lpstr>calcQ1CSGExp</vt:lpstr>
      <vt:lpstr>calcQ1ExternalSalesExp</vt:lpstr>
      <vt:lpstr>calcQ1FullREExp</vt:lpstr>
      <vt:lpstr>calcQ1GAExp</vt:lpstr>
      <vt:lpstr>calcQ1HarmExp</vt:lpstr>
      <vt:lpstr>calcQ1ITExp</vt:lpstr>
      <vt:lpstr>calcQ1LeadPassExp</vt:lpstr>
      <vt:lpstr>calcQ1MSExp</vt:lpstr>
      <vt:lpstr>calcQ1Org62Exp</vt:lpstr>
      <vt:lpstr>calcQ1RDExp</vt:lpstr>
      <vt:lpstr>calcQ1REExp</vt:lpstr>
      <vt:lpstr>calcQ1Rev</vt:lpstr>
      <vt:lpstr>calcQ1RevenueAdjustment</vt:lpstr>
      <vt:lpstr>calcQ1RevenueY_1Q1</vt:lpstr>
      <vt:lpstr>calcQ1RevenueY_1Q2</vt:lpstr>
      <vt:lpstr>calcQ1RevenueY_1Q3</vt:lpstr>
      <vt:lpstr>calcQ1RevenueY_1Q4</vt:lpstr>
      <vt:lpstr>calcQ1RevenueY_2Q1</vt:lpstr>
      <vt:lpstr>calcQ1RevenueY_2Q2</vt:lpstr>
      <vt:lpstr>calcQ1RevenueY_2Q3</vt:lpstr>
      <vt:lpstr>calcQ1RevenueY_2Q4</vt:lpstr>
      <vt:lpstr>calcQ1RevenueY0Q1</vt:lpstr>
      <vt:lpstr>calcQ1RevenueY0Q2</vt:lpstr>
      <vt:lpstr>calcQ1RevenueY0Q3</vt:lpstr>
      <vt:lpstr>calcQ1RevenueY0Q4</vt:lpstr>
      <vt:lpstr>calcQ1RevenueY1Q1</vt:lpstr>
      <vt:lpstr>calcQ1RevenueY1Q2</vt:lpstr>
      <vt:lpstr>calcQ1RevenueY1Q3</vt:lpstr>
      <vt:lpstr>calcQ1RevenueY1Q4</vt:lpstr>
      <vt:lpstr>calcQ1RevenueY2Q1</vt:lpstr>
      <vt:lpstr>calcQ1RevenueY2Q2</vt:lpstr>
      <vt:lpstr>calcQ1RevenueY2Q3</vt:lpstr>
      <vt:lpstr>calcQ1RevenueY2Q4</vt:lpstr>
      <vt:lpstr>calcQ1RevenueY3Q1</vt:lpstr>
      <vt:lpstr>calcQ1RevenueY3Q2</vt:lpstr>
      <vt:lpstr>calcQ1RevenueY3Q3</vt:lpstr>
      <vt:lpstr>calcQ1RevenueY3Q4</vt:lpstr>
      <vt:lpstr>calcQ1RevenueY4Q1</vt:lpstr>
      <vt:lpstr>calcQ1RevenueY4Q2</vt:lpstr>
      <vt:lpstr>calcQ1RevenueY4Q3</vt:lpstr>
      <vt:lpstr>calcQ1RevenueY4Q4</vt:lpstr>
      <vt:lpstr>calcQ1RevenueY5Q1</vt:lpstr>
      <vt:lpstr>calcQ1RevenueY5Q2</vt:lpstr>
      <vt:lpstr>calcQ1RevenueY5Q3</vt:lpstr>
      <vt:lpstr>calcQ1RevenueY5Q4</vt:lpstr>
      <vt:lpstr>calcQ1RevWriteDownExp</vt:lpstr>
      <vt:lpstr>calcQ1StackExp</vt:lpstr>
      <vt:lpstr>calcQ1TrustExp</vt:lpstr>
      <vt:lpstr>calcQ2AttritionDifference</vt:lpstr>
      <vt:lpstr>calcQ2BrandIntExp</vt:lpstr>
      <vt:lpstr>calcQ2COSPerc</vt:lpstr>
      <vt:lpstr>calcQ2CSGExp</vt:lpstr>
      <vt:lpstr>calcQ2ExternalSalesExp</vt:lpstr>
      <vt:lpstr>calcQ2FullREExp</vt:lpstr>
      <vt:lpstr>calcQ2GAExp</vt:lpstr>
      <vt:lpstr>calcQ2HarmExp</vt:lpstr>
      <vt:lpstr>calcQ2ITExp</vt:lpstr>
      <vt:lpstr>calcQ2LeadPassExp</vt:lpstr>
      <vt:lpstr>calcQ2MSExp</vt:lpstr>
      <vt:lpstr>calcQ2Org62Exp</vt:lpstr>
      <vt:lpstr>calcQ2RDExp</vt:lpstr>
      <vt:lpstr>calcQ2REExp</vt:lpstr>
      <vt:lpstr>calcQ2Rev</vt:lpstr>
      <vt:lpstr>calcQ2RevenueAdjustment</vt:lpstr>
      <vt:lpstr>calcQ2RevenueY_1Q1</vt:lpstr>
      <vt:lpstr>calcQ2RevenueY_1Q2</vt:lpstr>
      <vt:lpstr>calcQ2RevenueY_1Q3</vt:lpstr>
      <vt:lpstr>calcQ2RevenueY_1Q4</vt:lpstr>
      <vt:lpstr>calcQ2RevenueY_2Q1</vt:lpstr>
      <vt:lpstr>calcQ2RevenueY_2Q2</vt:lpstr>
      <vt:lpstr>calcQ2RevenueY_2Q3</vt:lpstr>
      <vt:lpstr>calcQ2RevenueY_2Q4</vt:lpstr>
      <vt:lpstr>calcQ2RevenueY0Q1</vt:lpstr>
      <vt:lpstr>calcQ2RevenueY0Q2</vt:lpstr>
      <vt:lpstr>calcQ2RevenueY0Q3</vt:lpstr>
      <vt:lpstr>calcQ2RevenueY0Q4</vt:lpstr>
      <vt:lpstr>calcQ2RevenueY1Q1</vt:lpstr>
      <vt:lpstr>calcQ2RevenueY1Q2</vt:lpstr>
      <vt:lpstr>calcQ2RevenueY1Q3</vt:lpstr>
      <vt:lpstr>calcQ2RevenueY1Q4</vt:lpstr>
      <vt:lpstr>calcQ2RevenueY2Q1</vt:lpstr>
      <vt:lpstr>calcQ2RevenueY2Q2</vt:lpstr>
      <vt:lpstr>calcQ2RevenueY2Q3</vt:lpstr>
      <vt:lpstr>calcQ2RevenueY2Q4</vt:lpstr>
      <vt:lpstr>calcQ2RevenueY3Q1</vt:lpstr>
      <vt:lpstr>calcQ2RevenueY3Q2</vt:lpstr>
      <vt:lpstr>calcQ2RevenueY3Q3</vt:lpstr>
      <vt:lpstr>calcQ2RevenueY3Q4</vt:lpstr>
      <vt:lpstr>calcQ2RevenueY4Q1</vt:lpstr>
      <vt:lpstr>calcQ2RevenueY4Q2</vt:lpstr>
      <vt:lpstr>calcQ2RevenueY4Q3</vt:lpstr>
      <vt:lpstr>calcQ2RevenueY4Q4</vt:lpstr>
      <vt:lpstr>calcQ2RevenueY5Q1</vt:lpstr>
      <vt:lpstr>calcQ2RevenueY5Q2</vt:lpstr>
      <vt:lpstr>calcQ2RevenueY5Q3</vt:lpstr>
      <vt:lpstr>calcQ2RevenueY5Q4</vt:lpstr>
      <vt:lpstr>calcQ2RevWriteDownExp</vt:lpstr>
      <vt:lpstr>calcQ2StackExp</vt:lpstr>
      <vt:lpstr>calcQ2TrustExp</vt:lpstr>
      <vt:lpstr>calcQ3AttritionDifference</vt:lpstr>
      <vt:lpstr>calcQ3BrandIntExp</vt:lpstr>
      <vt:lpstr>calcQ3COSPerc</vt:lpstr>
      <vt:lpstr>calcQ3CSGExp</vt:lpstr>
      <vt:lpstr>calcQ3ExternalSalesExp</vt:lpstr>
      <vt:lpstr>calcQ3FullREExp</vt:lpstr>
      <vt:lpstr>calcQ3GAExp</vt:lpstr>
      <vt:lpstr>calcQ3HarmExp</vt:lpstr>
      <vt:lpstr>calcQ3ITExp</vt:lpstr>
      <vt:lpstr>calcQ3LeadPassExp</vt:lpstr>
      <vt:lpstr>calcQ3MSExp</vt:lpstr>
      <vt:lpstr>calcQ3Org62Exp</vt:lpstr>
      <vt:lpstr>calcQ3RDExp</vt:lpstr>
      <vt:lpstr>calcQ3REExp</vt:lpstr>
      <vt:lpstr>calcQ3Rev</vt:lpstr>
      <vt:lpstr>calcQ3RevenueAdjustment</vt:lpstr>
      <vt:lpstr>calcQ3RevenueY_1Q1</vt:lpstr>
      <vt:lpstr>calcQ3RevenueY_1Q2</vt:lpstr>
      <vt:lpstr>calcQ3RevenueY_1Q3</vt:lpstr>
      <vt:lpstr>calcQ3RevenueY_1Q4</vt:lpstr>
      <vt:lpstr>calcQ3RevenueY_2Q1</vt:lpstr>
      <vt:lpstr>calcQ3RevenueY_2Q2</vt:lpstr>
      <vt:lpstr>calcQ3RevenueY_2Q3</vt:lpstr>
      <vt:lpstr>calcQ3RevenueY_2Q4</vt:lpstr>
      <vt:lpstr>calcQ3RevenueY0Q1</vt:lpstr>
      <vt:lpstr>calcQ3RevenueY0Q2</vt:lpstr>
      <vt:lpstr>calcQ3RevenueY0Q3</vt:lpstr>
      <vt:lpstr>calcQ3RevenueY0Q4</vt:lpstr>
      <vt:lpstr>calcQ3RevenueY1Q1</vt:lpstr>
      <vt:lpstr>calcQ3RevenueY1Q2</vt:lpstr>
      <vt:lpstr>calcQ3RevenueY1Q3</vt:lpstr>
      <vt:lpstr>calcQ3RevenueY1Q4</vt:lpstr>
      <vt:lpstr>calcQ3RevenueY2Q1</vt:lpstr>
      <vt:lpstr>calcQ3RevenueY2Q2</vt:lpstr>
      <vt:lpstr>calcQ3RevenueY2Q3</vt:lpstr>
      <vt:lpstr>calcQ3RevenueY2Q4</vt:lpstr>
      <vt:lpstr>calcQ3RevenueY3Q1</vt:lpstr>
      <vt:lpstr>calcQ3RevenueY3Q2</vt:lpstr>
      <vt:lpstr>calcQ3RevenueY3Q3</vt:lpstr>
      <vt:lpstr>calcQ3RevenueY3Q4</vt:lpstr>
      <vt:lpstr>calcQ3RevenueY4Q1</vt:lpstr>
      <vt:lpstr>calcQ3RevenueY4Q2</vt:lpstr>
      <vt:lpstr>calcQ3RevenueY4Q3</vt:lpstr>
      <vt:lpstr>calcQ3RevenueY4Q4</vt:lpstr>
      <vt:lpstr>calcQ3RevenueY5Q1</vt:lpstr>
      <vt:lpstr>calcQ3RevenueY5Q2</vt:lpstr>
      <vt:lpstr>calcQ3RevenueY5Q3</vt:lpstr>
      <vt:lpstr>calcQ3RevenueY5Q4</vt:lpstr>
      <vt:lpstr>calcQ3RevWriteDownExp</vt:lpstr>
      <vt:lpstr>calcQ3StackExp</vt:lpstr>
      <vt:lpstr>calcQ3TrustExp</vt:lpstr>
      <vt:lpstr>calcQ4AttritionDifference</vt:lpstr>
      <vt:lpstr>calcQ4BrandIntExp</vt:lpstr>
      <vt:lpstr>calcQ4COSPerc</vt:lpstr>
      <vt:lpstr>calcQ4CSGExp</vt:lpstr>
      <vt:lpstr>calcQ4ExternalSalesExp</vt:lpstr>
      <vt:lpstr>calcQ4FullREExp</vt:lpstr>
      <vt:lpstr>calcQ4GAExp</vt:lpstr>
      <vt:lpstr>calcQ4HarmExp</vt:lpstr>
      <vt:lpstr>calcQ4ITExp</vt:lpstr>
      <vt:lpstr>calcQ4LeadPassExp</vt:lpstr>
      <vt:lpstr>calcQ4MSExp</vt:lpstr>
      <vt:lpstr>calcQ4Org62Exp</vt:lpstr>
      <vt:lpstr>calcQ4RDExp</vt:lpstr>
      <vt:lpstr>calcQ4REExp</vt:lpstr>
      <vt:lpstr>calcQ4Rev</vt:lpstr>
      <vt:lpstr>calcQ4RevenueAdjustment</vt:lpstr>
      <vt:lpstr>calcQ4RevenueY_1Q1</vt:lpstr>
      <vt:lpstr>calcQ4RevenueY_1Q2</vt:lpstr>
      <vt:lpstr>calcQ4RevenueY_1Q3</vt:lpstr>
      <vt:lpstr>calcQ4RevenueY_1Q4</vt:lpstr>
      <vt:lpstr>calcQ4RevenueY_2Q1</vt:lpstr>
      <vt:lpstr>calcQ4RevenueY_2Q2</vt:lpstr>
      <vt:lpstr>calcQ4RevenueY_2Q3</vt:lpstr>
      <vt:lpstr>calcQ4RevenueY_2Q4</vt:lpstr>
      <vt:lpstr>calcQ4RevenueY0Q1</vt:lpstr>
      <vt:lpstr>calcQ4RevenueY0Q2</vt:lpstr>
      <vt:lpstr>calcQ4RevenueY0Q3</vt:lpstr>
      <vt:lpstr>calcQ4RevenueY0Q4</vt:lpstr>
      <vt:lpstr>calcQ4RevenueY1Q1</vt:lpstr>
      <vt:lpstr>calcQ4RevenueY1Q2</vt:lpstr>
      <vt:lpstr>calcQ4RevenueY1Q3</vt:lpstr>
      <vt:lpstr>calcQ4RevenueY1Q4</vt:lpstr>
      <vt:lpstr>calcQ4RevenueY2Q1</vt:lpstr>
      <vt:lpstr>calcQ4RevenueY2Q2</vt:lpstr>
      <vt:lpstr>calcQ4RevenueY2Q3</vt:lpstr>
      <vt:lpstr>calcQ4RevenueY2Q4</vt:lpstr>
      <vt:lpstr>calcQ4RevenueY3Q1</vt:lpstr>
      <vt:lpstr>calcQ4RevenueY3Q2</vt:lpstr>
      <vt:lpstr>calcQ4RevenueY3Q3</vt:lpstr>
      <vt:lpstr>calcQ4RevenueY3Q4</vt:lpstr>
      <vt:lpstr>calcQ4RevenueY4Q1</vt:lpstr>
      <vt:lpstr>calcQ4RevenueY4Q2</vt:lpstr>
      <vt:lpstr>calcQ4RevenueY4Q3</vt:lpstr>
      <vt:lpstr>calcQ4RevenueY4Q4</vt:lpstr>
      <vt:lpstr>calcQ4RevenueY5Q1</vt:lpstr>
      <vt:lpstr>calcQ4RevenueY5Q2</vt:lpstr>
      <vt:lpstr>calcQ4RevenueY5Q3</vt:lpstr>
      <vt:lpstr>calcQ4RevenueY5Q4</vt:lpstr>
      <vt:lpstr>calcQ4RevWriteDownExp</vt:lpstr>
      <vt:lpstr>calcQ4StackExp</vt:lpstr>
      <vt:lpstr>calcQ4TrustExp</vt:lpstr>
      <vt:lpstr>calcRealEsateCost</vt:lpstr>
      <vt:lpstr>calcRealEsateCostY2</vt:lpstr>
      <vt:lpstr>calcREExpLeftPostQ1</vt:lpstr>
      <vt:lpstr>calcREExpLeftPostQ2</vt:lpstr>
      <vt:lpstr>calcREExpLeftPostQ3</vt:lpstr>
      <vt:lpstr>calcREExpLeftPostQ4</vt:lpstr>
      <vt:lpstr>calcRETimeline</vt:lpstr>
      <vt:lpstr>calcRevWriteExpPostQ1</vt:lpstr>
      <vt:lpstr>calcRevWriteExpPostQ2</vt:lpstr>
      <vt:lpstr>calcRevWriteExpPostQ3</vt:lpstr>
      <vt:lpstr>calcRevWriteExpPostQ4</vt:lpstr>
      <vt:lpstr>calcRevWriteExpPostY2Q1</vt:lpstr>
      <vt:lpstr>calcRevWriteExpPostY2Q2</vt:lpstr>
      <vt:lpstr>calcRevWriteExpPostY2Q3</vt:lpstr>
      <vt:lpstr>calcRevWriteExpPostY2Q4</vt:lpstr>
      <vt:lpstr>calcRiskIndex</vt:lpstr>
      <vt:lpstr>calcRiskIndexBackOfficeTimeline</vt:lpstr>
      <vt:lpstr>calcRiskIndexEmpIntegration</vt:lpstr>
      <vt:lpstr>calcRiskIndexEvents</vt:lpstr>
      <vt:lpstr>calcRiskIndexProdRestrictions</vt:lpstr>
      <vt:lpstr>calcRiskIndexRE</vt:lpstr>
      <vt:lpstr>calcRiskIndexRiskMitP0</vt:lpstr>
      <vt:lpstr>calcRiskIndexRiskMitP1</vt:lpstr>
      <vt:lpstr>calcRiskIndexRiskMitP2</vt:lpstr>
      <vt:lpstr>calcRiskIndexSiteInfrastructure</vt:lpstr>
      <vt:lpstr>calcRiskIndexStackFocus</vt:lpstr>
      <vt:lpstr>calcRiskIndexTrustTimeline</vt:lpstr>
      <vt:lpstr>calcSecurityTimeline</vt:lpstr>
      <vt:lpstr>calcSiteInfrastructureBuildOutCost</vt:lpstr>
      <vt:lpstr>calcSiteInfrastructureBuildOutCostY2</vt:lpstr>
      <vt:lpstr>calcStackExp</vt:lpstr>
      <vt:lpstr>calcStackExpLeftPostQ1</vt:lpstr>
      <vt:lpstr>calcStackExpLeftPostQ2</vt:lpstr>
      <vt:lpstr>calcStackExpLeftPostQ3</vt:lpstr>
      <vt:lpstr>calcStackExpLeftPostQ4</vt:lpstr>
      <vt:lpstr>calcStackExpLeftPostY2Q1</vt:lpstr>
      <vt:lpstr>calcStackExpLeftPostY2Q2</vt:lpstr>
      <vt:lpstr>calcStackExpLeftPostY2Q3</vt:lpstr>
      <vt:lpstr>calcStackExpLeftPostY2Q4</vt:lpstr>
      <vt:lpstr>calcStackTimeline</vt:lpstr>
      <vt:lpstr>calcTeamNum</vt:lpstr>
      <vt:lpstr>calcTrustExpLeftPostQ1</vt:lpstr>
      <vt:lpstr>calcTrustExpLeftPostQ2</vt:lpstr>
      <vt:lpstr>calcTrustExpLeftPostQ3</vt:lpstr>
      <vt:lpstr>calcTrustExpLeftPostQ4</vt:lpstr>
      <vt:lpstr>calcTrustExpLeftPostY2Q1</vt:lpstr>
      <vt:lpstr>calcTrustExpLeftPostY2Q2</vt:lpstr>
      <vt:lpstr>calcTrustExpLeftPostY2Q3</vt:lpstr>
      <vt:lpstr>calcTrustExpLeftPostY2Q4</vt:lpstr>
      <vt:lpstr>calcTrustIntegrationTimelineImpact</vt:lpstr>
      <vt:lpstr>calcTrustTimeline</vt:lpstr>
      <vt:lpstr>calcY1BudgetErrorCheck</vt:lpstr>
      <vt:lpstr>calcY1Q1RevFlow</vt:lpstr>
      <vt:lpstr>calcY1Q2RevFlow</vt:lpstr>
      <vt:lpstr>calcY1Q3RevFlow</vt:lpstr>
      <vt:lpstr>calcY1Q4RevFlow</vt:lpstr>
      <vt:lpstr>calcY2BudgetErrorCheck</vt:lpstr>
      <vt:lpstr>calcY2Q1AttritionDifference</vt:lpstr>
      <vt:lpstr>calcY2Q1BrandIntExp</vt:lpstr>
      <vt:lpstr>calcY2Q1COSPerc</vt:lpstr>
      <vt:lpstr>calcY2Q1CSGExp</vt:lpstr>
      <vt:lpstr>calcY2Q1ExternalSalesExp</vt:lpstr>
      <vt:lpstr>calcY2Q1FullREExp</vt:lpstr>
      <vt:lpstr>calcY2Q1GAExp</vt:lpstr>
      <vt:lpstr>calcY2Q1HarmExp</vt:lpstr>
      <vt:lpstr>calcY2Q1ITExp</vt:lpstr>
      <vt:lpstr>calcY2Q1LeadPassExp</vt:lpstr>
      <vt:lpstr>calcY2Q1MSExp</vt:lpstr>
      <vt:lpstr>calcY2Q1Org62Exp</vt:lpstr>
      <vt:lpstr>calcY2Q1RDExp</vt:lpstr>
      <vt:lpstr>calcY2Q1Rev</vt:lpstr>
      <vt:lpstr>calcY2Q1RevenueAdjustment</vt:lpstr>
      <vt:lpstr>calcY2Q1RevenueY_1Q1</vt:lpstr>
      <vt:lpstr>calcY2Q1RevenueY_1Q2</vt:lpstr>
      <vt:lpstr>calcY2Q1RevenueY_1Q3</vt:lpstr>
      <vt:lpstr>calcY2Q1RevenueY_1Q4</vt:lpstr>
      <vt:lpstr>calcY2Q1RevenueY_2Q1</vt:lpstr>
      <vt:lpstr>calcY2Q1RevenueY_2Q2</vt:lpstr>
      <vt:lpstr>calcY2Q1RevenueY_2Q3</vt:lpstr>
      <vt:lpstr>calcY2Q1RevenueY_2Q4</vt:lpstr>
      <vt:lpstr>calcY2Q1RevenueY0Q1</vt:lpstr>
      <vt:lpstr>calcY2Q1RevenueY0Q2</vt:lpstr>
      <vt:lpstr>calcY2Q1RevenueY0Q3</vt:lpstr>
      <vt:lpstr>calcY2Q1RevenueY0Q4</vt:lpstr>
      <vt:lpstr>calcY2Q1RevenueY1Q1</vt:lpstr>
      <vt:lpstr>calcY2Q1RevenueY1Q2</vt:lpstr>
      <vt:lpstr>calcY2Q1RevenueY1Q3</vt:lpstr>
      <vt:lpstr>calcY2Q1RevenueY1Q4</vt:lpstr>
      <vt:lpstr>calcY2Q1RevenueY2Q1</vt:lpstr>
      <vt:lpstr>calcY2Q1RevenueY2Q2</vt:lpstr>
      <vt:lpstr>calcY2Q1RevenueY2Q3</vt:lpstr>
      <vt:lpstr>calcY2Q1RevenueY2Q4</vt:lpstr>
      <vt:lpstr>calcY2Q1RevenueY3Q1</vt:lpstr>
      <vt:lpstr>calcY2Q1RevenueY3Q2</vt:lpstr>
      <vt:lpstr>calcY2Q1RevenueY3Q3</vt:lpstr>
      <vt:lpstr>calcY2Q1RevenueY3Q4</vt:lpstr>
      <vt:lpstr>calcY2Q1RevenueY4Q1</vt:lpstr>
      <vt:lpstr>calcY2Q1RevenueY4Q2</vt:lpstr>
      <vt:lpstr>calcY2Q1RevenueY4Q3</vt:lpstr>
      <vt:lpstr>calcY2Q1RevenueY4Q4</vt:lpstr>
      <vt:lpstr>calcY2Q1RevenueY5Q1</vt:lpstr>
      <vt:lpstr>calcY2Q1RevenueY5Q2</vt:lpstr>
      <vt:lpstr>calcY2Q1RevenueY5Q3</vt:lpstr>
      <vt:lpstr>calcY2Q1RevenueY5Q4</vt:lpstr>
      <vt:lpstr>calcY2Q1RevFlow</vt:lpstr>
      <vt:lpstr>calcY2Q1RevWriteDownExp</vt:lpstr>
      <vt:lpstr>calcY2Q1StackExp</vt:lpstr>
      <vt:lpstr>calcY2Q1TrustExp</vt:lpstr>
      <vt:lpstr>calcY2Q2AttritionDifference</vt:lpstr>
      <vt:lpstr>calcY2Q2BrandIntExp</vt:lpstr>
      <vt:lpstr>calcY2Q2COSPerc</vt:lpstr>
      <vt:lpstr>calcY2Q2CSGExp</vt:lpstr>
      <vt:lpstr>calcY2Q2ExternalSalesExp</vt:lpstr>
      <vt:lpstr>calcY2Q2FullREExp</vt:lpstr>
      <vt:lpstr>calcY2Q2GAExp</vt:lpstr>
      <vt:lpstr>calcY2Q2HarmExp</vt:lpstr>
      <vt:lpstr>calcY2Q2ITExp</vt:lpstr>
      <vt:lpstr>calcY2Q2LeadPassExp</vt:lpstr>
      <vt:lpstr>calcY2Q2MSExp</vt:lpstr>
      <vt:lpstr>calcY2Q2Org62Exp</vt:lpstr>
      <vt:lpstr>calcY2Q2RDExp</vt:lpstr>
      <vt:lpstr>calcY2Q2Rev</vt:lpstr>
      <vt:lpstr>calcY2Q2RevenueAdjustment</vt:lpstr>
      <vt:lpstr>calcY2Q2RevenueY_1Q1</vt:lpstr>
      <vt:lpstr>calcY2Q2RevenueY_1Q2</vt:lpstr>
      <vt:lpstr>calcY2Q2RevenueY_1Q3</vt:lpstr>
      <vt:lpstr>calcY2Q2RevenueY_1Q4</vt:lpstr>
      <vt:lpstr>calcY2Q2RevenueY_2Q1</vt:lpstr>
      <vt:lpstr>calcY2Q2RevenueY_2Q2</vt:lpstr>
      <vt:lpstr>calcY2Q2RevenueY_2Q3</vt:lpstr>
      <vt:lpstr>calcY2Q2RevenueY_2Q4</vt:lpstr>
      <vt:lpstr>calcY2Q2RevenueY0Q1</vt:lpstr>
      <vt:lpstr>calcY2Q2RevenueY0Q2</vt:lpstr>
      <vt:lpstr>calcY2Q2RevenueY0Q3</vt:lpstr>
      <vt:lpstr>calcY2Q2RevenueY0Q4</vt:lpstr>
      <vt:lpstr>calcY2Q2RevenueY1Q1</vt:lpstr>
      <vt:lpstr>calcY2Q2RevenueY1Q2</vt:lpstr>
      <vt:lpstr>calcY2Q2RevenueY1Q3</vt:lpstr>
      <vt:lpstr>calcY2Q2RevenueY1Q4</vt:lpstr>
      <vt:lpstr>calcY2Q2RevenueY2Q1</vt:lpstr>
      <vt:lpstr>calcY2Q2RevenueY2Q2</vt:lpstr>
      <vt:lpstr>calcY2Q2RevenueY2Q3</vt:lpstr>
      <vt:lpstr>calcY2Q2RevenueY2Q4</vt:lpstr>
      <vt:lpstr>calcY2Q2RevenueY3Q1</vt:lpstr>
      <vt:lpstr>calcY2Q2RevenueY3Q2</vt:lpstr>
      <vt:lpstr>calcY2Q2RevenueY3Q3</vt:lpstr>
      <vt:lpstr>calcY2Q2RevenueY3Q4</vt:lpstr>
      <vt:lpstr>calcY2Q2RevenueY4Q1</vt:lpstr>
      <vt:lpstr>calcY2Q2RevenueY4Q2</vt:lpstr>
      <vt:lpstr>calcY2Q2RevenueY4Q3</vt:lpstr>
      <vt:lpstr>calcY2Q2RevenueY4Q4</vt:lpstr>
      <vt:lpstr>calcY2Q2RevenueY5Q1</vt:lpstr>
      <vt:lpstr>calcY2Q2RevenueY5Q2</vt:lpstr>
      <vt:lpstr>calcY2Q2RevenueY5Q3</vt:lpstr>
      <vt:lpstr>calcY2Q2RevenueY5Q4</vt:lpstr>
      <vt:lpstr>calcY2Q2RevFlow</vt:lpstr>
      <vt:lpstr>calcY2Q2RevWriteDownExp</vt:lpstr>
      <vt:lpstr>calcY2Q2StackExp</vt:lpstr>
      <vt:lpstr>calcY2Q2TrustExp</vt:lpstr>
      <vt:lpstr>calcY2Q3AttritionDifference</vt:lpstr>
      <vt:lpstr>calcY2Q3BrandIntExp</vt:lpstr>
      <vt:lpstr>calcY2Q3COSPerc</vt:lpstr>
      <vt:lpstr>calcY2Q3CSGExp</vt:lpstr>
      <vt:lpstr>calcY2Q3ExternalSalesExp</vt:lpstr>
      <vt:lpstr>calcY2Q3FullREExp</vt:lpstr>
      <vt:lpstr>calcY2Q3GAExp</vt:lpstr>
      <vt:lpstr>calcY2Q3HarmExp</vt:lpstr>
      <vt:lpstr>calcY2Q3ITExp</vt:lpstr>
      <vt:lpstr>calcY2Q3LeadPassExp</vt:lpstr>
      <vt:lpstr>calcY2Q3MSExp</vt:lpstr>
      <vt:lpstr>calcY2Q3Org62Exp</vt:lpstr>
      <vt:lpstr>calcY2Q3RDExp</vt:lpstr>
      <vt:lpstr>calcY2Q3Rev</vt:lpstr>
      <vt:lpstr>calcY2Q3RevenueAdjustment</vt:lpstr>
      <vt:lpstr>calcY2Q3RevenueY_1Q1</vt:lpstr>
      <vt:lpstr>calcY2Q3RevenueY_1Q2</vt:lpstr>
      <vt:lpstr>calcY2Q3RevenueY_1Q3</vt:lpstr>
      <vt:lpstr>calcY2Q3RevenueY_1Q4</vt:lpstr>
      <vt:lpstr>calcY2Q3RevenueY_2Q1</vt:lpstr>
      <vt:lpstr>calcY2Q3RevenueY_2Q2</vt:lpstr>
      <vt:lpstr>calcY2Q3RevenueY_2Q3</vt:lpstr>
      <vt:lpstr>calcY2Q3RevenueY_2Q4</vt:lpstr>
      <vt:lpstr>calcY2Q3RevenueY0Q1</vt:lpstr>
      <vt:lpstr>calcY2Q3RevenueY0Q2</vt:lpstr>
      <vt:lpstr>calcY2Q3RevenueY0Q3</vt:lpstr>
      <vt:lpstr>calcY2Q3RevenueY0Q4</vt:lpstr>
      <vt:lpstr>calcY2Q3RevenueY1Q1</vt:lpstr>
      <vt:lpstr>calcY2Q3RevenueY1Q2</vt:lpstr>
      <vt:lpstr>calcY2Q3RevenueY1Q3</vt:lpstr>
      <vt:lpstr>calcY2Q3RevenueY1Q4</vt:lpstr>
      <vt:lpstr>calcY2Q3RevenueY2Q1</vt:lpstr>
      <vt:lpstr>calcY2Q3RevenueY2Q2</vt:lpstr>
      <vt:lpstr>calcY2Q3RevenueY2Q3</vt:lpstr>
      <vt:lpstr>calcY2Q3RevenueY2Q4</vt:lpstr>
      <vt:lpstr>calcY2Q3RevenueY3Q1</vt:lpstr>
      <vt:lpstr>calcY2Q3RevenueY3Q2</vt:lpstr>
      <vt:lpstr>calcY2Q3RevenueY3Q3</vt:lpstr>
      <vt:lpstr>calcY2Q3RevenueY3Q4</vt:lpstr>
      <vt:lpstr>calcY2Q3RevenueY4Q1</vt:lpstr>
      <vt:lpstr>calcY2Q3RevenueY4Q2</vt:lpstr>
      <vt:lpstr>calcY2Q3RevenueY4Q3</vt:lpstr>
      <vt:lpstr>calcY2Q3RevenueY4Q4</vt:lpstr>
      <vt:lpstr>calcY2Q3RevenueY5Q1</vt:lpstr>
      <vt:lpstr>calcY2Q3RevenueY5Q2</vt:lpstr>
      <vt:lpstr>calcY2Q3RevenueY5Q3</vt:lpstr>
      <vt:lpstr>calcY2Q3RevenueY5Q4</vt:lpstr>
      <vt:lpstr>calcY2Q3RevFlow</vt:lpstr>
      <vt:lpstr>calcY2Q3RevWriteDownExp</vt:lpstr>
      <vt:lpstr>calcY2Q3StackExp</vt:lpstr>
      <vt:lpstr>calcY2Q3TrustExp</vt:lpstr>
      <vt:lpstr>calcY2Q4AttritionDifference</vt:lpstr>
      <vt:lpstr>calcY2Q4BrandIntExp</vt:lpstr>
      <vt:lpstr>calcY2Q4COSPerc</vt:lpstr>
      <vt:lpstr>calcY2Q4CSGExp</vt:lpstr>
      <vt:lpstr>calcY2Q4ExternalSalesExp</vt:lpstr>
      <vt:lpstr>calcY2Q4FullREExp</vt:lpstr>
      <vt:lpstr>calcY2Q4GAExp</vt:lpstr>
      <vt:lpstr>calcY2Q4HarmExp</vt:lpstr>
      <vt:lpstr>calcY2Q4ITExp</vt:lpstr>
      <vt:lpstr>calcY2Q4LeadPassExp</vt:lpstr>
      <vt:lpstr>calcY2Q4MSExp</vt:lpstr>
      <vt:lpstr>calcY2Q4Org62Exp</vt:lpstr>
      <vt:lpstr>calcY2Q4RDExp</vt:lpstr>
      <vt:lpstr>calcY2Q4Rev</vt:lpstr>
      <vt:lpstr>calcY2Q4RevenueAdjustment</vt:lpstr>
      <vt:lpstr>calcY2Q4RevenueY_1Q1</vt:lpstr>
      <vt:lpstr>calcY2Q4RevenueY_1Q2</vt:lpstr>
      <vt:lpstr>calcY2Q4RevenueY_1Q3</vt:lpstr>
      <vt:lpstr>calcY2Q4RevenueY_1Q4</vt:lpstr>
      <vt:lpstr>calcY2Q4RevenueY_2Q1</vt:lpstr>
      <vt:lpstr>calcY2Q4RevenueY_2Q2</vt:lpstr>
      <vt:lpstr>calcY2Q4RevenueY_2Q3</vt:lpstr>
      <vt:lpstr>calcY2Q4RevenueY_2Q4</vt:lpstr>
      <vt:lpstr>calcY2Q4RevenueY0Q1</vt:lpstr>
      <vt:lpstr>calcY2Q4RevenueY0Q2</vt:lpstr>
      <vt:lpstr>calcY2Q4RevenueY0Q3</vt:lpstr>
      <vt:lpstr>calcY2Q4RevenueY0Q4</vt:lpstr>
      <vt:lpstr>calcY2Q4RevenueY1Q1</vt:lpstr>
      <vt:lpstr>calcY2Q4RevenueY1Q2</vt:lpstr>
      <vt:lpstr>calcY2Q4RevenueY1Q3</vt:lpstr>
      <vt:lpstr>calcY2Q4RevenueY1Q4</vt:lpstr>
      <vt:lpstr>calcY2Q4RevenueY2Q1</vt:lpstr>
      <vt:lpstr>calcY2Q4RevenueY2Q2</vt:lpstr>
      <vt:lpstr>calcY2Q4RevenueY2Q3</vt:lpstr>
      <vt:lpstr>calcY2Q4RevenueY2Q4</vt:lpstr>
      <vt:lpstr>calcY2Q4RevenueY3Q1</vt:lpstr>
      <vt:lpstr>calcY2Q4RevenueY3Q2</vt:lpstr>
      <vt:lpstr>calcY2Q4RevenueY3Q3</vt:lpstr>
      <vt:lpstr>calcY2Q4RevenueY3Q4</vt:lpstr>
      <vt:lpstr>calcY2Q4RevenueY4Q1</vt:lpstr>
      <vt:lpstr>calcY2Q4RevenueY4Q2</vt:lpstr>
      <vt:lpstr>calcY2Q4RevenueY4Q3</vt:lpstr>
      <vt:lpstr>calcY2Q4RevenueY4Q4</vt:lpstr>
      <vt:lpstr>calcY2Q4RevenueY5Q1</vt:lpstr>
      <vt:lpstr>calcY2Q4RevenueY5Q2</vt:lpstr>
      <vt:lpstr>calcY2Q4RevenueY5Q3</vt:lpstr>
      <vt:lpstr>calcY2Q4RevenueY5Q4</vt:lpstr>
      <vt:lpstr>calcY2Q4RevFlow</vt:lpstr>
      <vt:lpstr>calcY2Q4RevWriteDownExp</vt:lpstr>
      <vt:lpstr>calcY2Q4StackExp</vt:lpstr>
      <vt:lpstr>calcY2Q4TrustExp</vt:lpstr>
      <vt:lpstr>calcY3Q1AttritionDifference</vt:lpstr>
      <vt:lpstr>calcY3Q1Rev</vt:lpstr>
      <vt:lpstr>calcY3Q1RevenueAdjustment</vt:lpstr>
      <vt:lpstr>calcY3Q1RevenueY_1Q1</vt:lpstr>
      <vt:lpstr>calcY3Q1RevenueY_1Q2</vt:lpstr>
      <vt:lpstr>calcY3Q1RevenueY_1Q3</vt:lpstr>
      <vt:lpstr>calcY3Q1RevenueY_1Q4</vt:lpstr>
      <vt:lpstr>calcY3Q1RevenueY_2Q1</vt:lpstr>
      <vt:lpstr>calcY3Q1RevenueY_2Q2</vt:lpstr>
      <vt:lpstr>calcY3Q1RevenueY_2Q3</vt:lpstr>
      <vt:lpstr>calcY3Q1RevenueY_2Q4</vt:lpstr>
      <vt:lpstr>calcY3Q1RevenueY0Q1</vt:lpstr>
      <vt:lpstr>calcY3Q1RevenueY0Q2</vt:lpstr>
      <vt:lpstr>calcY3Q1RevenueY0Q3</vt:lpstr>
      <vt:lpstr>calcY3Q1RevenueY0Q4</vt:lpstr>
      <vt:lpstr>calcY3Q1RevenueY1Q1</vt:lpstr>
      <vt:lpstr>calcY3Q1RevenueY1Q2</vt:lpstr>
      <vt:lpstr>calcY3Q1RevenueY1Q3</vt:lpstr>
      <vt:lpstr>calcY3Q1RevenueY1Q4</vt:lpstr>
      <vt:lpstr>calcY3Q1RevenueY2Q1</vt:lpstr>
      <vt:lpstr>calcY3Q1RevenueY2Q2</vt:lpstr>
      <vt:lpstr>calcY3Q1RevenueY2Q3</vt:lpstr>
      <vt:lpstr>calcY3Q1RevenueY2Q4</vt:lpstr>
      <vt:lpstr>calcY3Q1RevenueY3Q1</vt:lpstr>
      <vt:lpstr>calcY3Q1RevenueY3Q2</vt:lpstr>
      <vt:lpstr>calcY3Q1RevenueY3Q3</vt:lpstr>
      <vt:lpstr>calcY3Q1RevenueY3Q4</vt:lpstr>
      <vt:lpstr>calcY3Q1RevenueY4Q1</vt:lpstr>
      <vt:lpstr>calcY3Q1RevenueY4Q2</vt:lpstr>
      <vt:lpstr>calcY3Q1RevenueY4Q3</vt:lpstr>
      <vt:lpstr>calcY3Q1RevenueY4Q4</vt:lpstr>
      <vt:lpstr>calcY3Q1RevenueY5Q1</vt:lpstr>
      <vt:lpstr>calcY3Q1RevenueY5Q2</vt:lpstr>
      <vt:lpstr>calcY3Q1RevenueY5Q3</vt:lpstr>
      <vt:lpstr>calcY3Q1RevenueY5Q4</vt:lpstr>
      <vt:lpstr>calcY3Q1RevFlow</vt:lpstr>
      <vt:lpstr>calcY3Q2AttritionDifference</vt:lpstr>
      <vt:lpstr>calcY3Q2Rev</vt:lpstr>
      <vt:lpstr>calcY3Q2RevenueAdjustment</vt:lpstr>
      <vt:lpstr>calcY3Q2RevenueY_1Q1</vt:lpstr>
      <vt:lpstr>calcY3Q2RevenueY_1Q2</vt:lpstr>
      <vt:lpstr>calcY3Q2RevenueY_1Q3</vt:lpstr>
      <vt:lpstr>calcY3Q2RevenueY_1Q4</vt:lpstr>
      <vt:lpstr>calcY3Q2RevenueY_2Q1</vt:lpstr>
      <vt:lpstr>calcY3Q2RevenueY_2Q2</vt:lpstr>
      <vt:lpstr>calcY3Q2RevenueY_2Q3</vt:lpstr>
      <vt:lpstr>calcY3Q2RevenueY_2Q4</vt:lpstr>
      <vt:lpstr>calcY3Q2RevenueY0Q1</vt:lpstr>
      <vt:lpstr>calcY3Q2RevenueY0Q2</vt:lpstr>
      <vt:lpstr>calcY3Q2RevenueY0Q3</vt:lpstr>
      <vt:lpstr>calcY3Q2RevenueY0Q4</vt:lpstr>
      <vt:lpstr>calcY3Q2RevenueY1Q1</vt:lpstr>
      <vt:lpstr>calcY3Q2RevenueY1Q2</vt:lpstr>
      <vt:lpstr>calcY3Q2RevenueY1Q3</vt:lpstr>
      <vt:lpstr>calcY3Q2RevenueY1Q4</vt:lpstr>
      <vt:lpstr>calcY3Q2RevenueY2Q1</vt:lpstr>
      <vt:lpstr>calcY3Q2RevenueY2Q2</vt:lpstr>
      <vt:lpstr>calcY3Q2RevenueY2Q3</vt:lpstr>
      <vt:lpstr>calcY3Q2RevenueY2Q4</vt:lpstr>
      <vt:lpstr>calcY3Q2RevenueY3Q1</vt:lpstr>
      <vt:lpstr>calcY3Q2RevenueY3Q2</vt:lpstr>
      <vt:lpstr>calcY3Q2RevenueY3Q3</vt:lpstr>
      <vt:lpstr>calcY3Q2RevenueY3Q4</vt:lpstr>
      <vt:lpstr>calcY3Q2RevenueY4Q1</vt:lpstr>
      <vt:lpstr>calcY3Q2RevenueY4Q2</vt:lpstr>
      <vt:lpstr>calcY3Q2RevenueY4Q3</vt:lpstr>
      <vt:lpstr>calcY3Q2RevenueY4Q4</vt:lpstr>
      <vt:lpstr>calcY3Q2RevenueY5Q1</vt:lpstr>
      <vt:lpstr>calcY3Q2RevenueY5Q2</vt:lpstr>
      <vt:lpstr>calcY3Q2RevenueY5Q3</vt:lpstr>
      <vt:lpstr>calcY3Q2RevenueY5Q4</vt:lpstr>
      <vt:lpstr>calcY3Q2RevFlow</vt:lpstr>
      <vt:lpstr>calcY3Q3AttritionDifference</vt:lpstr>
      <vt:lpstr>calcY3Q3Rev</vt:lpstr>
      <vt:lpstr>calcY3Q3RevenueAdjustment</vt:lpstr>
      <vt:lpstr>calcY3Q3RevenueY_1Q1</vt:lpstr>
      <vt:lpstr>calcY3Q3RevenueY_1Q2</vt:lpstr>
      <vt:lpstr>calcY3Q3RevenueY_1Q3</vt:lpstr>
      <vt:lpstr>calcY3Q3RevenueY_1Q4</vt:lpstr>
      <vt:lpstr>calcY3Q3RevenueY_2Q1</vt:lpstr>
      <vt:lpstr>calcY3Q3RevenueY_2Q2</vt:lpstr>
      <vt:lpstr>calcY3Q3RevenueY_2Q3</vt:lpstr>
      <vt:lpstr>calcY3Q3RevenueY_2Q4</vt:lpstr>
      <vt:lpstr>calcY3Q3RevenueY0Q1</vt:lpstr>
      <vt:lpstr>calcY3Q3RevenueY0Q2</vt:lpstr>
      <vt:lpstr>calcY3Q3RevenueY0Q3</vt:lpstr>
      <vt:lpstr>calcY3Q3RevenueY0Q4</vt:lpstr>
      <vt:lpstr>calcY3Q3RevenueY1Q1</vt:lpstr>
      <vt:lpstr>calcY3Q3RevenueY1Q2</vt:lpstr>
      <vt:lpstr>calcY3Q3RevenueY1Q3</vt:lpstr>
      <vt:lpstr>calcY3Q3RevenueY1Q4</vt:lpstr>
      <vt:lpstr>calcY3Q3RevenueY2Q1</vt:lpstr>
      <vt:lpstr>calcY3Q3RevenueY2Q2</vt:lpstr>
      <vt:lpstr>calcY3Q3RevenueY2Q3</vt:lpstr>
      <vt:lpstr>calcY3Q3RevenueY2Q4</vt:lpstr>
      <vt:lpstr>calcY3Q3RevenueY3Q1</vt:lpstr>
      <vt:lpstr>calcY3Q3RevenueY3Q2</vt:lpstr>
      <vt:lpstr>calcY3Q3RevenueY3Q3</vt:lpstr>
      <vt:lpstr>calcY3Q3RevenueY3Q4</vt:lpstr>
      <vt:lpstr>calcY3Q3RevenueY4Q1</vt:lpstr>
      <vt:lpstr>calcY3Q3RevenueY4Q2</vt:lpstr>
      <vt:lpstr>calcY3Q3RevenueY4Q3</vt:lpstr>
      <vt:lpstr>calcY3Q3RevenueY4Q4</vt:lpstr>
      <vt:lpstr>calcY3Q3RevenueY5Q1</vt:lpstr>
      <vt:lpstr>calcY3Q3RevenueY5Q2</vt:lpstr>
      <vt:lpstr>calcY3Q3RevenueY5Q3</vt:lpstr>
      <vt:lpstr>calcY3Q3RevenueY5Q4</vt:lpstr>
      <vt:lpstr>calcY3Q3RevFlow</vt:lpstr>
      <vt:lpstr>calcY3Q4AttritionDifference</vt:lpstr>
      <vt:lpstr>calcY3Q4Rev</vt:lpstr>
      <vt:lpstr>calcY3Q4RevenueAdjustment</vt:lpstr>
      <vt:lpstr>calcY3Q4RevenueY_1Q1</vt:lpstr>
      <vt:lpstr>calcY3Q4RevenueY_1Q2</vt:lpstr>
      <vt:lpstr>calcY3Q4RevenueY_1Q3</vt:lpstr>
      <vt:lpstr>calcY3Q4RevenueY_1Q4</vt:lpstr>
      <vt:lpstr>calcY3Q4RevenueY_2Q1</vt:lpstr>
      <vt:lpstr>calcY3Q4RevenueY_2Q2</vt:lpstr>
      <vt:lpstr>calcY3Q4RevenueY_2Q3</vt:lpstr>
      <vt:lpstr>calcY3Q4RevenueY_2Q4</vt:lpstr>
      <vt:lpstr>calcY3Q4RevenueY0Q1</vt:lpstr>
      <vt:lpstr>calcY3Q4RevenueY0Q2</vt:lpstr>
      <vt:lpstr>calcY3Q4RevenueY0Q3</vt:lpstr>
      <vt:lpstr>calcY3Q4RevenueY0Q4</vt:lpstr>
      <vt:lpstr>calcY3Q4RevenueY1Q1</vt:lpstr>
      <vt:lpstr>calcY3Q4RevenueY1Q2</vt:lpstr>
      <vt:lpstr>calcY3Q4RevenueY1Q3</vt:lpstr>
      <vt:lpstr>calcY3Q4RevenueY1Q4</vt:lpstr>
      <vt:lpstr>calcY3Q4RevenueY2Q1</vt:lpstr>
      <vt:lpstr>calcY3Q4RevenueY2Q2</vt:lpstr>
      <vt:lpstr>calcY3Q4RevenueY2Q3</vt:lpstr>
      <vt:lpstr>calcY3Q4RevenueY2Q4</vt:lpstr>
      <vt:lpstr>calcY3Q4RevenueY3Q1</vt:lpstr>
      <vt:lpstr>calcY3Q4RevenueY3Q2</vt:lpstr>
      <vt:lpstr>calcY3Q4RevenueY3Q3</vt:lpstr>
      <vt:lpstr>calcY3Q4RevenueY3Q4</vt:lpstr>
      <vt:lpstr>calcY3Q4RevenueY4Q1</vt:lpstr>
      <vt:lpstr>calcY3Q4RevenueY4Q2</vt:lpstr>
      <vt:lpstr>calcY3Q4RevenueY4Q3</vt:lpstr>
      <vt:lpstr>calcY3Q4RevenueY4Q4</vt:lpstr>
      <vt:lpstr>calcY3Q4RevenueY5Q1</vt:lpstr>
      <vt:lpstr>calcY3Q4RevenueY5Q2</vt:lpstr>
      <vt:lpstr>calcY3Q4RevenueY5Q3</vt:lpstr>
      <vt:lpstr>calcY3Q4RevenueY5Q4</vt:lpstr>
      <vt:lpstr>calcY3Q4RevFlow</vt:lpstr>
      <vt:lpstr>calcY4Q1AttritionDifference</vt:lpstr>
      <vt:lpstr>calcY4Q1Rev</vt:lpstr>
      <vt:lpstr>calcY4Q1RevenueAdjustment</vt:lpstr>
      <vt:lpstr>calcY4Q1RevenueY_1Q1</vt:lpstr>
      <vt:lpstr>calcY4Q1RevenueY_1Q2</vt:lpstr>
      <vt:lpstr>calcY4Q1RevenueY_1Q3</vt:lpstr>
      <vt:lpstr>calcY4Q1RevenueY_1Q4</vt:lpstr>
      <vt:lpstr>calcY4Q1RevenueY_2Q1</vt:lpstr>
      <vt:lpstr>calcY4Q1RevenueY_2Q2</vt:lpstr>
      <vt:lpstr>calcY4Q1RevenueY_2Q3</vt:lpstr>
      <vt:lpstr>calcY4Q1RevenueY_2Q4</vt:lpstr>
      <vt:lpstr>calcY4Q1RevenueY0Q1</vt:lpstr>
      <vt:lpstr>calcY4Q1RevenueY0Q2</vt:lpstr>
      <vt:lpstr>calcY4Q1RevenueY0Q3</vt:lpstr>
      <vt:lpstr>calcY4Q1RevenueY0Q4</vt:lpstr>
      <vt:lpstr>calcY4Q1RevenueY1Q1</vt:lpstr>
      <vt:lpstr>calcY4Q1RevenueY1Q2</vt:lpstr>
      <vt:lpstr>calcY4Q1RevenueY1Q3</vt:lpstr>
      <vt:lpstr>calcY4Q1RevenueY1Q4</vt:lpstr>
      <vt:lpstr>calcY4Q1RevenueY2Q1</vt:lpstr>
      <vt:lpstr>calcY4Q1RevenueY2Q2</vt:lpstr>
      <vt:lpstr>calcY4Q1RevenueY2Q3</vt:lpstr>
      <vt:lpstr>calcY4Q1RevenueY2Q4</vt:lpstr>
      <vt:lpstr>calcY4Q1RevenueY3Q1</vt:lpstr>
      <vt:lpstr>calcY4Q1RevenueY3Q2</vt:lpstr>
      <vt:lpstr>calcY4Q1RevenueY3Q3</vt:lpstr>
      <vt:lpstr>calcY4Q1RevenueY3Q4</vt:lpstr>
      <vt:lpstr>calcY4Q1RevenueY4Q1</vt:lpstr>
      <vt:lpstr>calcY4Q1RevenueY4Q2</vt:lpstr>
      <vt:lpstr>calcY4Q1RevenueY4Q3</vt:lpstr>
      <vt:lpstr>calcY4Q1RevenueY4Q4</vt:lpstr>
      <vt:lpstr>calcY4Q1RevenueY5Q1</vt:lpstr>
      <vt:lpstr>calcY4Q1RevenueY5Q2</vt:lpstr>
      <vt:lpstr>calcY4Q1RevenueY5Q3</vt:lpstr>
      <vt:lpstr>calcY4Q1RevenueY5Q4</vt:lpstr>
      <vt:lpstr>calcY4Q1RevFlow</vt:lpstr>
      <vt:lpstr>calcY4Q2AttritionDifference</vt:lpstr>
      <vt:lpstr>calcY4Q2Rev</vt:lpstr>
      <vt:lpstr>calcY4Q2RevenueAdjustment</vt:lpstr>
      <vt:lpstr>calcY4Q2RevenueY_1Q1</vt:lpstr>
      <vt:lpstr>calcY4Q2RevenueY_1Q2</vt:lpstr>
      <vt:lpstr>calcY4Q2RevenueY_1Q3</vt:lpstr>
      <vt:lpstr>calcY4Q2RevenueY_1Q4</vt:lpstr>
      <vt:lpstr>calcY4Q2RevenueY_2Q1</vt:lpstr>
      <vt:lpstr>calcY4Q2RevenueY_2Q2</vt:lpstr>
      <vt:lpstr>calcY4Q2RevenueY_2Q3</vt:lpstr>
      <vt:lpstr>calcY4Q2RevenueY_2Q4</vt:lpstr>
      <vt:lpstr>calcY4Q2RevenueY0Q1</vt:lpstr>
      <vt:lpstr>calcY4Q2RevenueY0Q2</vt:lpstr>
      <vt:lpstr>calcY4Q2RevenueY0Q3</vt:lpstr>
      <vt:lpstr>calcY4Q2RevenueY0Q4</vt:lpstr>
      <vt:lpstr>calcY4Q2RevenueY1Q1</vt:lpstr>
      <vt:lpstr>calcY4Q2RevenueY1Q2</vt:lpstr>
      <vt:lpstr>calcY4Q2RevenueY1Q3</vt:lpstr>
      <vt:lpstr>calcY4Q2RevenueY1Q4</vt:lpstr>
      <vt:lpstr>calcY4Q2RevenueY2Q1</vt:lpstr>
      <vt:lpstr>calcY4Q2RevenueY2Q2</vt:lpstr>
      <vt:lpstr>calcY4Q2RevenueY2Q3</vt:lpstr>
      <vt:lpstr>calcY4Q2RevenueY2Q4</vt:lpstr>
      <vt:lpstr>calcY4Q2RevenueY3Q1</vt:lpstr>
      <vt:lpstr>calcY4Q2RevenueY3Q2</vt:lpstr>
      <vt:lpstr>calcY4Q2RevenueY3Q3</vt:lpstr>
      <vt:lpstr>calcY4Q2RevenueY3Q4</vt:lpstr>
      <vt:lpstr>calcY4Q2RevenueY4Q1</vt:lpstr>
      <vt:lpstr>calcY4Q2RevenueY4Q2</vt:lpstr>
      <vt:lpstr>calcY4Q2RevenueY4Q3</vt:lpstr>
      <vt:lpstr>calcY4Q2RevenueY4Q4</vt:lpstr>
      <vt:lpstr>calcY4Q2RevenueY5Q1</vt:lpstr>
      <vt:lpstr>calcY4Q2RevenueY5Q2</vt:lpstr>
      <vt:lpstr>calcY4Q2RevenueY5Q3</vt:lpstr>
      <vt:lpstr>calcY4Q2RevenueY5Q4</vt:lpstr>
      <vt:lpstr>calcY4Q2RevFlow</vt:lpstr>
      <vt:lpstr>calcY4Q3AttritionDifference</vt:lpstr>
      <vt:lpstr>calcY4Q3Rev</vt:lpstr>
      <vt:lpstr>calcY4Q3RevenueAdjustment</vt:lpstr>
      <vt:lpstr>calcY4Q3RevenueY_1Q1</vt:lpstr>
      <vt:lpstr>calcY4Q3RevenueY_1Q2</vt:lpstr>
      <vt:lpstr>calcY4Q3RevenueY_1Q3</vt:lpstr>
      <vt:lpstr>calcY4Q3RevenueY_1Q4</vt:lpstr>
      <vt:lpstr>calcY4Q3RevenueY_2Q1</vt:lpstr>
      <vt:lpstr>calcY4Q3RevenueY_2Q2</vt:lpstr>
      <vt:lpstr>calcY4Q3RevenueY_2Q3</vt:lpstr>
      <vt:lpstr>calcY4Q3RevenueY_2Q4</vt:lpstr>
      <vt:lpstr>calcY4Q3RevenueY0Q1</vt:lpstr>
      <vt:lpstr>calcY4Q3RevenueY0Q2</vt:lpstr>
      <vt:lpstr>calcY4Q3RevenueY0Q3</vt:lpstr>
      <vt:lpstr>calcY4Q3RevenueY0Q4</vt:lpstr>
      <vt:lpstr>calcY4Q3RevenueY1Q1</vt:lpstr>
      <vt:lpstr>calcY4Q3RevenueY1Q2</vt:lpstr>
      <vt:lpstr>calcY4Q3RevenueY1Q3</vt:lpstr>
      <vt:lpstr>calcY4Q3RevenueY1Q4</vt:lpstr>
      <vt:lpstr>calcY4Q3RevenueY2Q1</vt:lpstr>
      <vt:lpstr>calcY4Q3RevenueY2Q2</vt:lpstr>
      <vt:lpstr>calcY4Q3RevenueY2Q3</vt:lpstr>
      <vt:lpstr>calcY4Q3RevenueY2Q4</vt:lpstr>
      <vt:lpstr>calcY4Q3RevenueY3Q1</vt:lpstr>
      <vt:lpstr>calcY4Q3RevenueY3Q2</vt:lpstr>
      <vt:lpstr>calcY4Q3RevenueY3Q3</vt:lpstr>
      <vt:lpstr>calcY4Q3RevenueY3Q4</vt:lpstr>
      <vt:lpstr>calcY4Q3RevenueY4Q1</vt:lpstr>
      <vt:lpstr>calcY4Q3RevenueY4Q2</vt:lpstr>
      <vt:lpstr>calcY4Q3RevenueY4Q3</vt:lpstr>
      <vt:lpstr>calcY4Q3RevenueY4Q4</vt:lpstr>
      <vt:lpstr>calcY4Q3RevenueY5Q1</vt:lpstr>
      <vt:lpstr>calcY4Q3RevenueY5Q2</vt:lpstr>
      <vt:lpstr>calcY4Q3RevenueY5Q3</vt:lpstr>
      <vt:lpstr>calcY4Q3RevenueY5Q4</vt:lpstr>
      <vt:lpstr>calcY4Q3RevFlow</vt:lpstr>
      <vt:lpstr>calcY4Q4AttritionDifference</vt:lpstr>
      <vt:lpstr>calcY4Q4Rev</vt:lpstr>
      <vt:lpstr>calcY4Q4RevenueAdjustment</vt:lpstr>
      <vt:lpstr>calcY4Q4RevenueY_1Q1</vt:lpstr>
      <vt:lpstr>calcY4Q4RevenueY_1Q2</vt:lpstr>
      <vt:lpstr>calcY4Q4RevenueY_1Q3</vt:lpstr>
      <vt:lpstr>calcY4Q4RevenueY_1Q4</vt:lpstr>
      <vt:lpstr>calcY4Q4RevenueY_2Q1</vt:lpstr>
      <vt:lpstr>calcY4Q4RevenueY_2Q2</vt:lpstr>
      <vt:lpstr>calcY4Q4RevenueY_2Q3</vt:lpstr>
      <vt:lpstr>calcY4Q4RevenueY_2Q4</vt:lpstr>
      <vt:lpstr>calcY4Q4RevenueY0Q1</vt:lpstr>
      <vt:lpstr>calcY4Q4RevenueY0Q2</vt:lpstr>
      <vt:lpstr>calcY4Q4RevenueY0Q3</vt:lpstr>
      <vt:lpstr>calcY4Q4RevenueY0Q4</vt:lpstr>
      <vt:lpstr>calcY4Q4RevenueY1Q1</vt:lpstr>
      <vt:lpstr>calcY4Q4RevenueY1Q2</vt:lpstr>
      <vt:lpstr>calcY4Q4RevenueY1Q3</vt:lpstr>
      <vt:lpstr>calcY4Q4RevenueY1Q4</vt:lpstr>
      <vt:lpstr>calcY4Q4RevenueY2Q1</vt:lpstr>
      <vt:lpstr>calcY4Q4RevenueY2Q2</vt:lpstr>
      <vt:lpstr>calcY4Q4RevenueY2Q3</vt:lpstr>
      <vt:lpstr>calcY4Q4RevenueY2Q4</vt:lpstr>
      <vt:lpstr>calcY4Q4RevenueY3Q1</vt:lpstr>
      <vt:lpstr>calcY4Q4RevenueY3Q2</vt:lpstr>
      <vt:lpstr>calcY4Q4RevenueY3Q3</vt:lpstr>
      <vt:lpstr>calcY4Q4RevenueY3Q4</vt:lpstr>
      <vt:lpstr>calcY4Q4RevenueY4Q1</vt:lpstr>
      <vt:lpstr>calcY4Q4RevenueY4Q2</vt:lpstr>
      <vt:lpstr>calcY4Q4RevenueY4Q3</vt:lpstr>
      <vt:lpstr>calcY4Q4RevenueY4Q4</vt:lpstr>
      <vt:lpstr>calcY4Q4RevenueY5Q1</vt:lpstr>
      <vt:lpstr>calcY4Q4RevenueY5Q2</vt:lpstr>
      <vt:lpstr>calcY4Q4RevenueY5Q3</vt:lpstr>
      <vt:lpstr>calcY4Q4RevenueY5Q4</vt:lpstr>
      <vt:lpstr>calcY4Q4RevFlow</vt:lpstr>
      <vt:lpstr>calcY5Q1AttritionDifference</vt:lpstr>
      <vt:lpstr>calcY5Q1COSPerc</vt:lpstr>
      <vt:lpstr>calcY5Q1GAExp</vt:lpstr>
      <vt:lpstr>calcY5Q1MSExp</vt:lpstr>
      <vt:lpstr>calcY5Q1RDExp</vt:lpstr>
      <vt:lpstr>calcY5Q1Rev</vt:lpstr>
      <vt:lpstr>calcY5Q1RevenueAdjustment</vt:lpstr>
      <vt:lpstr>calcY5Q1RevenueY_1Q1</vt:lpstr>
      <vt:lpstr>calcY5Q1RevenueY_1Q2</vt:lpstr>
      <vt:lpstr>calcY5Q1RevenueY_1Q3</vt:lpstr>
      <vt:lpstr>calcY5Q1RevenueY_1Q4</vt:lpstr>
      <vt:lpstr>calcY5Q1RevenueY_2Q1</vt:lpstr>
      <vt:lpstr>calcY5Q1RevenueY_2Q2</vt:lpstr>
      <vt:lpstr>calcY5Q1RevenueY_2Q3</vt:lpstr>
      <vt:lpstr>calcY5Q1RevenueY_2Q4</vt:lpstr>
      <vt:lpstr>calcY5Q1RevenueY0Q1</vt:lpstr>
      <vt:lpstr>calcY5Q1RevenueY0Q2</vt:lpstr>
      <vt:lpstr>calcY5Q1RevenueY0Q3</vt:lpstr>
      <vt:lpstr>calcY5Q1RevenueY0Q4</vt:lpstr>
      <vt:lpstr>calcY5Q1RevenueY1Q1</vt:lpstr>
      <vt:lpstr>calcY5Q1RevenueY1Q2</vt:lpstr>
      <vt:lpstr>calcY5Q1RevenueY1Q3</vt:lpstr>
      <vt:lpstr>calcY5Q1RevenueY1Q4</vt:lpstr>
      <vt:lpstr>calcY5Q1RevenueY2Q1</vt:lpstr>
      <vt:lpstr>calcY5Q1RevenueY2Q2</vt:lpstr>
      <vt:lpstr>calcY5Q1RevenueY2Q3</vt:lpstr>
      <vt:lpstr>calcY5Q1RevenueY2Q4</vt:lpstr>
      <vt:lpstr>calcY5Q1RevenueY3Q1</vt:lpstr>
      <vt:lpstr>calcY5Q1RevenueY3Q2</vt:lpstr>
      <vt:lpstr>calcY5Q1RevenueY3Q3</vt:lpstr>
      <vt:lpstr>calcY5Q1RevenueY3Q4</vt:lpstr>
      <vt:lpstr>calcY5Q1RevenueY4Q1</vt:lpstr>
      <vt:lpstr>calcY5Q1RevenueY4Q2</vt:lpstr>
      <vt:lpstr>calcY5Q1RevenueY4Q3</vt:lpstr>
      <vt:lpstr>calcY5Q1RevenueY4Q4</vt:lpstr>
      <vt:lpstr>calcY5Q1RevenueY5Q1</vt:lpstr>
      <vt:lpstr>calcY5Q1RevenueY5Q2</vt:lpstr>
      <vt:lpstr>calcY5Q1RevenueY5Q3</vt:lpstr>
      <vt:lpstr>calcY5Q1RevenueY5Q4</vt:lpstr>
      <vt:lpstr>calcY5Q1RevFlow</vt:lpstr>
      <vt:lpstr>calcY5Q2AttritionDifference</vt:lpstr>
      <vt:lpstr>calcY5Q2COSPerc</vt:lpstr>
      <vt:lpstr>calcY5Q2GAExp</vt:lpstr>
      <vt:lpstr>calcY5Q2MSExp</vt:lpstr>
      <vt:lpstr>calcY5Q2RDExp</vt:lpstr>
      <vt:lpstr>calcY5Q2Rev</vt:lpstr>
      <vt:lpstr>calcY5Q2RevenueAdjustment</vt:lpstr>
      <vt:lpstr>calcY5Q2RevenueY_1Q1</vt:lpstr>
      <vt:lpstr>calcY5Q2RevenueY_1Q2</vt:lpstr>
      <vt:lpstr>calcY5Q2RevenueY_1Q3</vt:lpstr>
      <vt:lpstr>calcY5Q2RevenueY_1Q4</vt:lpstr>
      <vt:lpstr>calcY5Q2RevenueY_2Q1</vt:lpstr>
      <vt:lpstr>calcY5Q2RevenueY_2Q2</vt:lpstr>
      <vt:lpstr>calcY5Q2RevenueY_2Q3</vt:lpstr>
      <vt:lpstr>calcY5Q2RevenueY_2Q4</vt:lpstr>
      <vt:lpstr>calcY5Q2RevenueY0Q1</vt:lpstr>
      <vt:lpstr>calcY5Q2RevenueY0Q2</vt:lpstr>
      <vt:lpstr>calcY5Q2RevenueY0Q3</vt:lpstr>
      <vt:lpstr>calcY5Q2RevenueY0Q4</vt:lpstr>
      <vt:lpstr>calcY5Q2RevenueY1Q1</vt:lpstr>
      <vt:lpstr>calcY5Q2RevenueY1Q2</vt:lpstr>
      <vt:lpstr>calcY5Q2RevenueY1Q3</vt:lpstr>
      <vt:lpstr>calcY5Q2RevenueY1Q4</vt:lpstr>
      <vt:lpstr>calcY5Q2RevenueY2Q1</vt:lpstr>
      <vt:lpstr>calcY5Q2RevenueY2Q2</vt:lpstr>
      <vt:lpstr>calcY5Q2RevenueY2Q3</vt:lpstr>
      <vt:lpstr>calcY5Q2RevenueY2Q4</vt:lpstr>
      <vt:lpstr>calcY5Q2RevenueY3Q1</vt:lpstr>
      <vt:lpstr>calcY5Q2RevenueY3Q2</vt:lpstr>
      <vt:lpstr>calcY5Q2RevenueY3Q3</vt:lpstr>
      <vt:lpstr>calcY5Q2RevenueY3Q4</vt:lpstr>
      <vt:lpstr>calcY5Q2RevenueY4Q1</vt:lpstr>
      <vt:lpstr>calcY5Q2RevenueY4Q2</vt:lpstr>
      <vt:lpstr>calcY5Q2RevenueY4Q3</vt:lpstr>
      <vt:lpstr>calcY5Q2RevenueY4Q4</vt:lpstr>
      <vt:lpstr>calcY5Q2RevenueY5Q1</vt:lpstr>
      <vt:lpstr>calcY5Q2RevenueY5Q2</vt:lpstr>
      <vt:lpstr>calcY5Q2RevenueY5Q3</vt:lpstr>
      <vt:lpstr>calcY5Q2RevenueY5Q4</vt:lpstr>
      <vt:lpstr>calcY5Q2RevFlow</vt:lpstr>
      <vt:lpstr>calcY5Q3AttritionDifference</vt:lpstr>
      <vt:lpstr>calcY5Q3COSPerc</vt:lpstr>
      <vt:lpstr>calcY5Q3GAExp</vt:lpstr>
      <vt:lpstr>calcY5Q3MSExp</vt:lpstr>
      <vt:lpstr>calcY5Q3RDExp</vt:lpstr>
      <vt:lpstr>calcY5Q3Rev</vt:lpstr>
      <vt:lpstr>calcY5Q3RevenueAdjustment</vt:lpstr>
      <vt:lpstr>calcY5Q3RevenueY_1Q1</vt:lpstr>
      <vt:lpstr>calcY5Q3RevenueY_1Q2</vt:lpstr>
      <vt:lpstr>calcY5Q3RevenueY_1Q3</vt:lpstr>
      <vt:lpstr>calcY5Q3RevenueY_1Q4</vt:lpstr>
      <vt:lpstr>calcY5Q3RevenueY_2Q1</vt:lpstr>
      <vt:lpstr>calcY5Q3RevenueY_2Q2</vt:lpstr>
      <vt:lpstr>calcY5Q3RevenueY_2Q3</vt:lpstr>
      <vt:lpstr>calcY5Q3RevenueY_2Q4</vt:lpstr>
      <vt:lpstr>calcY5Q3RevenueY0Q1</vt:lpstr>
      <vt:lpstr>calcY5Q3RevenueY0Q2</vt:lpstr>
      <vt:lpstr>calcY5Q3RevenueY0Q3</vt:lpstr>
      <vt:lpstr>calcY5Q3RevenueY0Q4</vt:lpstr>
      <vt:lpstr>calcY5Q3RevenueY1Q1</vt:lpstr>
      <vt:lpstr>calcY5Q3RevenueY1Q2</vt:lpstr>
      <vt:lpstr>calcY5Q3RevenueY1Q3</vt:lpstr>
      <vt:lpstr>calcY5Q3RevenueY1Q4</vt:lpstr>
      <vt:lpstr>calcY5Q3RevenueY2Q1</vt:lpstr>
      <vt:lpstr>calcY5Q3RevenueY2Q2</vt:lpstr>
      <vt:lpstr>calcY5Q3RevenueY2Q3</vt:lpstr>
      <vt:lpstr>calcY5Q3RevenueY2Q4</vt:lpstr>
      <vt:lpstr>calcY5Q3RevenueY3Q1</vt:lpstr>
      <vt:lpstr>calcY5Q3RevenueY3Q2</vt:lpstr>
      <vt:lpstr>calcY5Q3RevenueY3Q3</vt:lpstr>
      <vt:lpstr>calcY5Q3RevenueY3Q4</vt:lpstr>
      <vt:lpstr>calcY5Q3RevenueY4Q1</vt:lpstr>
      <vt:lpstr>calcY5Q3RevenueY4Q2</vt:lpstr>
      <vt:lpstr>calcY5Q3RevenueY4Q3</vt:lpstr>
      <vt:lpstr>calcY5Q3RevenueY4Q4</vt:lpstr>
      <vt:lpstr>calcY5Q3RevenueY5Q1</vt:lpstr>
      <vt:lpstr>calcY5Q3RevenueY5Q2</vt:lpstr>
      <vt:lpstr>calcY5Q3RevenueY5Q3</vt:lpstr>
      <vt:lpstr>calcY5Q3RevenueY5Q4</vt:lpstr>
      <vt:lpstr>calcY5Q3RevFlow</vt:lpstr>
      <vt:lpstr>calcY5Q4AttritionDifference</vt:lpstr>
      <vt:lpstr>calcY5Q4COSPerc</vt:lpstr>
      <vt:lpstr>calcY5Q4GAExp</vt:lpstr>
      <vt:lpstr>calcY5Q4MSExp</vt:lpstr>
      <vt:lpstr>calcY5Q4RDExp</vt:lpstr>
      <vt:lpstr>calcY5Q4Rev</vt:lpstr>
      <vt:lpstr>calcY5Q4RevenueAdjustment</vt:lpstr>
      <vt:lpstr>calcY5Q4RevenueY_1Q1</vt:lpstr>
      <vt:lpstr>calcY5Q4RevenueY_1Q2</vt:lpstr>
      <vt:lpstr>calcY5Q4RevenueY_1Q3</vt:lpstr>
      <vt:lpstr>calcY5Q4RevenueY_1Q4</vt:lpstr>
      <vt:lpstr>calcY5Q4RevenueY_2Q1</vt:lpstr>
      <vt:lpstr>calcY5Q4RevenueY_2Q2</vt:lpstr>
      <vt:lpstr>calcY5Q4RevenueY_2Q3</vt:lpstr>
      <vt:lpstr>calcY5Q4RevenueY_2Q4</vt:lpstr>
      <vt:lpstr>calcY5Q4RevenueY0Q1</vt:lpstr>
      <vt:lpstr>calcY5Q4RevenueY0Q2</vt:lpstr>
      <vt:lpstr>calcY5Q4RevenueY0Q3</vt:lpstr>
      <vt:lpstr>calcY5Q4RevenueY0Q4</vt:lpstr>
      <vt:lpstr>calcY5Q4RevenueY1Q1</vt:lpstr>
      <vt:lpstr>calcY5Q4RevenueY1Q2</vt:lpstr>
      <vt:lpstr>calcY5Q4RevenueY1Q3</vt:lpstr>
      <vt:lpstr>calcY5Q4RevenueY1Q4</vt:lpstr>
      <vt:lpstr>calcY5Q4RevenueY2Q1</vt:lpstr>
      <vt:lpstr>calcY5Q4RevenueY2Q2</vt:lpstr>
      <vt:lpstr>calcY5Q4RevenueY2Q3</vt:lpstr>
      <vt:lpstr>calcY5Q4RevenueY2Q4</vt:lpstr>
      <vt:lpstr>calcY5Q4RevenueY3Q1</vt:lpstr>
      <vt:lpstr>calcY5Q4RevenueY3Q2</vt:lpstr>
      <vt:lpstr>calcY5Q4RevenueY3Q3</vt:lpstr>
      <vt:lpstr>calcY5Q4RevenueY3Q4</vt:lpstr>
      <vt:lpstr>calcY5Q4RevenueY4Q1</vt:lpstr>
      <vt:lpstr>calcY5Q4RevenueY4Q2</vt:lpstr>
      <vt:lpstr>calcY5Q4RevenueY4Q3</vt:lpstr>
      <vt:lpstr>calcY5Q4RevenueY4Q4</vt:lpstr>
      <vt:lpstr>calcY5Q4RevenueY5Q1</vt:lpstr>
      <vt:lpstr>calcY5Q4RevenueY5Q2</vt:lpstr>
      <vt:lpstr>calcY5Q4RevenueY5Q3</vt:lpstr>
      <vt:lpstr>calcY5Q4RevenueY5Q4</vt:lpstr>
      <vt:lpstr>calcY5Q4RevFlow</vt:lpstr>
      <vt:lpstr>cbal_Paste</vt:lpstr>
      <vt:lpstr>cbalACVTotalY1</vt:lpstr>
      <vt:lpstr>cbalACVTotalY2</vt:lpstr>
      <vt:lpstr>cbalACVY1Q1</vt:lpstr>
      <vt:lpstr>cbalACVY1Q2</vt:lpstr>
      <vt:lpstr>cbalACVY1Q3</vt:lpstr>
      <vt:lpstr>cbalACVY1Q4</vt:lpstr>
      <vt:lpstr>cbalACVY2Q1</vt:lpstr>
      <vt:lpstr>cbalACVY2Q2</vt:lpstr>
      <vt:lpstr>cbalACVY2Q3</vt:lpstr>
      <vt:lpstr>cbalACVY2Q4</vt:lpstr>
      <vt:lpstr>cbalAnnualCOS</vt:lpstr>
      <vt:lpstr>cbalAnnualExternalSalesExp</vt:lpstr>
      <vt:lpstr>cbalAnnualFullREExp</vt:lpstr>
      <vt:lpstr>cbalAnnualGAExp</vt:lpstr>
      <vt:lpstr>cbalAnnualGAMigrationExp</vt:lpstr>
      <vt:lpstr>cbalAnnualGrossMargin</vt:lpstr>
      <vt:lpstr>cbalAnnualGrossProfit</vt:lpstr>
      <vt:lpstr>cbalAnnualHarmExp</vt:lpstr>
      <vt:lpstr>cbalAnnualIntegratedOpMargin</vt:lpstr>
      <vt:lpstr>cbalAnnualIntegratedOpProfit</vt:lpstr>
      <vt:lpstr>cbalAnnualITExp</vt:lpstr>
      <vt:lpstr>cbalAnnualMSExp</vt:lpstr>
      <vt:lpstr>cbalAnnualOpMargin</vt:lpstr>
      <vt:lpstr>cbalAnnualOpProfit</vt:lpstr>
      <vt:lpstr>cbalAnnualOrg62Exp</vt:lpstr>
      <vt:lpstr>cbalAnnualPackagingPricingExp</vt:lpstr>
      <vt:lpstr>cbalAnnualRDExp</vt:lpstr>
      <vt:lpstr>cbalAnnualRev</vt:lpstr>
      <vt:lpstr>cbalAnnualRevWriteDownExp</vt:lpstr>
      <vt:lpstr>cbalAnnualStackExp</vt:lpstr>
      <vt:lpstr>cbalAnnualTrustExp</vt:lpstr>
      <vt:lpstr>cbalESAT</vt:lpstr>
      <vt:lpstr>cbalExecutionVelocity</vt:lpstr>
      <vt:lpstr>cbalFTEs</vt:lpstr>
      <vt:lpstr>cbalGAPerc</vt:lpstr>
      <vt:lpstr>cbalGTMCSGPostSales</vt:lpstr>
      <vt:lpstr>cbalGTMExternalSales</vt:lpstr>
      <vt:lpstr>cbalGTMOrg62Timeline</vt:lpstr>
      <vt:lpstr>cbalGTMPackagingIntegration</vt:lpstr>
      <vt:lpstr>cbalIntegrationBudget</vt:lpstr>
      <vt:lpstr>cbalIntegrationBudgetY2</vt:lpstr>
      <vt:lpstr>cbalITIntegrationLevel</vt:lpstr>
      <vt:lpstr>cbalITLeft</vt:lpstr>
      <vt:lpstr>cbalITOfficePlan</vt:lpstr>
      <vt:lpstr>cbalKeyHarmonizationLeft</vt:lpstr>
      <vt:lpstr>cbalMSPerc</vt:lpstr>
      <vt:lpstr>cbalNonKeyHarmonizationLeft</vt:lpstr>
      <vt:lpstr>cbalNPS</vt:lpstr>
      <vt:lpstr>cbalOrg62CostLeft</vt:lpstr>
      <vt:lpstr>cbalPeopleHarmonizationLevel</vt:lpstr>
      <vt:lpstr>cbalPeopleTimeline</vt:lpstr>
      <vt:lpstr>cbalQ1BrandIntExp</vt:lpstr>
      <vt:lpstr>cbalQ1COS</vt:lpstr>
      <vt:lpstr>cbalQ1CSGExp</vt:lpstr>
      <vt:lpstr>cbalQ1ExternalSalesExp</vt:lpstr>
      <vt:lpstr>cbalQ1FullREExp</vt:lpstr>
      <vt:lpstr>cbalQ1GAExp</vt:lpstr>
      <vt:lpstr>cbalQ1GAMigrationExp</vt:lpstr>
      <vt:lpstr>cbalQ1HarmExp</vt:lpstr>
      <vt:lpstr>cbalQ1ITExp</vt:lpstr>
      <vt:lpstr>cbalQ1LeadPassExp</vt:lpstr>
      <vt:lpstr>cbalQ1MSExp</vt:lpstr>
      <vt:lpstr>cbalQ1Org62Exp</vt:lpstr>
      <vt:lpstr>cbalQ1PackagingPricingExp</vt:lpstr>
      <vt:lpstr>cbalQ1RDExp</vt:lpstr>
      <vt:lpstr>cbalQ1Rev</vt:lpstr>
      <vt:lpstr>cbalQ1RevPerc</vt:lpstr>
      <vt:lpstr>cbalQ1RevWriteDownExp</vt:lpstr>
      <vt:lpstr>cbalQ1StackExp</vt:lpstr>
      <vt:lpstr>cbalQ1TrustExp</vt:lpstr>
      <vt:lpstr>cbalQ2BrandIntExp</vt:lpstr>
      <vt:lpstr>cbalQ2COS</vt:lpstr>
      <vt:lpstr>cbalQ2CSGExp</vt:lpstr>
      <vt:lpstr>cbalQ2ExternalSalesExp</vt:lpstr>
      <vt:lpstr>cbalQ2FullREExp</vt:lpstr>
      <vt:lpstr>cbalQ2GAExp</vt:lpstr>
      <vt:lpstr>cbalQ2GAMigrationExp</vt:lpstr>
      <vt:lpstr>cbalQ2HarmExp</vt:lpstr>
      <vt:lpstr>cbalQ2ITExp</vt:lpstr>
      <vt:lpstr>cbalQ2LeadPassExp</vt:lpstr>
      <vt:lpstr>cbalQ2MSExp</vt:lpstr>
      <vt:lpstr>cbalQ2Org62Exp</vt:lpstr>
      <vt:lpstr>cbalQ2PackagingPricingExp</vt:lpstr>
      <vt:lpstr>cbalQ2RDExp</vt:lpstr>
      <vt:lpstr>cbalQ2Rev</vt:lpstr>
      <vt:lpstr>cbalQ2RevPerc</vt:lpstr>
      <vt:lpstr>cbalQ2RevWriteDownExp</vt:lpstr>
      <vt:lpstr>cbalQ2StackExp</vt:lpstr>
      <vt:lpstr>cbalQ2TrustExp</vt:lpstr>
      <vt:lpstr>cbalQ3BrandIntExp</vt:lpstr>
      <vt:lpstr>cbalQ3COS</vt:lpstr>
      <vt:lpstr>cbalQ3CSGExp</vt:lpstr>
      <vt:lpstr>cbalQ3ExternalSalesExp</vt:lpstr>
      <vt:lpstr>cbalQ3FullREExp</vt:lpstr>
      <vt:lpstr>cbalQ3GAExp</vt:lpstr>
      <vt:lpstr>cbalQ3GAMigrationExp</vt:lpstr>
      <vt:lpstr>cbalQ3HarmExp</vt:lpstr>
      <vt:lpstr>cbalQ3ITExp</vt:lpstr>
      <vt:lpstr>cbalQ3LeadPassExp</vt:lpstr>
      <vt:lpstr>cbalQ3MSExp</vt:lpstr>
      <vt:lpstr>cbalQ3Org62Exp</vt:lpstr>
      <vt:lpstr>cbalQ3PackagingPricingExp</vt:lpstr>
      <vt:lpstr>cbalQ3RDExp</vt:lpstr>
      <vt:lpstr>cbalQ3Rev</vt:lpstr>
      <vt:lpstr>cbalQ3RevPerc</vt:lpstr>
      <vt:lpstr>cbalQ3RevWriteDownExp</vt:lpstr>
      <vt:lpstr>cbalQ3StackExp</vt:lpstr>
      <vt:lpstr>cbalQ3TrustExp</vt:lpstr>
      <vt:lpstr>cbalQ4BrandIntExp</vt:lpstr>
      <vt:lpstr>cbalQ4COS</vt:lpstr>
      <vt:lpstr>cbalQ4CSGExp</vt:lpstr>
      <vt:lpstr>cbalQ4ExternalSalesExp</vt:lpstr>
      <vt:lpstr>cbalQ4FullREExp</vt:lpstr>
      <vt:lpstr>cbalQ4GAExp</vt:lpstr>
      <vt:lpstr>cbalQ4GAMigrationExp</vt:lpstr>
      <vt:lpstr>cbalQ4HarmExp</vt:lpstr>
      <vt:lpstr>cbalQ4ITExp</vt:lpstr>
      <vt:lpstr>cbalQ4LeadPassExp</vt:lpstr>
      <vt:lpstr>cbalQ4MSExp</vt:lpstr>
      <vt:lpstr>cbalQ4Org62Exp</vt:lpstr>
      <vt:lpstr>cbalQ4PackagingPricingExp</vt:lpstr>
      <vt:lpstr>cbalQ4RDExp</vt:lpstr>
      <vt:lpstr>cbalQ4Rev</vt:lpstr>
      <vt:lpstr>cbalQ4RevPerc</vt:lpstr>
      <vt:lpstr>cbalQ4RevWriteDownExp</vt:lpstr>
      <vt:lpstr>cbalQ4StackExp</vt:lpstr>
      <vt:lpstr>cbalQ4TrustExp</vt:lpstr>
      <vt:lpstr>cbalRDPerc</vt:lpstr>
      <vt:lpstr>cbalRiskIndex</vt:lpstr>
      <vt:lpstr>cbalSecurityBuildSiteInfrastructure</vt:lpstr>
      <vt:lpstr>cbalSecurityP0RiskMitigation</vt:lpstr>
      <vt:lpstr>cbalSecurityP1RiskMitigation</vt:lpstr>
      <vt:lpstr>cbalSecurityP2RiskMitigation</vt:lpstr>
      <vt:lpstr>cbalSecurityProductRestrictions</vt:lpstr>
      <vt:lpstr>cbalSI1CodeR1</vt:lpstr>
      <vt:lpstr>cbalSI1CodeR2</vt:lpstr>
      <vt:lpstr>cbalSI1CodeR3</vt:lpstr>
      <vt:lpstr>cbalSI2CodeR1</vt:lpstr>
      <vt:lpstr>cbalSI2CodeR2</vt:lpstr>
      <vt:lpstr>cbalSI2CodeR3</vt:lpstr>
      <vt:lpstr>cbalSI3CodeR1</vt:lpstr>
      <vt:lpstr>cbalSI3CodeR2</vt:lpstr>
      <vt:lpstr>cbalSI3CodeR3</vt:lpstr>
      <vt:lpstr>cbalSI4CodeR1</vt:lpstr>
      <vt:lpstr>cbalSI4CodeR2</vt:lpstr>
      <vt:lpstr>cbalSI5CodeR1</vt:lpstr>
      <vt:lpstr>cbalSI5CodeR2</vt:lpstr>
      <vt:lpstr>cbalTargetCOR</vt:lpstr>
      <vt:lpstr>cbalTargetDealBudget</vt:lpstr>
      <vt:lpstr>cbalTargetFullOpMargin</vt:lpstr>
      <vt:lpstr>cbalTargetFullOpProf</vt:lpstr>
      <vt:lpstr>cbalTargetGA</vt:lpstr>
      <vt:lpstr>cbalTargetGP</vt:lpstr>
      <vt:lpstr>cbalTargetMS</vt:lpstr>
      <vt:lpstr>cbalTargetRD</vt:lpstr>
      <vt:lpstr>cbalTargetRev</vt:lpstr>
      <vt:lpstr>cbalTargetStandaloneOpMargin</vt:lpstr>
      <vt:lpstr>cbalTargetStandaloneOpProf</vt:lpstr>
      <vt:lpstr>cbalTimeline</vt:lpstr>
      <vt:lpstr>cbalTimelineBudget</vt:lpstr>
      <vt:lpstr>cbalTimelineGAMigration</vt:lpstr>
      <vt:lpstr>cbalTimelineLength1</vt:lpstr>
      <vt:lpstr>cbalTimelineLength2</vt:lpstr>
      <vt:lpstr>cbalTimelineLength3</vt:lpstr>
      <vt:lpstr>cbalTimelineLength4</vt:lpstr>
      <vt:lpstr>cbalTrustCostLeft</vt:lpstr>
      <vt:lpstr>cbalV2MOMValue1Desc</vt:lpstr>
      <vt:lpstr>cbalV2MOMValue1Rank</vt:lpstr>
      <vt:lpstr>cbalV2MOMValue2Desc</vt:lpstr>
      <vt:lpstr>cbalV2MOMValue2Rank</vt:lpstr>
      <vt:lpstr>cbalV2MOMValue3Desc</vt:lpstr>
      <vt:lpstr>cbalV2MOMValue3Rank</vt:lpstr>
      <vt:lpstr>cbalV2MOMValue4Desc</vt:lpstr>
      <vt:lpstr>cbalV2MOMValue4Rank</vt:lpstr>
      <vt:lpstr>cbalV2MOMValue5Desc</vt:lpstr>
      <vt:lpstr>cbalV2MOMValue5Rank</vt:lpstr>
      <vt:lpstr>cbalV2MOMVision</vt:lpstr>
      <vt:lpstr>cbalWobbler1</vt:lpstr>
      <vt:lpstr>cbalWobbler10</vt:lpstr>
      <vt:lpstr>cbalWobbler11</vt:lpstr>
      <vt:lpstr>cbalWobbler12</vt:lpstr>
      <vt:lpstr>cbalWobbler13</vt:lpstr>
      <vt:lpstr>cbalWobbler14</vt:lpstr>
      <vt:lpstr>cbalWobbler15</vt:lpstr>
      <vt:lpstr>cbalWobbler2</vt:lpstr>
      <vt:lpstr>cbalWobbler3</vt:lpstr>
      <vt:lpstr>cbalWobbler4</vt:lpstr>
      <vt:lpstr>cbalWobbler5</vt:lpstr>
      <vt:lpstr>cbalWobbler6</vt:lpstr>
      <vt:lpstr>cbalWobbler7</vt:lpstr>
      <vt:lpstr>cbalWobbler8</vt:lpstr>
      <vt:lpstr>cbalWobbler9</vt:lpstr>
      <vt:lpstr>cbalY1BrandIntExp</vt:lpstr>
      <vt:lpstr>cbalY1CSGExp</vt:lpstr>
      <vt:lpstr>cbalY1LeadPassExp</vt:lpstr>
      <vt:lpstr>cbalY2AnnualBrandIntExp</vt:lpstr>
      <vt:lpstr>cbalY2AnnualCOS</vt:lpstr>
      <vt:lpstr>cbalY2AnnualCSGExp</vt:lpstr>
      <vt:lpstr>cbalY2AnnualExternalSalesExp</vt:lpstr>
      <vt:lpstr>cbalY2AnnualFullREExp</vt:lpstr>
      <vt:lpstr>cbalY2AnnualGAExp</vt:lpstr>
      <vt:lpstr>cbalY2AnnualGAMigrationExp</vt:lpstr>
      <vt:lpstr>cbalY2AnnualGrossMargin</vt:lpstr>
      <vt:lpstr>cbalY2AnnualGrossProfit</vt:lpstr>
      <vt:lpstr>cbalY2AnnualHarmExp</vt:lpstr>
      <vt:lpstr>cbalY2AnnualIntegratedOpMargin</vt:lpstr>
      <vt:lpstr>cbalY2AnnualIntegratedOpProfit</vt:lpstr>
      <vt:lpstr>cbalY2AnnualITExp</vt:lpstr>
      <vt:lpstr>cbalY2AnnualLeadPassExp</vt:lpstr>
      <vt:lpstr>cbalY2AnnualMSExp</vt:lpstr>
      <vt:lpstr>cbalY2AnnualOpMargin</vt:lpstr>
      <vt:lpstr>cbalY2AnnualOpProfit</vt:lpstr>
      <vt:lpstr>cbalY2AnnualOrg62Exp</vt:lpstr>
      <vt:lpstr>cbalY2AnnualPackagingPricingExp</vt:lpstr>
      <vt:lpstr>cbalY2AnnualRDExp</vt:lpstr>
      <vt:lpstr>cbalY2AnnualRev</vt:lpstr>
      <vt:lpstr>cbalY2AnnualRevWriteDownExp</vt:lpstr>
      <vt:lpstr>cbalY2AnnualStackExp</vt:lpstr>
      <vt:lpstr>cbalY2AnnualTrustExp</vt:lpstr>
      <vt:lpstr>cbalY2Q1BrandIntExp</vt:lpstr>
      <vt:lpstr>cbalY2Q1COS</vt:lpstr>
      <vt:lpstr>cbalY2Q1CSGExp</vt:lpstr>
      <vt:lpstr>cbalY2Q1ExternalSalesExp</vt:lpstr>
      <vt:lpstr>cbalY2Q1FullREExp</vt:lpstr>
      <vt:lpstr>cbalY2Q1GAExp</vt:lpstr>
      <vt:lpstr>cbalY2Q1GAMigrationExp</vt:lpstr>
      <vt:lpstr>cbalY2Q1HarmExp</vt:lpstr>
      <vt:lpstr>cbalY2Q1ITExp</vt:lpstr>
      <vt:lpstr>cbalY2Q1LeadPassExp</vt:lpstr>
      <vt:lpstr>cbalY2Q1MSExp</vt:lpstr>
      <vt:lpstr>cbalY2Q1Org62Exp</vt:lpstr>
      <vt:lpstr>cbalY2Q1PackagingPricingExp</vt:lpstr>
      <vt:lpstr>cbalY2Q1RDExp</vt:lpstr>
      <vt:lpstr>cbalY2Q1Rev</vt:lpstr>
      <vt:lpstr>cbalY2Q1RevWriteDownExp</vt:lpstr>
      <vt:lpstr>cbalY2Q1StackExp</vt:lpstr>
      <vt:lpstr>cbalY2Q1TrustExp</vt:lpstr>
      <vt:lpstr>cbalY2Q2BrandIntExp</vt:lpstr>
      <vt:lpstr>cbalY2Q2COS</vt:lpstr>
      <vt:lpstr>cbalY2Q2CSGExp</vt:lpstr>
      <vt:lpstr>cbalY2Q2ExternalSalesExp</vt:lpstr>
      <vt:lpstr>cbalY2Q2FullREExp</vt:lpstr>
      <vt:lpstr>cbalY2Q2GAExp</vt:lpstr>
      <vt:lpstr>cbalY2Q2GAMigrationExp</vt:lpstr>
      <vt:lpstr>cbalY2Q2HarmExp</vt:lpstr>
      <vt:lpstr>cbalY2Q2ITExp</vt:lpstr>
      <vt:lpstr>cbalY2Q2LeadPassExp</vt:lpstr>
      <vt:lpstr>cbalY2Q2MSExp</vt:lpstr>
      <vt:lpstr>cbalY2Q2Org62Exp</vt:lpstr>
      <vt:lpstr>cbalY2Q2PackagingPricingExp</vt:lpstr>
      <vt:lpstr>cbalY2Q2RDExp</vt:lpstr>
      <vt:lpstr>cbalY2Q2Rev</vt:lpstr>
      <vt:lpstr>cbalY2Q2RevWriteDownExp</vt:lpstr>
      <vt:lpstr>cbalY2Q2StackExp</vt:lpstr>
      <vt:lpstr>cbalY2Q2TrustExp</vt:lpstr>
      <vt:lpstr>cbalY2Q3BrandIntExp</vt:lpstr>
      <vt:lpstr>cbalY2Q3COS</vt:lpstr>
      <vt:lpstr>cbalY2Q3CSGExp</vt:lpstr>
      <vt:lpstr>cbalY2Q3ExternalSalesExp</vt:lpstr>
      <vt:lpstr>cbalY2Q3FullREExp</vt:lpstr>
      <vt:lpstr>cbalY2Q3GAExp</vt:lpstr>
      <vt:lpstr>cbalY2Q3GAMigrationExp</vt:lpstr>
      <vt:lpstr>cbalY2Q3HarmExp</vt:lpstr>
      <vt:lpstr>cbalY2Q3ITExp</vt:lpstr>
      <vt:lpstr>cbalY2Q3LeadPassExp</vt:lpstr>
      <vt:lpstr>cbalY2Q3MSExp</vt:lpstr>
      <vt:lpstr>cbalY2Q3Org62Exp</vt:lpstr>
      <vt:lpstr>cbalY2Q3PackagingPricingExp</vt:lpstr>
      <vt:lpstr>cbalY2Q3RDExp</vt:lpstr>
      <vt:lpstr>cbalY2Q3Rev</vt:lpstr>
      <vt:lpstr>cbalY2Q3RevWriteDownExp</vt:lpstr>
      <vt:lpstr>cbalY2Q3StackExp</vt:lpstr>
      <vt:lpstr>cbalY2Q3TrustExp</vt:lpstr>
      <vt:lpstr>cbalY2Q4BrandIntExp</vt:lpstr>
      <vt:lpstr>cbalY2Q4COS</vt:lpstr>
      <vt:lpstr>cbalY2Q4CSGExp</vt:lpstr>
      <vt:lpstr>cbalY2Q4ExternalSalesExp</vt:lpstr>
      <vt:lpstr>cbalY2Q4FullREExp</vt:lpstr>
      <vt:lpstr>cbalY2Q4GAExp</vt:lpstr>
      <vt:lpstr>cbalY2Q4GAMigrationExp</vt:lpstr>
      <vt:lpstr>cbalY2Q4HarmExp</vt:lpstr>
      <vt:lpstr>cbalY2Q4ITExp</vt:lpstr>
      <vt:lpstr>cbalY2Q4LeadPassExp</vt:lpstr>
      <vt:lpstr>cbalY2Q4MSExp</vt:lpstr>
      <vt:lpstr>cbalY2Q4Org62Exp</vt:lpstr>
      <vt:lpstr>cbalY2Q4PackagingPricingExp</vt:lpstr>
      <vt:lpstr>cbalY2Q4RDExp</vt:lpstr>
      <vt:lpstr>cbalY2Q4Rev</vt:lpstr>
      <vt:lpstr>cbalY2Q4RevWriteDownExp</vt:lpstr>
      <vt:lpstr>cbalY2Q4StackExp</vt:lpstr>
      <vt:lpstr>cbalY2Q4TrustExp</vt:lpstr>
      <vt:lpstr>cbalY5AnnualCOS</vt:lpstr>
      <vt:lpstr>cbalY5AnnualGAExp</vt:lpstr>
      <vt:lpstr>cbalY5AnnualGrossMargin</vt:lpstr>
      <vt:lpstr>cbalY5AnnualGrossProfit</vt:lpstr>
      <vt:lpstr>cbalY5AnnualMSExp</vt:lpstr>
      <vt:lpstr>cbalY5AnnualOpMargin</vt:lpstr>
      <vt:lpstr>cbalY5AnnualOpProfit</vt:lpstr>
      <vt:lpstr>cbalY5AnnualRDExp</vt:lpstr>
      <vt:lpstr>cbalY5AnnualRev</vt:lpstr>
      <vt:lpstr>cbalY5Q1COS</vt:lpstr>
      <vt:lpstr>cbalY5Q1GAExp</vt:lpstr>
      <vt:lpstr>cbalY5Q1MSExp</vt:lpstr>
      <vt:lpstr>cbalY5Q1RDExp</vt:lpstr>
      <vt:lpstr>cbalY5Q1Rev</vt:lpstr>
      <vt:lpstr>cbalY5Q2COS</vt:lpstr>
      <vt:lpstr>cbalY5Q2GAExp</vt:lpstr>
      <vt:lpstr>cbalY5Q2MSExp</vt:lpstr>
      <vt:lpstr>cbalY5Q2RDExp</vt:lpstr>
      <vt:lpstr>cbalY5Q2Rev</vt:lpstr>
      <vt:lpstr>cbalY5Q3COS</vt:lpstr>
      <vt:lpstr>cbalY5Q3GAExp</vt:lpstr>
      <vt:lpstr>cbalY5Q3MSExp</vt:lpstr>
      <vt:lpstr>cbalY5Q3RDExp</vt:lpstr>
      <vt:lpstr>cbalY5Q3Rev</vt:lpstr>
      <vt:lpstr>cbalY5Q4COS</vt:lpstr>
      <vt:lpstr>cbalY5Q4GAExp</vt:lpstr>
      <vt:lpstr>cbalY5Q4MSExp</vt:lpstr>
      <vt:lpstr>cbalY5Q4RDExp</vt:lpstr>
      <vt:lpstr>cbalY5Q4Rev</vt:lpstr>
      <vt:lpstr>Choose</vt:lpstr>
      <vt:lpstr>ClearAdjRange1</vt:lpstr>
      <vt:lpstr>ClearAdjRange10</vt:lpstr>
      <vt:lpstr>ClearAdjRange11</vt:lpstr>
      <vt:lpstr>ClearAdjRange12</vt:lpstr>
      <vt:lpstr>ClearAdjRange13</vt:lpstr>
      <vt:lpstr>ClearAdjRange14</vt:lpstr>
      <vt:lpstr>ClearAdjRange15</vt:lpstr>
      <vt:lpstr>ClearAdjRange16</vt:lpstr>
      <vt:lpstr>ClearAdjRange17</vt:lpstr>
      <vt:lpstr>ClearAdjRange18</vt:lpstr>
      <vt:lpstr>ClearAdjRange19</vt:lpstr>
      <vt:lpstr>ClearAdjRange2</vt:lpstr>
      <vt:lpstr>ClearAdjRange20</vt:lpstr>
      <vt:lpstr>ClearAdjRange21</vt:lpstr>
      <vt:lpstr>ClearAdjRange22</vt:lpstr>
      <vt:lpstr>ClearAdjRange23</vt:lpstr>
      <vt:lpstr>ClearAdjRange24</vt:lpstr>
      <vt:lpstr>ClearAdjRange25</vt:lpstr>
      <vt:lpstr>ClearAdjRange3</vt:lpstr>
      <vt:lpstr>ClearAdjRange4</vt:lpstr>
      <vt:lpstr>ClearAdjRange5</vt:lpstr>
      <vt:lpstr>ClearAdjRange6</vt:lpstr>
      <vt:lpstr>ClearAdjRange7</vt:lpstr>
      <vt:lpstr>ClearAdjRange8</vt:lpstr>
      <vt:lpstr>ClearAdjRange9</vt:lpstr>
      <vt:lpstr>cnstComma</vt:lpstr>
      <vt:lpstr>cnstDoubleQuote</vt:lpstr>
      <vt:lpstr>cnstMillion</vt:lpstr>
      <vt:lpstr>cnstSingleQuote</vt:lpstr>
      <vt:lpstr>core_FilePrefix</vt:lpstr>
      <vt:lpstr>dataCurveballACV</vt:lpstr>
      <vt:lpstr>dataCurveballAdditional</vt:lpstr>
      <vt:lpstr>dataCurveballBudget</vt:lpstr>
      <vt:lpstr>dataCurveballCSAT</vt:lpstr>
      <vt:lpstr>dataCurveballDisruption</vt:lpstr>
      <vt:lpstr>dataCurveballEngagement</vt:lpstr>
      <vt:lpstr>dataCurveballImpactTable</vt:lpstr>
      <vt:lpstr>dataCurveballRisk</vt:lpstr>
      <vt:lpstr>dataGAMigrationCost</vt:lpstr>
      <vt:lpstr>dataHarmLevels</vt:lpstr>
      <vt:lpstr>dataHarmonizationBudget</vt:lpstr>
      <vt:lpstr>dataIntegrationBudget</vt:lpstr>
      <vt:lpstr>dataITIntegrationCostR1</vt:lpstr>
      <vt:lpstr>dataITIntegrationCostR2</vt:lpstr>
      <vt:lpstr>dataITIntegrationCostR3</vt:lpstr>
      <vt:lpstr>dataKeyTalentProportion</vt:lpstr>
      <vt:lpstr>dataNonKeyTalentProportion</vt:lpstr>
      <vt:lpstr>dataNumTeams</vt:lpstr>
      <vt:lpstr>DataOfficeIntegrationDropdown</vt:lpstr>
      <vt:lpstr>DataOfficeIntegrationPrice</vt:lpstr>
      <vt:lpstr>dataPackagingPricingCost</vt:lpstr>
      <vt:lpstr>dataProductFeatureEnhancement</vt:lpstr>
      <vt:lpstr>dataRealEstateExistingCost</vt:lpstr>
      <vt:lpstr>dataRealEstateInCloudCost</vt:lpstr>
      <vt:lpstr>dataRiskP0Cost</vt:lpstr>
      <vt:lpstr>dataRiskP1Cost</vt:lpstr>
      <vt:lpstr>dataRiskP2Cost</vt:lpstr>
      <vt:lpstr>dataSecurityOfficeInfrastructure</vt:lpstr>
      <vt:lpstr>dataSecurityREInfrastructureCost</vt:lpstr>
      <vt:lpstr>dataStackIntegrationCost</vt:lpstr>
      <vt:lpstr>datatblBackOfficeTimeline</vt:lpstr>
      <vt:lpstr>datatblBrandIntegration</vt:lpstr>
      <vt:lpstr>datatblCSGPostSales</vt:lpstr>
      <vt:lpstr>datatblEmpIntegrationLevelImpact</vt:lpstr>
      <vt:lpstr>datatblESATImpact</vt:lpstr>
      <vt:lpstr>datatblExternalSalesImpact</vt:lpstr>
      <vt:lpstr>datatblKeyHarmProp</vt:lpstr>
      <vt:lpstr>datatblLeadPass</vt:lpstr>
      <vt:lpstr>datatblNonKeyHarmProp</vt:lpstr>
      <vt:lpstr>datatblNPSAttrition</vt:lpstr>
      <vt:lpstr>datatblNPSGrowth</vt:lpstr>
      <vt:lpstr>datatblNPSScore</vt:lpstr>
      <vt:lpstr>datatblOrg62Timeline</vt:lpstr>
      <vt:lpstr>datatblP0RiskMitigation</vt:lpstr>
      <vt:lpstr>datatblP1RiskMitigation</vt:lpstr>
      <vt:lpstr>datatblP2RiskMitigation</vt:lpstr>
      <vt:lpstr>datatblPeopleTimeline</vt:lpstr>
      <vt:lpstr>datatblProductTimeline</vt:lpstr>
      <vt:lpstr>datatblSecurityTimeline</vt:lpstr>
      <vt:lpstr>datatblStackFocusImpact</vt:lpstr>
      <vt:lpstr>DataValuesAvail</vt:lpstr>
      <vt:lpstr>dataValuesList</vt:lpstr>
      <vt:lpstr>dataY_1Q1Rev</vt:lpstr>
      <vt:lpstr>dataY_1Q2Rev</vt:lpstr>
      <vt:lpstr>dataY_1Q3Rev</vt:lpstr>
      <vt:lpstr>dataY_1Q4Rev</vt:lpstr>
      <vt:lpstr>dataY0Q1Rev</vt:lpstr>
      <vt:lpstr>dataY0Q2Rev</vt:lpstr>
      <vt:lpstr>dataY0Q3Rev</vt:lpstr>
      <vt:lpstr>dataY0Q4Rev</vt:lpstr>
      <vt:lpstr>dataY1Q1Rev</vt:lpstr>
      <vt:lpstr>dataY1Q2Rev</vt:lpstr>
      <vt:lpstr>dataY1Q3Rev</vt:lpstr>
      <vt:lpstr>dataY1Q4Rev</vt:lpstr>
      <vt:lpstr>dataY2Q1Rev</vt:lpstr>
      <vt:lpstr>dataY2Q2Rev</vt:lpstr>
      <vt:lpstr>dataY2Q3Rev</vt:lpstr>
      <vt:lpstr>dataY2Q4Rev</vt:lpstr>
      <vt:lpstr>dataY3Q1Rev</vt:lpstr>
      <vt:lpstr>dataY3Q2Rev</vt:lpstr>
      <vt:lpstr>dataY3Q3Rev</vt:lpstr>
      <vt:lpstr>dataY3Q4Rev</vt:lpstr>
      <vt:lpstr>dataY4Q1Rev</vt:lpstr>
      <vt:lpstr>dataY4Q2Rev</vt:lpstr>
      <vt:lpstr>dataY4Q3Rev</vt:lpstr>
      <vt:lpstr>dataY4Q4Rev</vt:lpstr>
      <vt:lpstr>dataY5Q1Rev</vt:lpstr>
      <vt:lpstr>dataY5Q2Rev</vt:lpstr>
      <vt:lpstr>dataY5Q3Rev</vt:lpstr>
      <vt:lpstr>dataY5Q4Rev</vt:lpstr>
      <vt:lpstr>DB_arrayDash1Names</vt:lpstr>
      <vt:lpstr>DB_arrayDash1Values</vt:lpstr>
      <vt:lpstr>DB_arrayDash1Y2Names</vt:lpstr>
      <vt:lpstr>DB_arrayDash1Y2Values</vt:lpstr>
      <vt:lpstr>DB_arrayDash2Names</vt:lpstr>
      <vt:lpstr>DB_arrayDash2Values</vt:lpstr>
      <vt:lpstr>DB_arrayDash3Names</vt:lpstr>
      <vt:lpstr>DB_arrayDash3Values</vt:lpstr>
      <vt:lpstr>DB_Dashboard1</vt:lpstr>
      <vt:lpstr>DB_Dashboard1Y2</vt:lpstr>
      <vt:lpstr>DB_Dashboard2</vt:lpstr>
      <vt:lpstr>DB_Dashboard3</vt:lpstr>
      <vt:lpstr>DB_LargeWhiteSpace</vt:lpstr>
      <vt:lpstr>DB_LargeWhiteSpaceLength</vt:lpstr>
      <vt:lpstr>DB_SubWhiteSpace</vt:lpstr>
      <vt:lpstr>DB_SubWhiteSpaceLength</vt:lpstr>
      <vt:lpstr>DB_WhiteSpace</vt:lpstr>
      <vt:lpstr>DB_WhiteSpaceLength</vt:lpstr>
      <vt:lpstr>dec_End</vt:lpstr>
      <vt:lpstr>dec_ErrorCheck</vt:lpstr>
      <vt:lpstr>dec_ErrorMessage</vt:lpstr>
      <vt:lpstr>dec_FormulaReset</vt:lpstr>
      <vt:lpstr>dec_LineBreak</vt:lpstr>
      <vt:lpstr>dec_Names</vt:lpstr>
      <vt:lpstr>dec_Paste</vt:lpstr>
      <vt:lpstr>dec_PasteY1</vt:lpstr>
      <vt:lpstr>dec_PasteY2</vt:lpstr>
      <vt:lpstr>dec_PasteY3</vt:lpstr>
      <vt:lpstr>dec_Round</vt:lpstr>
      <vt:lpstr>dec_TeamName</vt:lpstr>
      <vt:lpstr>dec_TeamNumber</vt:lpstr>
      <vt:lpstr>dec_ToolInputPrefix</vt:lpstr>
      <vt:lpstr>dec_ToolReset</vt:lpstr>
      <vt:lpstr>dec_ToolResetR0</vt:lpstr>
      <vt:lpstr>dec_ToolResetValues</vt:lpstr>
      <vt:lpstr>decGTMBrandIntegration</vt:lpstr>
      <vt:lpstr>decGTMCSGPostSales</vt:lpstr>
      <vt:lpstr>decGTMExternalSales</vt:lpstr>
      <vt:lpstr>decGTMLeadPass</vt:lpstr>
      <vt:lpstr>decGTMOrg62Timeline</vt:lpstr>
      <vt:lpstr>decITIntegrationLevel</vt:lpstr>
      <vt:lpstr>decITOfficePlan</vt:lpstr>
      <vt:lpstr>decITTimeline</vt:lpstr>
      <vt:lpstr>decPeopleHarmonizationLevel</vt:lpstr>
      <vt:lpstr>decPeopleNonKeyHarmonizationLevel</vt:lpstr>
      <vt:lpstr>decPeopleTimeline</vt:lpstr>
      <vt:lpstr>decProductStackFocus</vt:lpstr>
      <vt:lpstr>decProductTimeline</vt:lpstr>
      <vt:lpstr>decRound</vt:lpstr>
      <vt:lpstr>decSecurityBuildSiteInfrastructure</vt:lpstr>
      <vt:lpstr>decSecurityP0RiskMitigation</vt:lpstr>
      <vt:lpstr>decSecurityP1RiskMitigation</vt:lpstr>
      <vt:lpstr>decSecurityP2RiskMitigation</vt:lpstr>
      <vt:lpstr>decSecurityProductRestrictions</vt:lpstr>
      <vt:lpstr>decSecurityRiskMitigationHorizon</vt:lpstr>
      <vt:lpstr>decSecurityTimeline</vt:lpstr>
      <vt:lpstr>decTeamName</vt:lpstr>
      <vt:lpstr>decTeamNumber</vt:lpstr>
      <vt:lpstr>decV2MOMRisk1</vt:lpstr>
      <vt:lpstr>decV2MOMRisk2</vt:lpstr>
      <vt:lpstr>decV2MOMRisk3</vt:lpstr>
      <vt:lpstr>decV2MOMValue1Desc</vt:lpstr>
      <vt:lpstr>decV2MOMValue1Rank</vt:lpstr>
      <vt:lpstr>decV2MOMValue2Desc</vt:lpstr>
      <vt:lpstr>decV2MOMValue2Rank</vt:lpstr>
      <vt:lpstr>decV2MOMValue3Desc</vt:lpstr>
      <vt:lpstr>decV2MOMValue3Rank</vt:lpstr>
      <vt:lpstr>decV2MOMValue4Desc</vt:lpstr>
      <vt:lpstr>decV2MOMValue4Rank</vt:lpstr>
      <vt:lpstr>decV2MOMValue5Desc</vt:lpstr>
      <vt:lpstr>decV2MOMValue5Rank</vt:lpstr>
      <vt:lpstr>decV2MOMVision</vt:lpstr>
      <vt:lpstr>decWobbler1</vt:lpstr>
      <vt:lpstr>decWobbler10</vt:lpstr>
      <vt:lpstr>decWobbler11</vt:lpstr>
      <vt:lpstr>decWobbler12</vt:lpstr>
      <vt:lpstr>decWobbler13</vt:lpstr>
      <vt:lpstr>decWobbler14</vt:lpstr>
      <vt:lpstr>decWobbler15</vt:lpstr>
      <vt:lpstr>decWobbler2</vt:lpstr>
      <vt:lpstr>decWobbler3</vt:lpstr>
      <vt:lpstr>decWobbler4</vt:lpstr>
      <vt:lpstr>decWobbler5</vt:lpstr>
      <vt:lpstr>decWobbler6</vt:lpstr>
      <vt:lpstr>decWobbler7</vt:lpstr>
      <vt:lpstr>decWobbler8</vt:lpstr>
      <vt:lpstr>decWobbler9</vt:lpstr>
      <vt:lpstr>FacTeamCount</vt:lpstr>
      <vt:lpstr>fbHideRange</vt:lpstr>
      <vt:lpstr>fbNumOfTeams</vt:lpstr>
      <vt:lpstr>fbTSHideRange</vt:lpstr>
      <vt:lpstr>feedback_FeedbackFileName</vt:lpstr>
      <vt:lpstr>feedback_FeedbackSheetName</vt:lpstr>
      <vt:lpstr>feedback_TimeSeriesFeedbackSheetName</vt:lpstr>
      <vt:lpstr>finACVTotalY1</vt:lpstr>
      <vt:lpstr>finACVTotalY2</vt:lpstr>
      <vt:lpstr>finACVY1Q1</vt:lpstr>
      <vt:lpstr>finACVY1Q2</vt:lpstr>
      <vt:lpstr>finACVY1Q3</vt:lpstr>
      <vt:lpstr>finACVY1Q4</vt:lpstr>
      <vt:lpstr>finACVY2Q1</vt:lpstr>
      <vt:lpstr>finACVY2Q2</vt:lpstr>
      <vt:lpstr>finACVY2Q3</vt:lpstr>
      <vt:lpstr>finACVY2Q4</vt:lpstr>
      <vt:lpstr>finAnnualCOS</vt:lpstr>
      <vt:lpstr>finAnnualExternalSalesExp</vt:lpstr>
      <vt:lpstr>finAnnualFullREExp</vt:lpstr>
      <vt:lpstr>finAnnualGAExp</vt:lpstr>
      <vt:lpstr>finAnnualGAMigrationExp</vt:lpstr>
      <vt:lpstr>finAnnualGrossMargin</vt:lpstr>
      <vt:lpstr>finAnnualGrossProfit</vt:lpstr>
      <vt:lpstr>finAnnualHarmExp</vt:lpstr>
      <vt:lpstr>finAnnualIntegratedOpMargin</vt:lpstr>
      <vt:lpstr>finAnnualIntegratedOpProfit</vt:lpstr>
      <vt:lpstr>finAnnualITExp</vt:lpstr>
      <vt:lpstr>finAnnualMSExp</vt:lpstr>
      <vt:lpstr>finAnnualOpMargin</vt:lpstr>
      <vt:lpstr>finAnnualOpProfit</vt:lpstr>
      <vt:lpstr>finAnnualOrg62Exp</vt:lpstr>
      <vt:lpstr>finAnnualPackagingPricingExp</vt:lpstr>
      <vt:lpstr>finAnnualRDExp</vt:lpstr>
      <vt:lpstr>FinAnnualRev</vt:lpstr>
      <vt:lpstr>finAnnualRevWriteDownExp</vt:lpstr>
      <vt:lpstr>finAnnualStackExp</vt:lpstr>
      <vt:lpstr>finAnnualTrustExp</vt:lpstr>
      <vt:lpstr>finQ1BrandIntExp</vt:lpstr>
      <vt:lpstr>finQ1COS</vt:lpstr>
      <vt:lpstr>finQ1CSGExp</vt:lpstr>
      <vt:lpstr>finQ1ExternalSalesExp</vt:lpstr>
      <vt:lpstr>finQ1FullREExp</vt:lpstr>
      <vt:lpstr>finQ1GAExp</vt:lpstr>
      <vt:lpstr>finQ1GAMigrationExp</vt:lpstr>
      <vt:lpstr>finQ1HarmExp</vt:lpstr>
      <vt:lpstr>finQ1IntegrationBudget</vt:lpstr>
      <vt:lpstr>finQ1ITExp</vt:lpstr>
      <vt:lpstr>finQ1LeadPassExp</vt:lpstr>
      <vt:lpstr>finQ1MSExp</vt:lpstr>
      <vt:lpstr>finQ1Org62Exp</vt:lpstr>
      <vt:lpstr>finQ1PackagingPricingExp</vt:lpstr>
      <vt:lpstr>finQ1RDExp</vt:lpstr>
      <vt:lpstr>finQ1Rev</vt:lpstr>
      <vt:lpstr>finQ1RevWriteDownExp</vt:lpstr>
      <vt:lpstr>finQ1StackExp</vt:lpstr>
      <vt:lpstr>finQ1TrustExp</vt:lpstr>
      <vt:lpstr>finQ2BrandIntExp</vt:lpstr>
      <vt:lpstr>finQ2COS</vt:lpstr>
      <vt:lpstr>finQ2CSGExp</vt:lpstr>
      <vt:lpstr>finQ2ExternalSalesExp</vt:lpstr>
      <vt:lpstr>finQ2FullREExp</vt:lpstr>
      <vt:lpstr>finQ2GAExp</vt:lpstr>
      <vt:lpstr>finQ2GAMigrationExp</vt:lpstr>
      <vt:lpstr>finQ2HarmExp</vt:lpstr>
      <vt:lpstr>finQ2IntegrationBudget</vt:lpstr>
      <vt:lpstr>finQ2ITExp</vt:lpstr>
      <vt:lpstr>finQ2LeadPassExp</vt:lpstr>
      <vt:lpstr>finQ2MSExp</vt:lpstr>
      <vt:lpstr>finQ2Org62Exp</vt:lpstr>
      <vt:lpstr>finQ2PackagingPricingExp</vt:lpstr>
      <vt:lpstr>finQ2RDExp</vt:lpstr>
      <vt:lpstr>finQ2Rev</vt:lpstr>
      <vt:lpstr>finQ2RevWriteDownExp</vt:lpstr>
      <vt:lpstr>finQ2StackExp</vt:lpstr>
      <vt:lpstr>finQ2TrustExp</vt:lpstr>
      <vt:lpstr>finQ3BrandIntExp</vt:lpstr>
      <vt:lpstr>finQ3COS</vt:lpstr>
      <vt:lpstr>finQ3CSGExp</vt:lpstr>
      <vt:lpstr>finQ3ExternalSalesExp</vt:lpstr>
      <vt:lpstr>finQ3FullREExp</vt:lpstr>
      <vt:lpstr>finQ3GAExp</vt:lpstr>
      <vt:lpstr>finQ3GAMigrationExp</vt:lpstr>
      <vt:lpstr>finQ3HarmExp</vt:lpstr>
      <vt:lpstr>finQ3IntegrationBudget</vt:lpstr>
      <vt:lpstr>finQ3ITExp</vt:lpstr>
      <vt:lpstr>finQ3LeadPassExp</vt:lpstr>
      <vt:lpstr>finQ3MSExp</vt:lpstr>
      <vt:lpstr>finQ3Org62Exp</vt:lpstr>
      <vt:lpstr>finQ3PackagingPricingExp</vt:lpstr>
      <vt:lpstr>finQ3RDExp</vt:lpstr>
      <vt:lpstr>finQ3Rev</vt:lpstr>
      <vt:lpstr>finQ3RevWriteDownExp</vt:lpstr>
      <vt:lpstr>finQ3StackExp</vt:lpstr>
      <vt:lpstr>finQ3TrustExp</vt:lpstr>
      <vt:lpstr>finQ4BrandIntExp</vt:lpstr>
      <vt:lpstr>finQ4COS</vt:lpstr>
      <vt:lpstr>finQ4CSGExp</vt:lpstr>
      <vt:lpstr>finQ4ExternalSalesExp</vt:lpstr>
      <vt:lpstr>finQ4FullREExp</vt:lpstr>
      <vt:lpstr>finQ4GAExp</vt:lpstr>
      <vt:lpstr>finQ4GAMigrationExp</vt:lpstr>
      <vt:lpstr>finQ4HarmExp</vt:lpstr>
      <vt:lpstr>finQ4IntegrationBudget</vt:lpstr>
      <vt:lpstr>finQ4ITExp</vt:lpstr>
      <vt:lpstr>finQ4LeadPassExp</vt:lpstr>
      <vt:lpstr>finQ4MSExp</vt:lpstr>
      <vt:lpstr>finQ4Org62Exp</vt:lpstr>
      <vt:lpstr>finQ4PackagingPricingExp</vt:lpstr>
      <vt:lpstr>finQ4RDExp</vt:lpstr>
      <vt:lpstr>finQ4Rev</vt:lpstr>
      <vt:lpstr>finQ4RevWriteDownExp</vt:lpstr>
      <vt:lpstr>finQ4StackExp</vt:lpstr>
      <vt:lpstr>finQ4TrustExp</vt:lpstr>
      <vt:lpstr>finY1BrandIntExp</vt:lpstr>
      <vt:lpstr>finY1CSGExp</vt:lpstr>
      <vt:lpstr>finY1IntegrationBudget</vt:lpstr>
      <vt:lpstr>finY1LeadPassExp</vt:lpstr>
      <vt:lpstr>finY2AnnualBrandIntExp</vt:lpstr>
      <vt:lpstr>finY2AnnualCOS</vt:lpstr>
      <vt:lpstr>finY2AnnualCSGExp</vt:lpstr>
      <vt:lpstr>finY2AnnualExternalSalesExp</vt:lpstr>
      <vt:lpstr>finY2AnnualFullREExp</vt:lpstr>
      <vt:lpstr>finY2AnnualGAExp</vt:lpstr>
      <vt:lpstr>finY2AnnualGAMigrationExp</vt:lpstr>
      <vt:lpstr>finY2AnnualGrossMargin</vt:lpstr>
      <vt:lpstr>finY2AnnualGrossProfit</vt:lpstr>
      <vt:lpstr>finY2AnnualHarmExp</vt:lpstr>
      <vt:lpstr>finY2AnnualIntegratedOpMargin</vt:lpstr>
      <vt:lpstr>finY2AnnualIntegratedOpProfit</vt:lpstr>
      <vt:lpstr>finY2AnnualITExp</vt:lpstr>
      <vt:lpstr>finY2AnnualLeadPassExp</vt:lpstr>
      <vt:lpstr>finY2AnnualMSExp</vt:lpstr>
      <vt:lpstr>finY2AnnualOpMargin</vt:lpstr>
      <vt:lpstr>finY2AnnualOpProfit</vt:lpstr>
      <vt:lpstr>finY2AnnualOrg62Exp</vt:lpstr>
      <vt:lpstr>finY2AnnualPackagingPricingExp</vt:lpstr>
      <vt:lpstr>finY2AnnualRDExp</vt:lpstr>
      <vt:lpstr>FinY2AnnualRev</vt:lpstr>
      <vt:lpstr>finY2AnnualRevWriteDownExp</vt:lpstr>
      <vt:lpstr>finY2AnnualStackExp</vt:lpstr>
      <vt:lpstr>finY2AnnualTrustExp</vt:lpstr>
      <vt:lpstr>finY2IntegrationBudget</vt:lpstr>
      <vt:lpstr>finY2Q1BrandIntExp</vt:lpstr>
      <vt:lpstr>finY2Q1COS</vt:lpstr>
      <vt:lpstr>finY2Q1CSGExp</vt:lpstr>
      <vt:lpstr>finY2Q1ExternalSalesExp</vt:lpstr>
      <vt:lpstr>finY2Q1FullREExp</vt:lpstr>
      <vt:lpstr>finY2Q1GAExp</vt:lpstr>
      <vt:lpstr>finY2Q1GAMigrationExp</vt:lpstr>
      <vt:lpstr>finY2Q1HarmExp</vt:lpstr>
      <vt:lpstr>finY2Q1IntegrationBudget</vt:lpstr>
      <vt:lpstr>finY2Q1ITExp</vt:lpstr>
      <vt:lpstr>finY2Q1LeadPassExp</vt:lpstr>
      <vt:lpstr>finY2Q1MSExp</vt:lpstr>
      <vt:lpstr>finY2Q1Org62Exp</vt:lpstr>
      <vt:lpstr>finY2Q1PackagingPricingExp</vt:lpstr>
      <vt:lpstr>finY2Q1RDExp</vt:lpstr>
      <vt:lpstr>finY2Q1Rev</vt:lpstr>
      <vt:lpstr>finY2Q1RevWriteDownExp</vt:lpstr>
      <vt:lpstr>finY2Q1StackExp</vt:lpstr>
      <vt:lpstr>finY2Q1TrustExp</vt:lpstr>
      <vt:lpstr>finY2Q2BrandIntExp</vt:lpstr>
      <vt:lpstr>finY2Q2COS</vt:lpstr>
      <vt:lpstr>finY2Q2CSGExp</vt:lpstr>
      <vt:lpstr>finY2Q2ExternalSalesExp</vt:lpstr>
      <vt:lpstr>finY2Q2FullREExp</vt:lpstr>
      <vt:lpstr>finY2Q2GAExp</vt:lpstr>
      <vt:lpstr>finY2Q2GAMigrationExp</vt:lpstr>
      <vt:lpstr>finY2Q2HarmExp</vt:lpstr>
      <vt:lpstr>finY2Q2IntegrationBudget</vt:lpstr>
      <vt:lpstr>finY2Q2ITExp</vt:lpstr>
      <vt:lpstr>finY2Q2LeadPassExp</vt:lpstr>
      <vt:lpstr>finY2Q2MSExp</vt:lpstr>
      <vt:lpstr>finY2Q2Org62Exp</vt:lpstr>
      <vt:lpstr>finY2Q2PackagingPricingExp</vt:lpstr>
      <vt:lpstr>finY2Q2RDExp</vt:lpstr>
      <vt:lpstr>finY2Q2Rev</vt:lpstr>
      <vt:lpstr>finY2Q2RevWriteDownExp</vt:lpstr>
      <vt:lpstr>finY2Q2StackExp</vt:lpstr>
      <vt:lpstr>finY2Q2TrustExp</vt:lpstr>
      <vt:lpstr>finY2Q3BrandIntExp</vt:lpstr>
      <vt:lpstr>finY2Q3COS</vt:lpstr>
      <vt:lpstr>finY2Q3CSGExp</vt:lpstr>
      <vt:lpstr>finY2Q3ExternalSalesExp</vt:lpstr>
      <vt:lpstr>finY2Q3FullREExp</vt:lpstr>
      <vt:lpstr>finY2Q3GAExp</vt:lpstr>
      <vt:lpstr>finY2Q3GAMigrationExp</vt:lpstr>
      <vt:lpstr>finY2Q3HarmExp</vt:lpstr>
      <vt:lpstr>finY2Q3IntegrationBudget</vt:lpstr>
      <vt:lpstr>finY2Q3ITExp</vt:lpstr>
      <vt:lpstr>finY2Q3LeadPassExp</vt:lpstr>
      <vt:lpstr>finY2Q3MSExp</vt:lpstr>
      <vt:lpstr>finY2Q3Org62Exp</vt:lpstr>
      <vt:lpstr>finY2Q3PackagingPricingExp</vt:lpstr>
      <vt:lpstr>finY2Q3RDExp</vt:lpstr>
      <vt:lpstr>finY2Q3Rev</vt:lpstr>
      <vt:lpstr>finY2Q3RevWriteDownExp</vt:lpstr>
      <vt:lpstr>finY2Q3StackExp</vt:lpstr>
      <vt:lpstr>finY2Q3TrustExp</vt:lpstr>
      <vt:lpstr>finY2Q4BrandIntExp</vt:lpstr>
      <vt:lpstr>finY2Q4COS</vt:lpstr>
      <vt:lpstr>finY2Q4CSGExp</vt:lpstr>
      <vt:lpstr>finY2Q4ExternalSalesExp</vt:lpstr>
      <vt:lpstr>finY2Q4FullREExp</vt:lpstr>
      <vt:lpstr>finY2Q4GAExp</vt:lpstr>
      <vt:lpstr>finY2Q4GAMigrationExp</vt:lpstr>
      <vt:lpstr>finY2Q4HarmExp</vt:lpstr>
      <vt:lpstr>finY2Q4IntegrationBudget</vt:lpstr>
      <vt:lpstr>finY2Q4ITExp</vt:lpstr>
      <vt:lpstr>finY2Q4LeadPassExp</vt:lpstr>
      <vt:lpstr>finY2Q4MSExp</vt:lpstr>
      <vt:lpstr>finY2Q4Org62Exp</vt:lpstr>
      <vt:lpstr>finY2Q4PackagingPricingExp</vt:lpstr>
      <vt:lpstr>finY2Q4RDExp</vt:lpstr>
      <vt:lpstr>finY2Q4Rev</vt:lpstr>
      <vt:lpstr>finY2Q4RevWriteDownExp</vt:lpstr>
      <vt:lpstr>finY2Q4StackExp</vt:lpstr>
      <vt:lpstr>finY2Q4TrustExp</vt:lpstr>
      <vt:lpstr>finY5AnnualCOS</vt:lpstr>
      <vt:lpstr>finY5AnnualGAExp</vt:lpstr>
      <vt:lpstr>finY5AnnualGrossMargin</vt:lpstr>
      <vt:lpstr>finY5AnnualGrossProfit</vt:lpstr>
      <vt:lpstr>finY5AnnualMSExp</vt:lpstr>
      <vt:lpstr>finY5AnnualOpMargin</vt:lpstr>
      <vt:lpstr>finY5AnnualOpProfit</vt:lpstr>
      <vt:lpstr>finY5AnnualRDExp</vt:lpstr>
      <vt:lpstr>FinY5AnnualRev</vt:lpstr>
      <vt:lpstr>finY5Q1COS</vt:lpstr>
      <vt:lpstr>finY5Q1GAExp</vt:lpstr>
      <vt:lpstr>finY5Q1MSExp</vt:lpstr>
      <vt:lpstr>finY5Q1RDExp</vt:lpstr>
      <vt:lpstr>finY5Q1Rev</vt:lpstr>
      <vt:lpstr>finY5Q2COS</vt:lpstr>
      <vt:lpstr>finY5Q2GAExp</vt:lpstr>
      <vt:lpstr>finY5Q2MSExp</vt:lpstr>
      <vt:lpstr>finY5Q2RDExp</vt:lpstr>
      <vt:lpstr>finY5Q2Rev</vt:lpstr>
      <vt:lpstr>finY5Q3COS</vt:lpstr>
      <vt:lpstr>finY5Q3GAExp</vt:lpstr>
      <vt:lpstr>finY5Q3MSExp</vt:lpstr>
      <vt:lpstr>finY5Q3RDExp</vt:lpstr>
      <vt:lpstr>finY5Q3Rev</vt:lpstr>
      <vt:lpstr>finY5Q4COS</vt:lpstr>
      <vt:lpstr>finY5Q4GAExp</vt:lpstr>
      <vt:lpstr>finY5Q4MSExp</vt:lpstr>
      <vt:lpstr>finY5Q4RDExp</vt:lpstr>
      <vt:lpstr>finY5Q4Rev</vt:lpstr>
      <vt:lpstr>frmNavControlsButtonLabels</vt:lpstr>
      <vt:lpstr>glossary_Language</vt:lpstr>
      <vt:lpstr>tlScenarios!HideRows</vt:lpstr>
      <vt:lpstr>tlTimeline!HideRows</vt:lpstr>
      <vt:lpstr>HideRows</vt:lpstr>
      <vt:lpstr>hood_OnHoodCloseGoTo</vt:lpstr>
      <vt:lpstr>hood_ToolPrefix</vt:lpstr>
      <vt:lpstr>icon_macro0</vt:lpstr>
      <vt:lpstr>icon_macro1</vt:lpstr>
      <vt:lpstr>icon_macro10</vt:lpstr>
      <vt:lpstr>icon_macro11</vt:lpstr>
      <vt:lpstr>icon_macro12</vt:lpstr>
      <vt:lpstr>icon_macro13</vt:lpstr>
      <vt:lpstr>icon_macro14</vt:lpstr>
      <vt:lpstr>icon_macro15</vt:lpstr>
      <vt:lpstr>icon_macro16</vt:lpstr>
      <vt:lpstr>icon_macro17</vt:lpstr>
      <vt:lpstr>icon_macro18</vt:lpstr>
      <vt:lpstr>icon_macro19</vt:lpstr>
      <vt:lpstr>icon_macro2</vt:lpstr>
      <vt:lpstr>icon_macro20</vt:lpstr>
      <vt:lpstr>icon_macro21</vt:lpstr>
      <vt:lpstr>icon_macro22</vt:lpstr>
      <vt:lpstr>icon_macro23</vt:lpstr>
      <vt:lpstr>icon_macro24</vt:lpstr>
      <vt:lpstr>icon_macro25</vt:lpstr>
      <vt:lpstr>icon_macro26</vt:lpstr>
      <vt:lpstr>icon_macro27</vt:lpstr>
      <vt:lpstr>icon_macro28</vt:lpstr>
      <vt:lpstr>icon_macro29</vt:lpstr>
      <vt:lpstr>icon_macro3</vt:lpstr>
      <vt:lpstr>icon_macro30</vt:lpstr>
      <vt:lpstr>icon_macro31</vt:lpstr>
      <vt:lpstr>icon_macro32</vt:lpstr>
      <vt:lpstr>icon_macro33</vt:lpstr>
      <vt:lpstr>icon_macro34</vt:lpstr>
      <vt:lpstr>icon_macro35</vt:lpstr>
      <vt:lpstr>icon_macro36</vt:lpstr>
      <vt:lpstr>icon_macro37</vt:lpstr>
      <vt:lpstr>icon_macro38</vt:lpstr>
      <vt:lpstr>icon_macro39</vt:lpstr>
      <vt:lpstr>icon_macro4</vt:lpstr>
      <vt:lpstr>icon_macro40</vt:lpstr>
      <vt:lpstr>icon_macro41</vt:lpstr>
      <vt:lpstr>icon_macro42</vt:lpstr>
      <vt:lpstr>icon_macro43</vt:lpstr>
      <vt:lpstr>icon_macro44</vt:lpstr>
      <vt:lpstr>icon_macro45</vt:lpstr>
      <vt:lpstr>icon_macro46</vt:lpstr>
      <vt:lpstr>icon_macro47</vt:lpstr>
      <vt:lpstr>icon_macro48</vt:lpstr>
      <vt:lpstr>icon_macro49</vt:lpstr>
      <vt:lpstr>icon_macro5</vt:lpstr>
      <vt:lpstr>icon_macro50</vt:lpstr>
      <vt:lpstr>icon_macro51</vt:lpstr>
      <vt:lpstr>icon_macro52</vt:lpstr>
      <vt:lpstr>icon_macro53</vt:lpstr>
      <vt:lpstr>icon_macro54</vt:lpstr>
      <vt:lpstr>icon_macro55</vt:lpstr>
      <vt:lpstr>icon_macro56</vt:lpstr>
      <vt:lpstr>icon_macro57</vt:lpstr>
      <vt:lpstr>icon_macro58</vt:lpstr>
      <vt:lpstr>icon_macro59</vt:lpstr>
      <vt:lpstr>icon_macro6</vt:lpstr>
      <vt:lpstr>icon_macro60</vt:lpstr>
      <vt:lpstr>icon_macro61</vt:lpstr>
      <vt:lpstr>icon_macro62</vt:lpstr>
      <vt:lpstr>icon_macro63</vt:lpstr>
      <vt:lpstr>icon_macro64</vt:lpstr>
      <vt:lpstr>icon_macro65</vt:lpstr>
      <vt:lpstr>icon_macro67</vt:lpstr>
      <vt:lpstr>icon_macro68</vt:lpstr>
      <vt:lpstr>icon_macro69</vt:lpstr>
      <vt:lpstr>icon_macro7</vt:lpstr>
      <vt:lpstr>icon_macro70</vt:lpstr>
      <vt:lpstr>icon_macro71</vt:lpstr>
      <vt:lpstr>icon_macro72</vt:lpstr>
      <vt:lpstr>icon_macro8</vt:lpstr>
      <vt:lpstr>icon_macro9</vt:lpstr>
      <vt:lpstr>icon_script1</vt:lpstr>
      <vt:lpstr>icon_script10</vt:lpstr>
      <vt:lpstr>icon_script11</vt:lpstr>
      <vt:lpstr>icon_script12</vt:lpstr>
      <vt:lpstr>icon_script13</vt:lpstr>
      <vt:lpstr>icon_script14</vt:lpstr>
      <vt:lpstr>icon_script15</vt:lpstr>
      <vt:lpstr>icon_script16</vt:lpstr>
      <vt:lpstr>icon_script17</vt:lpstr>
      <vt:lpstr>icon_script18</vt:lpstr>
      <vt:lpstr>icon_script19</vt:lpstr>
      <vt:lpstr>icon_script2</vt:lpstr>
      <vt:lpstr>icon_script20</vt:lpstr>
      <vt:lpstr>icon_script21</vt:lpstr>
      <vt:lpstr>icon_script22</vt:lpstr>
      <vt:lpstr>icon_script23</vt:lpstr>
      <vt:lpstr>icon_script24</vt:lpstr>
      <vt:lpstr>icon_script25</vt:lpstr>
      <vt:lpstr>icon_script26</vt:lpstr>
      <vt:lpstr>icon_script27</vt:lpstr>
      <vt:lpstr>icon_script28</vt:lpstr>
      <vt:lpstr>icon_script29</vt:lpstr>
      <vt:lpstr>icon_script3</vt:lpstr>
      <vt:lpstr>icon_script30</vt:lpstr>
      <vt:lpstr>icon_script31</vt:lpstr>
      <vt:lpstr>icon_script32</vt:lpstr>
      <vt:lpstr>icon_script33</vt:lpstr>
      <vt:lpstr>icon_script34</vt:lpstr>
      <vt:lpstr>icon_script35</vt:lpstr>
      <vt:lpstr>icon_script36</vt:lpstr>
      <vt:lpstr>icon_script37</vt:lpstr>
      <vt:lpstr>icon_script38</vt:lpstr>
      <vt:lpstr>icon_script39</vt:lpstr>
      <vt:lpstr>icon_script4</vt:lpstr>
      <vt:lpstr>icon_script40</vt:lpstr>
      <vt:lpstr>icon_script41</vt:lpstr>
      <vt:lpstr>icon_script42</vt:lpstr>
      <vt:lpstr>icon_script43</vt:lpstr>
      <vt:lpstr>icon_script44</vt:lpstr>
      <vt:lpstr>icon_script45</vt:lpstr>
      <vt:lpstr>icon_script46</vt:lpstr>
      <vt:lpstr>icon_script47</vt:lpstr>
      <vt:lpstr>icon_script48</vt:lpstr>
      <vt:lpstr>icon_script49</vt:lpstr>
      <vt:lpstr>icon_script5</vt:lpstr>
      <vt:lpstr>icon_script50</vt:lpstr>
      <vt:lpstr>icon_script51</vt:lpstr>
      <vt:lpstr>icon_script52</vt:lpstr>
      <vt:lpstr>icon_script53</vt:lpstr>
      <vt:lpstr>icon_script54</vt:lpstr>
      <vt:lpstr>icon_script55</vt:lpstr>
      <vt:lpstr>icon_script56</vt:lpstr>
      <vt:lpstr>icon_script57</vt:lpstr>
      <vt:lpstr>icon_script58</vt:lpstr>
      <vt:lpstr>icon_script59</vt:lpstr>
      <vt:lpstr>icon_script6</vt:lpstr>
      <vt:lpstr>icon_script60</vt:lpstr>
      <vt:lpstr>icon_script61</vt:lpstr>
      <vt:lpstr>icon_script62</vt:lpstr>
      <vt:lpstr>icon_script63</vt:lpstr>
      <vt:lpstr>icon_script64</vt:lpstr>
      <vt:lpstr>icon_script65</vt:lpstr>
      <vt:lpstr>icon_script66</vt:lpstr>
      <vt:lpstr>icon_script67</vt:lpstr>
      <vt:lpstr>icon_script68</vt:lpstr>
      <vt:lpstr>icon_script69</vt:lpstr>
      <vt:lpstr>icon_script7</vt:lpstr>
      <vt:lpstr>icon_script70</vt:lpstr>
      <vt:lpstr>icon_script71</vt:lpstr>
      <vt:lpstr>icon_script72</vt:lpstr>
      <vt:lpstr>icon_script8</vt:lpstr>
      <vt:lpstr>icon_script9</vt:lpstr>
      <vt:lpstr>icon1</vt:lpstr>
      <vt:lpstr>icon1_light</vt:lpstr>
      <vt:lpstr>icon10</vt:lpstr>
      <vt:lpstr>icon10_light</vt:lpstr>
      <vt:lpstr>icon11</vt:lpstr>
      <vt:lpstr>icon11_light</vt:lpstr>
      <vt:lpstr>icon12</vt:lpstr>
      <vt:lpstr>icon12_light</vt:lpstr>
      <vt:lpstr>icon13</vt:lpstr>
      <vt:lpstr>icon13_light</vt:lpstr>
      <vt:lpstr>icon14</vt:lpstr>
      <vt:lpstr>icon14_light</vt:lpstr>
      <vt:lpstr>icon15</vt:lpstr>
      <vt:lpstr>icon15_light</vt:lpstr>
      <vt:lpstr>icon16</vt:lpstr>
      <vt:lpstr>icon16_light</vt:lpstr>
      <vt:lpstr>icon17</vt:lpstr>
      <vt:lpstr>icon17_light</vt:lpstr>
      <vt:lpstr>icon18</vt:lpstr>
      <vt:lpstr>icon18_light</vt:lpstr>
      <vt:lpstr>icon19</vt:lpstr>
      <vt:lpstr>icon19_light</vt:lpstr>
      <vt:lpstr>icon2</vt:lpstr>
      <vt:lpstr>icon2_light</vt:lpstr>
      <vt:lpstr>icon20</vt:lpstr>
      <vt:lpstr>icon20_light</vt:lpstr>
      <vt:lpstr>icon21</vt:lpstr>
      <vt:lpstr>icon21_light</vt:lpstr>
      <vt:lpstr>icon22</vt:lpstr>
      <vt:lpstr>icon22_light</vt:lpstr>
      <vt:lpstr>icon23</vt:lpstr>
      <vt:lpstr>icon23_light</vt:lpstr>
      <vt:lpstr>icon24</vt:lpstr>
      <vt:lpstr>icon24_light</vt:lpstr>
      <vt:lpstr>icon25</vt:lpstr>
      <vt:lpstr>icon25_light</vt:lpstr>
      <vt:lpstr>icon26</vt:lpstr>
      <vt:lpstr>icon26_light</vt:lpstr>
      <vt:lpstr>icon27</vt:lpstr>
      <vt:lpstr>icon27_light</vt:lpstr>
      <vt:lpstr>icon28</vt:lpstr>
      <vt:lpstr>icon28_light</vt:lpstr>
      <vt:lpstr>icon29</vt:lpstr>
      <vt:lpstr>icon29_light</vt:lpstr>
      <vt:lpstr>icon3</vt:lpstr>
      <vt:lpstr>icon3_light</vt:lpstr>
      <vt:lpstr>icon30</vt:lpstr>
      <vt:lpstr>icon30_light</vt:lpstr>
      <vt:lpstr>icon31</vt:lpstr>
      <vt:lpstr>icon31_light</vt:lpstr>
      <vt:lpstr>icon32</vt:lpstr>
      <vt:lpstr>icon32_light</vt:lpstr>
      <vt:lpstr>icon33</vt:lpstr>
      <vt:lpstr>icon33_light</vt:lpstr>
      <vt:lpstr>icon34</vt:lpstr>
      <vt:lpstr>icon34_light</vt:lpstr>
      <vt:lpstr>icon35</vt:lpstr>
      <vt:lpstr>icon35_light</vt:lpstr>
      <vt:lpstr>icon36</vt:lpstr>
      <vt:lpstr>icon36_light</vt:lpstr>
      <vt:lpstr>icon37</vt:lpstr>
      <vt:lpstr>icon37_light</vt:lpstr>
      <vt:lpstr>icon38</vt:lpstr>
      <vt:lpstr>icon38_light</vt:lpstr>
      <vt:lpstr>icon39</vt:lpstr>
      <vt:lpstr>icon39_light</vt:lpstr>
      <vt:lpstr>icon4</vt:lpstr>
      <vt:lpstr>icon4_light</vt:lpstr>
      <vt:lpstr>icon40</vt:lpstr>
      <vt:lpstr>icon40_light</vt:lpstr>
      <vt:lpstr>icon41</vt:lpstr>
      <vt:lpstr>icon41_light</vt:lpstr>
      <vt:lpstr>icon42</vt:lpstr>
      <vt:lpstr>icon42_light</vt:lpstr>
      <vt:lpstr>icon43</vt:lpstr>
      <vt:lpstr>icon43_light</vt:lpstr>
      <vt:lpstr>icon44</vt:lpstr>
      <vt:lpstr>icon44_light</vt:lpstr>
      <vt:lpstr>icon45</vt:lpstr>
      <vt:lpstr>icon45_light</vt:lpstr>
      <vt:lpstr>icon46</vt:lpstr>
      <vt:lpstr>icon46_light</vt:lpstr>
      <vt:lpstr>icon47</vt:lpstr>
      <vt:lpstr>icon47_light</vt:lpstr>
      <vt:lpstr>icon48</vt:lpstr>
      <vt:lpstr>icon48_light</vt:lpstr>
      <vt:lpstr>icon49</vt:lpstr>
      <vt:lpstr>icon49_light</vt:lpstr>
      <vt:lpstr>icon5</vt:lpstr>
      <vt:lpstr>icon5_light</vt:lpstr>
      <vt:lpstr>icon50</vt:lpstr>
      <vt:lpstr>icon50_light</vt:lpstr>
      <vt:lpstr>icon51</vt:lpstr>
      <vt:lpstr>icon51_light</vt:lpstr>
      <vt:lpstr>icon52</vt:lpstr>
      <vt:lpstr>icon52_light</vt:lpstr>
      <vt:lpstr>icon53</vt:lpstr>
      <vt:lpstr>icon53_light</vt:lpstr>
      <vt:lpstr>icon54</vt:lpstr>
      <vt:lpstr>icon54_light</vt:lpstr>
      <vt:lpstr>icon55</vt:lpstr>
      <vt:lpstr>icon55_light</vt:lpstr>
      <vt:lpstr>icon56</vt:lpstr>
      <vt:lpstr>icon56_light</vt:lpstr>
      <vt:lpstr>icon57</vt:lpstr>
      <vt:lpstr>icon57_light</vt:lpstr>
      <vt:lpstr>icon58</vt:lpstr>
      <vt:lpstr>icon58_light</vt:lpstr>
      <vt:lpstr>icon59</vt:lpstr>
      <vt:lpstr>icon59_light</vt:lpstr>
      <vt:lpstr>icon6</vt:lpstr>
      <vt:lpstr>icon6_light</vt:lpstr>
      <vt:lpstr>icon60</vt:lpstr>
      <vt:lpstr>icon60_light</vt:lpstr>
      <vt:lpstr>icon61</vt:lpstr>
      <vt:lpstr>icon61_light</vt:lpstr>
      <vt:lpstr>icon62</vt:lpstr>
      <vt:lpstr>icon62_light</vt:lpstr>
      <vt:lpstr>icon63</vt:lpstr>
      <vt:lpstr>icon63_light</vt:lpstr>
      <vt:lpstr>icon64</vt:lpstr>
      <vt:lpstr>icon64_light</vt:lpstr>
      <vt:lpstr>icon65</vt:lpstr>
      <vt:lpstr>icon65_light</vt:lpstr>
      <vt:lpstr>icon66</vt:lpstr>
      <vt:lpstr>icon66_light</vt:lpstr>
      <vt:lpstr>icon67</vt:lpstr>
      <vt:lpstr>icon67_light</vt:lpstr>
      <vt:lpstr>icon68</vt:lpstr>
      <vt:lpstr>icon68_light</vt:lpstr>
      <vt:lpstr>icon69</vt:lpstr>
      <vt:lpstr>icon69_light</vt:lpstr>
      <vt:lpstr>icon7</vt:lpstr>
      <vt:lpstr>icon7_light</vt:lpstr>
      <vt:lpstr>icon70</vt:lpstr>
      <vt:lpstr>icon70_light</vt:lpstr>
      <vt:lpstr>icon71</vt:lpstr>
      <vt:lpstr>icon71_light</vt:lpstr>
      <vt:lpstr>icon72</vt:lpstr>
      <vt:lpstr>icon72_light</vt:lpstr>
      <vt:lpstr>icon8</vt:lpstr>
      <vt:lpstr>icon8_light</vt:lpstr>
      <vt:lpstr>icon9</vt:lpstr>
      <vt:lpstr>icon9_light</vt:lpstr>
      <vt:lpstr>InfoButtonColor</vt:lpstr>
      <vt:lpstr>InfoButtonNum</vt:lpstr>
      <vt:lpstr>InfoButtonSht</vt:lpstr>
      <vt:lpstr>InfoButtonStatus</vt:lpstr>
      <vt:lpstr>InfoButtonText</vt:lpstr>
      <vt:lpstr>InfoButtonTitle</vt:lpstr>
      <vt:lpstr>InfoButtonToggleHide</vt:lpstr>
      <vt:lpstr>InfoButtonToggleLabel</vt:lpstr>
      <vt:lpstr>InfoButtonToggleShow</vt:lpstr>
      <vt:lpstr>Insert_your_response_here.</vt:lpstr>
      <vt:lpstr>label1_text</vt:lpstr>
      <vt:lpstr>label10_text</vt:lpstr>
      <vt:lpstr>label11_text</vt:lpstr>
      <vt:lpstr>label12_text</vt:lpstr>
      <vt:lpstr>label13_text</vt:lpstr>
      <vt:lpstr>label14_text</vt:lpstr>
      <vt:lpstr>label15_text</vt:lpstr>
      <vt:lpstr>label16_text</vt:lpstr>
      <vt:lpstr>label17_text</vt:lpstr>
      <vt:lpstr>label18_text</vt:lpstr>
      <vt:lpstr>label19_text</vt:lpstr>
      <vt:lpstr>label2_text</vt:lpstr>
      <vt:lpstr>label20_text</vt:lpstr>
      <vt:lpstr>label21_text</vt:lpstr>
      <vt:lpstr>label22_text</vt:lpstr>
      <vt:lpstr>label23_text</vt:lpstr>
      <vt:lpstr>label24_text</vt:lpstr>
      <vt:lpstr>label25_text</vt:lpstr>
      <vt:lpstr>label26_text</vt:lpstr>
      <vt:lpstr>label27_text</vt:lpstr>
      <vt:lpstr>label28_text</vt:lpstr>
      <vt:lpstr>label29_text</vt:lpstr>
      <vt:lpstr>label3_text</vt:lpstr>
      <vt:lpstr>label30_text</vt:lpstr>
      <vt:lpstr>label31_text</vt:lpstr>
      <vt:lpstr>label32_text</vt:lpstr>
      <vt:lpstr>label33_text</vt:lpstr>
      <vt:lpstr>label34_text</vt:lpstr>
      <vt:lpstr>label35_text</vt:lpstr>
      <vt:lpstr>label36_text</vt:lpstr>
      <vt:lpstr>label37_text</vt:lpstr>
      <vt:lpstr>label38_text</vt:lpstr>
      <vt:lpstr>label39_text</vt:lpstr>
      <vt:lpstr>label4_text</vt:lpstr>
      <vt:lpstr>label40_text</vt:lpstr>
      <vt:lpstr>label41_text</vt:lpstr>
      <vt:lpstr>label42_text</vt:lpstr>
      <vt:lpstr>label43_text</vt:lpstr>
      <vt:lpstr>label44_text</vt:lpstr>
      <vt:lpstr>label45_text</vt:lpstr>
      <vt:lpstr>label46_text</vt:lpstr>
      <vt:lpstr>label47_text</vt:lpstr>
      <vt:lpstr>label48_text</vt:lpstr>
      <vt:lpstr>label49_text</vt:lpstr>
      <vt:lpstr>label5_text</vt:lpstr>
      <vt:lpstr>label50_text</vt:lpstr>
      <vt:lpstr>label51_text</vt:lpstr>
      <vt:lpstr>label52_text</vt:lpstr>
      <vt:lpstr>label53_text</vt:lpstr>
      <vt:lpstr>label54_text</vt:lpstr>
      <vt:lpstr>label55_text</vt:lpstr>
      <vt:lpstr>label56_text</vt:lpstr>
      <vt:lpstr>label57_text</vt:lpstr>
      <vt:lpstr>label58_text</vt:lpstr>
      <vt:lpstr>label59_text</vt:lpstr>
      <vt:lpstr>label6_text</vt:lpstr>
      <vt:lpstr>label60_text</vt:lpstr>
      <vt:lpstr>label61_text</vt:lpstr>
      <vt:lpstr>label62_text</vt:lpstr>
      <vt:lpstr>label63_text</vt:lpstr>
      <vt:lpstr>label64_text</vt:lpstr>
      <vt:lpstr>label65_text</vt:lpstr>
      <vt:lpstr>label66_text</vt:lpstr>
      <vt:lpstr>label67_text</vt:lpstr>
      <vt:lpstr>label68_text</vt:lpstr>
      <vt:lpstr>label69_text</vt:lpstr>
      <vt:lpstr>label7_text</vt:lpstr>
      <vt:lpstr>label70_text</vt:lpstr>
      <vt:lpstr>label71_text</vt:lpstr>
      <vt:lpstr>label72_text</vt:lpstr>
      <vt:lpstr>label8_text</vt:lpstr>
      <vt:lpstr>label9_text</vt:lpstr>
      <vt:lpstr>League_CurrentAvgSharePrice</vt:lpstr>
      <vt:lpstr>League_CurrentSharePriceSpread</vt:lpstr>
      <vt:lpstr>League_CurrentTightening</vt:lpstr>
      <vt:lpstr>League_DefaultTightening</vt:lpstr>
      <vt:lpstr>League_Rank</vt:lpstr>
      <vt:lpstr>League_Round</vt:lpstr>
      <vt:lpstr>League_SharePrice</vt:lpstr>
      <vt:lpstr>League_Teams</vt:lpstr>
      <vt:lpstr>League_TieBreak</vt:lpstr>
      <vt:lpstr>League_TieBreaker</vt:lpstr>
      <vt:lpstr>League_TotalScore</vt:lpstr>
      <vt:lpstr>LeagueDriver1</vt:lpstr>
      <vt:lpstr>LeagueDriver1Weighted</vt:lpstr>
      <vt:lpstr>LeagueDriver2</vt:lpstr>
      <vt:lpstr>LeagueDriver2Weighted</vt:lpstr>
      <vt:lpstr>LeagueDriver3</vt:lpstr>
      <vt:lpstr>LeagueDriver3Weighted</vt:lpstr>
      <vt:lpstr>LeagueDriver4</vt:lpstr>
      <vt:lpstr>LeagueDriver4Weighted</vt:lpstr>
      <vt:lpstr>LeagueDriver5</vt:lpstr>
      <vt:lpstr>LeagueDriver5Weighted</vt:lpstr>
      <vt:lpstr>LeagueRanks</vt:lpstr>
      <vt:lpstr>LeagueRankScores</vt:lpstr>
      <vt:lpstr>LeagueTieBreakers</vt:lpstr>
      <vt:lpstr>ModuleLockCells01Lock</vt:lpstr>
      <vt:lpstr>ModuleLockCells01LockColor</vt:lpstr>
      <vt:lpstr>ModuleLockCells01LockCount</vt:lpstr>
      <vt:lpstr>ModuleUnLockCells01Lock</vt:lpstr>
      <vt:lpstr>ModuleUnLockCells01LockColor</vt:lpstr>
      <vt:lpstr>ModuleUnLockCells01LockCount</vt:lpstr>
      <vt:lpstr>ModuleUnLockCells01UnLock</vt:lpstr>
      <vt:lpstr>ModuleUnLockCells01UnLockColor</vt:lpstr>
      <vt:lpstr>ModuleUnLockCells01UnLockCount</vt:lpstr>
      <vt:lpstr>Move_to_Cloud_Office</vt:lpstr>
      <vt:lpstr>nmCOGS</vt:lpstr>
      <vt:lpstr>nmForecast</vt:lpstr>
      <vt:lpstr>nmGrossMargin</vt:lpstr>
      <vt:lpstr>nmGrossProfit</vt:lpstr>
      <vt:lpstr>nmInitiatives</vt:lpstr>
      <vt:lpstr>nmMarketing</vt:lpstr>
      <vt:lpstr>nmMillion</vt:lpstr>
      <vt:lpstr>nmPrice</vt:lpstr>
      <vt:lpstr>nmProd1</vt:lpstr>
      <vt:lpstr>nmProd1Seg1</vt:lpstr>
      <vt:lpstr>nmProd1Seg2</vt:lpstr>
      <vt:lpstr>nmProd1Seg3</vt:lpstr>
      <vt:lpstr>nmProgramSubtitle</vt:lpstr>
      <vt:lpstr>nmProgramTitle</vt:lpstr>
      <vt:lpstr>nmRevenue</vt:lpstr>
      <vt:lpstr>nmRound</vt:lpstr>
      <vt:lpstr>nmTeamName</vt:lpstr>
      <vt:lpstr>nmTeamNumber</vt:lpstr>
      <vt:lpstr>obaKeyHarmonizationLeft</vt:lpstr>
      <vt:lpstr>obal_End</vt:lpstr>
      <vt:lpstr>obal_Paste</vt:lpstr>
      <vt:lpstr>obal_ResetR0</vt:lpstr>
      <vt:lpstr>obalACVTotalY1</vt:lpstr>
      <vt:lpstr>obalACVTotalY2</vt:lpstr>
      <vt:lpstr>obalACVY1Q1</vt:lpstr>
      <vt:lpstr>obalACVY1Q2</vt:lpstr>
      <vt:lpstr>obalACVY1Q3</vt:lpstr>
      <vt:lpstr>obalACVY1Q4</vt:lpstr>
      <vt:lpstr>obalACVY2Q1</vt:lpstr>
      <vt:lpstr>obalACVY2Q2</vt:lpstr>
      <vt:lpstr>obalACVY2Q3</vt:lpstr>
      <vt:lpstr>obalACVY2Q4</vt:lpstr>
      <vt:lpstr>obalAnnualCOS</vt:lpstr>
      <vt:lpstr>obalAnnualExternalSalesExp</vt:lpstr>
      <vt:lpstr>obalAnnualFullREExp</vt:lpstr>
      <vt:lpstr>obalAnnualGAExp</vt:lpstr>
      <vt:lpstr>obalAnnualGAMigrationExp</vt:lpstr>
      <vt:lpstr>obalAnnualGrossMargin</vt:lpstr>
      <vt:lpstr>obalAnnualGrossProfit</vt:lpstr>
      <vt:lpstr>obalAnnualHarmExp</vt:lpstr>
      <vt:lpstr>obalAnnualIntegratedOpMargin</vt:lpstr>
      <vt:lpstr>obalAnnualIntegratedOpProfit</vt:lpstr>
      <vt:lpstr>obalAnnualITExp</vt:lpstr>
      <vt:lpstr>obalAnnualMSExp</vt:lpstr>
      <vt:lpstr>obalAnnualOpMargin</vt:lpstr>
      <vt:lpstr>obalAnnualOpProfit</vt:lpstr>
      <vt:lpstr>obalAnnualOrg62Exp</vt:lpstr>
      <vt:lpstr>obalAnnualPackagingPricingExp</vt:lpstr>
      <vt:lpstr>obalAnnualRDExp</vt:lpstr>
      <vt:lpstr>obalAnnualRev</vt:lpstr>
      <vt:lpstr>obalAnnualRevWriteDownExp</vt:lpstr>
      <vt:lpstr>obalAnnualStackExp</vt:lpstr>
      <vt:lpstr>obalAnnualTrustExp</vt:lpstr>
      <vt:lpstr>obalESAT</vt:lpstr>
      <vt:lpstr>obalExecutionVelocity</vt:lpstr>
      <vt:lpstr>obalFTEs</vt:lpstr>
      <vt:lpstr>obalGAPerc</vt:lpstr>
      <vt:lpstr>obalGTMCSGPostSales</vt:lpstr>
      <vt:lpstr>obalGTMExternalSales</vt:lpstr>
      <vt:lpstr>obalGTMOrg62Timeline</vt:lpstr>
      <vt:lpstr>obalGTMPackagingIntegration</vt:lpstr>
      <vt:lpstr>obalHarmonizationLeft</vt:lpstr>
      <vt:lpstr>obalIntegrationBudget</vt:lpstr>
      <vt:lpstr>obalIntegrationBudgetY2</vt:lpstr>
      <vt:lpstr>obalITCostLeft</vt:lpstr>
      <vt:lpstr>obalITIntegrationLevel</vt:lpstr>
      <vt:lpstr>obalITLeft</vt:lpstr>
      <vt:lpstr>obalITOfficePlan</vt:lpstr>
      <vt:lpstr>obalKeyHarmonizationLeft</vt:lpstr>
      <vt:lpstr>obalMSPerc</vt:lpstr>
      <vt:lpstr>obalNonKeyHarmonizationLeft</vt:lpstr>
      <vt:lpstr>obalNPS</vt:lpstr>
      <vt:lpstr>obalOrg62CostLeft</vt:lpstr>
      <vt:lpstr>obalPeopleHarmonizationLevel</vt:lpstr>
      <vt:lpstr>obalPeopleTimeline</vt:lpstr>
      <vt:lpstr>obalQ1BrandIntExp</vt:lpstr>
      <vt:lpstr>obalQ1COS</vt:lpstr>
      <vt:lpstr>obalQ1CSGExp</vt:lpstr>
      <vt:lpstr>obalQ1ExternalSalesExp</vt:lpstr>
      <vt:lpstr>obalQ1FullREExp</vt:lpstr>
      <vt:lpstr>obalQ1GAExp</vt:lpstr>
      <vt:lpstr>obalQ1GAMigrationExp</vt:lpstr>
      <vt:lpstr>obalQ1HarmExp</vt:lpstr>
      <vt:lpstr>obalQ1ITExp</vt:lpstr>
      <vt:lpstr>obalQ1LeadPassExp</vt:lpstr>
      <vt:lpstr>obalQ1MSExp</vt:lpstr>
      <vt:lpstr>obalQ1Org62Exp</vt:lpstr>
      <vt:lpstr>obalQ1PackagingPricingExp</vt:lpstr>
      <vt:lpstr>obalQ1RDExp</vt:lpstr>
      <vt:lpstr>obalQ1Rev</vt:lpstr>
      <vt:lpstr>obalQ1RevPerc</vt:lpstr>
      <vt:lpstr>obalQ1RevWriteDownExp</vt:lpstr>
      <vt:lpstr>obalQ1StackExp</vt:lpstr>
      <vt:lpstr>obalQ1TrustExp</vt:lpstr>
      <vt:lpstr>obalQ2BrandIntExp</vt:lpstr>
      <vt:lpstr>obalQ2COS</vt:lpstr>
      <vt:lpstr>obalQ2CSGExp</vt:lpstr>
      <vt:lpstr>obalQ2ExternalSalesExp</vt:lpstr>
      <vt:lpstr>obalQ2FullREExp</vt:lpstr>
      <vt:lpstr>obalQ2GAExp</vt:lpstr>
      <vt:lpstr>obalQ2GAMigrationExp</vt:lpstr>
      <vt:lpstr>obalQ2HarmExp</vt:lpstr>
      <vt:lpstr>obalQ2ITExp</vt:lpstr>
      <vt:lpstr>obalQ2LeadPassExp</vt:lpstr>
      <vt:lpstr>obalQ2MSExp</vt:lpstr>
      <vt:lpstr>obalQ2Org62Exp</vt:lpstr>
      <vt:lpstr>obalQ2PackagingPricingExp</vt:lpstr>
      <vt:lpstr>obalQ2RDExp</vt:lpstr>
      <vt:lpstr>obalQ2Rev</vt:lpstr>
      <vt:lpstr>obalQ2RevPerc</vt:lpstr>
      <vt:lpstr>obalQ2RevWriteDownExp</vt:lpstr>
      <vt:lpstr>obalQ2StackExp</vt:lpstr>
      <vt:lpstr>obalQ2TrustExp</vt:lpstr>
      <vt:lpstr>obalQ3BrandIntExp</vt:lpstr>
      <vt:lpstr>obalQ3COS</vt:lpstr>
      <vt:lpstr>obalQ3CSGExp</vt:lpstr>
      <vt:lpstr>obalQ3ExternalSalesExp</vt:lpstr>
      <vt:lpstr>obalQ3FullREExp</vt:lpstr>
      <vt:lpstr>obalQ3GAExp</vt:lpstr>
      <vt:lpstr>obalQ3GAMigrationExp</vt:lpstr>
      <vt:lpstr>obalQ3HarmExp</vt:lpstr>
      <vt:lpstr>obalQ3ITExp</vt:lpstr>
      <vt:lpstr>obalQ3LeadPassExp</vt:lpstr>
      <vt:lpstr>obalQ3MSExp</vt:lpstr>
      <vt:lpstr>obalQ3Org62Exp</vt:lpstr>
      <vt:lpstr>obalQ3PackagingPricingExp</vt:lpstr>
      <vt:lpstr>obalQ3RDExp</vt:lpstr>
      <vt:lpstr>obalQ3Rev</vt:lpstr>
      <vt:lpstr>obalQ3RevPerc</vt:lpstr>
      <vt:lpstr>obalQ3RevWriteDownExp</vt:lpstr>
      <vt:lpstr>obalQ3StackExp</vt:lpstr>
      <vt:lpstr>obalQ3TrustExp</vt:lpstr>
      <vt:lpstr>obalQ4BrandIntExp</vt:lpstr>
      <vt:lpstr>obalQ4COS</vt:lpstr>
      <vt:lpstr>obalQ4CSGExp</vt:lpstr>
      <vt:lpstr>obalQ4ExternalSalesExp</vt:lpstr>
      <vt:lpstr>obalQ4FullREExp</vt:lpstr>
      <vt:lpstr>obalQ4GAExp</vt:lpstr>
      <vt:lpstr>obalQ4GAMigrationExp</vt:lpstr>
      <vt:lpstr>obalQ4HarmExp</vt:lpstr>
      <vt:lpstr>obalQ4ITExp</vt:lpstr>
      <vt:lpstr>obalQ4LeadPassExp</vt:lpstr>
      <vt:lpstr>obalQ4MSExp</vt:lpstr>
      <vt:lpstr>obalQ4Org62Exp</vt:lpstr>
      <vt:lpstr>obalQ4PackagingPricingExp</vt:lpstr>
      <vt:lpstr>obalQ4RDExp</vt:lpstr>
      <vt:lpstr>obalQ4Rev</vt:lpstr>
      <vt:lpstr>obalQ4RevPerc</vt:lpstr>
      <vt:lpstr>obalQ4RevWriteDownExp</vt:lpstr>
      <vt:lpstr>obalQ4StackExp</vt:lpstr>
      <vt:lpstr>obalQ4TrustExp</vt:lpstr>
      <vt:lpstr>obalRDPerc</vt:lpstr>
      <vt:lpstr>obalRiskIndex</vt:lpstr>
      <vt:lpstr>obalSecurityBuildSiteInfrastructure</vt:lpstr>
      <vt:lpstr>obalSecurityP0RiskMitigation</vt:lpstr>
      <vt:lpstr>obalSecurityP1RiskMitigation</vt:lpstr>
      <vt:lpstr>obalSecurityP2RiskMitigation</vt:lpstr>
      <vt:lpstr>obalSecurityProductRestrictions</vt:lpstr>
      <vt:lpstr>obalSI1CodeR1</vt:lpstr>
      <vt:lpstr>obalSI1CodeR2</vt:lpstr>
      <vt:lpstr>obalSI1CodeR3</vt:lpstr>
      <vt:lpstr>obalSI2CodeR1</vt:lpstr>
      <vt:lpstr>obalSI2CodeR2</vt:lpstr>
      <vt:lpstr>obalSI2CodeR3</vt:lpstr>
      <vt:lpstr>obalSI3CodeR1</vt:lpstr>
      <vt:lpstr>obalSI3CodeR2</vt:lpstr>
      <vt:lpstr>obalSI3CodeR3</vt:lpstr>
      <vt:lpstr>obalSI4CodeR1</vt:lpstr>
      <vt:lpstr>obalSI4CodeR2</vt:lpstr>
      <vt:lpstr>obalSI5CodeR1</vt:lpstr>
      <vt:lpstr>obalSI5CodeR2</vt:lpstr>
      <vt:lpstr>obalTargetCOR</vt:lpstr>
      <vt:lpstr>obalTargetDealBudget</vt:lpstr>
      <vt:lpstr>obalTargetFullOpMargin</vt:lpstr>
      <vt:lpstr>obalTargetFullOpProf</vt:lpstr>
      <vt:lpstr>obalTargetGA</vt:lpstr>
      <vt:lpstr>obalTargetGP</vt:lpstr>
      <vt:lpstr>obalTargetMS</vt:lpstr>
      <vt:lpstr>obalTargetRD</vt:lpstr>
      <vt:lpstr>obalTargetRev</vt:lpstr>
      <vt:lpstr>obalTargetStandaloneOpMargin</vt:lpstr>
      <vt:lpstr>obalTargetStandaloneOpProf</vt:lpstr>
      <vt:lpstr>obalTimeline</vt:lpstr>
      <vt:lpstr>obalTimelineBudget</vt:lpstr>
      <vt:lpstr>obalTimelineGAMigration</vt:lpstr>
      <vt:lpstr>obalTimelineLength1</vt:lpstr>
      <vt:lpstr>obalTimelineLength2</vt:lpstr>
      <vt:lpstr>obalTimelineLength3</vt:lpstr>
      <vt:lpstr>obalTimelineLength4</vt:lpstr>
      <vt:lpstr>obalTrustCostLeft</vt:lpstr>
      <vt:lpstr>obalV2MOMValue1Desc</vt:lpstr>
      <vt:lpstr>obalV2MOMValue1Rank</vt:lpstr>
      <vt:lpstr>obalV2MOMValue2Desc</vt:lpstr>
      <vt:lpstr>obalV2MOMValue2Rank</vt:lpstr>
      <vt:lpstr>obalV2MOMValue3Desc</vt:lpstr>
      <vt:lpstr>obalV2MOMValue3Rank</vt:lpstr>
      <vt:lpstr>obalV2MOMValue4Desc</vt:lpstr>
      <vt:lpstr>obalV2MOMValue4Rank</vt:lpstr>
      <vt:lpstr>obalV2MOMValue5Desc</vt:lpstr>
      <vt:lpstr>obalV2MOMValue5Rank</vt:lpstr>
      <vt:lpstr>obalV2MOMVision</vt:lpstr>
      <vt:lpstr>obalWobbler1</vt:lpstr>
      <vt:lpstr>obalWobbler10</vt:lpstr>
      <vt:lpstr>obalWobbler11</vt:lpstr>
      <vt:lpstr>obalWobbler12</vt:lpstr>
      <vt:lpstr>obalWobbler13</vt:lpstr>
      <vt:lpstr>obalWobbler14</vt:lpstr>
      <vt:lpstr>obalWobbler15</vt:lpstr>
      <vt:lpstr>obalWobbler2</vt:lpstr>
      <vt:lpstr>obalWobbler3</vt:lpstr>
      <vt:lpstr>obalWobbler4</vt:lpstr>
      <vt:lpstr>obalWobbler5</vt:lpstr>
      <vt:lpstr>obalWobbler6</vt:lpstr>
      <vt:lpstr>obalWobbler7</vt:lpstr>
      <vt:lpstr>obalWobbler8</vt:lpstr>
      <vt:lpstr>obalWobbler9</vt:lpstr>
      <vt:lpstr>obalY1BrandIntExp</vt:lpstr>
      <vt:lpstr>obalY1CSGExp</vt:lpstr>
      <vt:lpstr>obalY1LeadPassExp</vt:lpstr>
      <vt:lpstr>obalY2AnnualBrandIntExp</vt:lpstr>
      <vt:lpstr>obalY2AnnualCOS</vt:lpstr>
      <vt:lpstr>obalY2AnnualCSGExp</vt:lpstr>
      <vt:lpstr>obalY2AnnualExternalSalesExp</vt:lpstr>
      <vt:lpstr>obalY2AnnualFullREExp</vt:lpstr>
      <vt:lpstr>obalY2AnnualGAExp</vt:lpstr>
      <vt:lpstr>obalY2AnnualGAMigrationExp</vt:lpstr>
      <vt:lpstr>obalY2AnnualGrossMargin</vt:lpstr>
      <vt:lpstr>obalY2AnnualGrossProfit</vt:lpstr>
      <vt:lpstr>obalY2AnnualHarmExp</vt:lpstr>
      <vt:lpstr>obalY2AnnualIntegratedOpMargin</vt:lpstr>
      <vt:lpstr>obalY2AnnualIntegratedOpProfit</vt:lpstr>
      <vt:lpstr>obalY2AnnualITExp</vt:lpstr>
      <vt:lpstr>obalY2AnnualLeadPassExp</vt:lpstr>
      <vt:lpstr>obalY2AnnualMSExp</vt:lpstr>
      <vt:lpstr>obalY2AnnualOpMargin</vt:lpstr>
      <vt:lpstr>obalY2AnnualOpProfit</vt:lpstr>
      <vt:lpstr>obalY2AnnualOrg62Exp</vt:lpstr>
      <vt:lpstr>obalY2AnnualPackagingPricingExp</vt:lpstr>
      <vt:lpstr>obalY2AnnualRDExp</vt:lpstr>
      <vt:lpstr>obalY2AnnualRev</vt:lpstr>
      <vt:lpstr>obalY2AnnualRevWriteDownExp</vt:lpstr>
      <vt:lpstr>obalY2AnnualStackExp</vt:lpstr>
      <vt:lpstr>obalY2AnnualTrustExp</vt:lpstr>
      <vt:lpstr>obalY2Q1BrandIntExp</vt:lpstr>
      <vt:lpstr>obalY2Q1COS</vt:lpstr>
      <vt:lpstr>obalY2Q1CSGExp</vt:lpstr>
      <vt:lpstr>obalY2Q1ExternalSalesExp</vt:lpstr>
      <vt:lpstr>obalY2Q1FullREExp</vt:lpstr>
      <vt:lpstr>obalY2Q1GAExp</vt:lpstr>
      <vt:lpstr>obalY2Q1GAMigrationExp</vt:lpstr>
      <vt:lpstr>obalY2Q1HarmExp</vt:lpstr>
      <vt:lpstr>obalY2Q1ITExp</vt:lpstr>
      <vt:lpstr>obalY2Q1LeadPassExp</vt:lpstr>
      <vt:lpstr>obalY2Q1MSExp</vt:lpstr>
      <vt:lpstr>obalY2Q1Org62Exp</vt:lpstr>
      <vt:lpstr>obalY2Q1PackagingPricingExp</vt:lpstr>
      <vt:lpstr>obalY2Q1RDExp</vt:lpstr>
      <vt:lpstr>obalY2Q1Rev</vt:lpstr>
      <vt:lpstr>obalY2Q1RevWriteDownExp</vt:lpstr>
      <vt:lpstr>obalY2Q1StackExp</vt:lpstr>
      <vt:lpstr>obalY2Q1TrustExp</vt:lpstr>
      <vt:lpstr>obalY2Q2BrandIntExp</vt:lpstr>
      <vt:lpstr>obalY2Q2COS</vt:lpstr>
      <vt:lpstr>obalY2Q2CSGExp</vt:lpstr>
      <vt:lpstr>obalY2Q2ExternalSalesExp</vt:lpstr>
      <vt:lpstr>obalY2Q2FullREExp</vt:lpstr>
      <vt:lpstr>obalY2Q2GAExp</vt:lpstr>
      <vt:lpstr>obalY2Q2GAMigrationExp</vt:lpstr>
      <vt:lpstr>obalY2Q2HarmExp</vt:lpstr>
      <vt:lpstr>obalY2Q2ITExp</vt:lpstr>
      <vt:lpstr>obalY2Q2LeadPassExp</vt:lpstr>
      <vt:lpstr>obalY2Q2MSExp</vt:lpstr>
      <vt:lpstr>obalY2Q2Org62Exp</vt:lpstr>
      <vt:lpstr>obalY2Q2PackagingPricingExp</vt:lpstr>
      <vt:lpstr>obalY2Q2RDExp</vt:lpstr>
      <vt:lpstr>obalY2Q2Rev</vt:lpstr>
      <vt:lpstr>obalY2Q2RevWriteDownExp</vt:lpstr>
      <vt:lpstr>obalY2Q2StackExp</vt:lpstr>
      <vt:lpstr>obalY2Q2TrustExp</vt:lpstr>
      <vt:lpstr>obalY2Q3BrandIntExp</vt:lpstr>
      <vt:lpstr>obalY2Q3COS</vt:lpstr>
      <vt:lpstr>obalY2Q3CSGExp</vt:lpstr>
      <vt:lpstr>obalY2Q3ExternalSalesExp</vt:lpstr>
      <vt:lpstr>obalY2Q3FullREExp</vt:lpstr>
      <vt:lpstr>obalY2Q3GAExp</vt:lpstr>
      <vt:lpstr>obalY2Q3GAMigrationExp</vt:lpstr>
      <vt:lpstr>obalY2Q3HarmExp</vt:lpstr>
      <vt:lpstr>obalY2Q3ITExp</vt:lpstr>
      <vt:lpstr>obalY2Q3LeadPassExp</vt:lpstr>
      <vt:lpstr>obalY2Q3MSExp</vt:lpstr>
      <vt:lpstr>obalY2Q3Org62Exp</vt:lpstr>
      <vt:lpstr>obalY2Q3PackagingPricingExp</vt:lpstr>
      <vt:lpstr>obalY2Q3RDExp</vt:lpstr>
      <vt:lpstr>obalY2Q3Rev</vt:lpstr>
      <vt:lpstr>obalY2Q3RevWriteDownExp</vt:lpstr>
      <vt:lpstr>obalY2Q3StackExp</vt:lpstr>
      <vt:lpstr>obalY2Q3TrustExp</vt:lpstr>
      <vt:lpstr>obalY2Q4BrandIntExp</vt:lpstr>
      <vt:lpstr>obalY2Q4COS</vt:lpstr>
      <vt:lpstr>obalY2Q4CSGExp</vt:lpstr>
      <vt:lpstr>obalY2Q4ExternalSalesExp</vt:lpstr>
      <vt:lpstr>obalY2Q4FullREExp</vt:lpstr>
      <vt:lpstr>obalY2Q4GAExp</vt:lpstr>
      <vt:lpstr>obalY2Q4GAMigrationExp</vt:lpstr>
      <vt:lpstr>obalY2Q4HarmExp</vt:lpstr>
      <vt:lpstr>obalY2Q4ITExp</vt:lpstr>
      <vt:lpstr>obalY2Q4LeadPassExp</vt:lpstr>
      <vt:lpstr>obalY2Q4MSExp</vt:lpstr>
      <vt:lpstr>obalY2Q4Org62Exp</vt:lpstr>
      <vt:lpstr>obalY2Q4PackagingPricingExp</vt:lpstr>
      <vt:lpstr>obalY2Q4RDExp</vt:lpstr>
      <vt:lpstr>obalY2Q4Rev</vt:lpstr>
      <vt:lpstr>obalY2Q4RevWriteDownExp</vt:lpstr>
      <vt:lpstr>obalY2Q4StackExp</vt:lpstr>
      <vt:lpstr>obalY2Q4TrustExp</vt:lpstr>
      <vt:lpstr>obalY5AnnualCOS</vt:lpstr>
      <vt:lpstr>obalY5AnnualGAExp</vt:lpstr>
      <vt:lpstr>obalY5AnnualGrossMargin</vt:lpstr>
      <vt:lpstr>obalY5AnnualGrossProfit</vt:lpstr>
      <vt:lpstr>obalY5AnnualMSExp</vt:lpstr>
      <vt:lpstr>obalY5AnnualOpMargin</vt:lpstr>
      <vt:lpstr>obalY5AnnualOpProfit</vt:lpstr>
      <vt:lpstr>obalY5AnnualRDExp</vt:lpstr>
      <vt:lpstr>obalY5AnnualRev</vt:lpstr>
      <vt:lpstr>obalY5Q1COS</vt:lpstr>
      <vt:lpstr>obalY5Q1GAExp</vt:lpstr>
      <vt:lpstr>obalY5Q1MSExp</vt:lpstr>
      <vt:lpstr>obalY5Q1RDExp</vt:lpstr>
      <vt:lpstr>obalY5Q1Rev</vt:lpstr>
      <vt:lpstr>obalY5Q2COS</vt:lpstr>
      <vt:lpstr>obalY5Q2GAExp</vt:lpstr>
      <vt:lpstr>obalY5Q2MSExp</vt:lpstr>
      <vt:lpstr>obalY5Q2RDExp</vt:lpstr>
      <vt:lpstr>obalY5Q2Rev</vt:lpstr>
      <vt:lpstr>obalY5Q3COS</vt:lpstr>
      <vt:lpstr>obalY5Q3GAExp</vt:lpstr>
      <vt:lpstr>obalY5Q3MSExp</vt:lpstr>
      <vt:lpstr>obalY5Q3RDExp</vt:lpstr>
      <vt:lpstr>obalY5Q3Rev</vt:lpstr>
      <vt:lpstr>obalY5Q4COS</vt:lpstr>
      <vt:lpstr>obalY5Q4GAExp</vt:lpstr>
      <vt:lpstr>obalY5Q4MSExp</vt:lpstr>
      <vt:lpstr>obalY5Q4RDExp</vt:lpstr>
      <vt:lpstr>obalY5Q4Rev</vt:lpstr>
      <vt:lpstr>paramACVGrowthBaseline</vt:lpstr>
      <vt:lpstr>paramACVGrowthStack</vt:lpstr>
      <vt:lpstr>paramCOS</vt:lpstr>
      <vt:lpstr>paramDelayImpact</vt:lpstr>
      <vt:lpstr>paramDepreciationTimeline</vt:lpstr>
      <vt:lpstr>paramDisruption</vt:lpstr>
      <vt:lpstr>paramESAT</vt:lpstr>
      <vt:lpstr>paramESAT_1</vt:lpstr>
      <vt:lpstr>paramExecVelocity</vt:lpstr>
      <vt:lpstr>paramHarmonization</vt:lpstr>
      <vt:lpstr>paramITExp</vt:lpstr>
      <vt:lpstr>paramNPS</vt:lpstr>
      <vt:lpstr>paramOrg62Impacts</vt:lpstr>
      <vt:lpstr>paramOrg62Migration</vt:lpstr>
      <vt:lpstr>paramRiskIndex</vt:lpstr>
      <vt:lpstr>paramScaleEffect</vt:lpstr>
      <vt:lpstr>paramScenarioCost</vt:lpstr>
      <vt:lpstr>paramScenarioCostY1</vt:lpstr>
      <vt:lpstr>paramScenarioCostY2</vt:lpstr>
      <vt:lpstr>paramScenarioFTEs</vt:lpstr>
      <vt:lpstr>row2buttons_visible</vt:lpstr>
      <vt:lpstr>row3buttons_visible</vt:lpstr>
      <vt:lpstr>RowCalibrateAnalysis1</vt:lpstr>
      <vt:lpstr>rowCount</vt:lpstr>
      <vt:lpstr>tlGTM!Screen</vt:lpstr>
      <vt:lpstr>tlIT!Screen</vt:lpstr>
      <vt:lpstr>tlPeople!Screen</vt:lpstr>
      <vt:lpstr>tlProduct!Screen</vt:lpstr>
      <vt:lpstr>tlScenarios!Screen</vt:lpstr>
      <vt:lpstr>tlTimeline!Screen</vt:lpstr>
      <vt:lpstr>tlV2MOM!Screen</vt:lpstr>
      <vt:lpstr>Screen</vt:lpstr>
      <vt:lpstr>sheet_tab1_row1</vt:lpstr>
      <vt:lpstr>sheet_tab1_row2</vt:lpstr>
      <vt:lpstr>sheet_tab1_row3</vt:lpstr>
      <vt:lpstr>sheet_tab2_row1</vt:lpstr>
      <vt:lpstr>sheet_tab2_row2</vt:lpstr>
      <vt:lpstr>sheet_tab2_row3</vt:lpstr>
      <vt:lpstr>sheet_tab3_row1</vt:lpstr>
      <vt:lpstr>sheet_tab3_row2</vt:lpstr>
      <vt:lpstr>sheet_tab3_row3</vt:lpstr>
      <vt:lpstr>sheet_tab4_row1</vt:lpstr>
      <vt:lpstr>sheet_tab4_row2</vt:lpstr>
      <vt:lpstr>sheet_tab4_row3</vt:lpstr>
      <vt:lpstr>sheet_tab5_row1</vt:lpstr>
      <vt:lpstr>sheet_tab5_row2</vt:lpstr>
      <vt:lpstr>sheet_tab5_row3</vt:lpstr>
      <vt:lpstr>sheet_tab6_row1</vt:lpstr>
      <vt:lpstr>sheet_tab6_row2</vt:lpstr>
      <vt:lpstr>sheet_tab6_row3</vt:lpstr>
      <vt:lpstr>sheet_tab7_row1</vt:lpstr>
      <vt:lpstr>sheet_tab7_row2</vt:lpstr>
      <vt:lpstr>sheet_tab7_row23</vt:lpstr>
      <vt:lpstr>sheet_tab7_row3</vt:lpstr>
      <vt:lpstr>sheet_tab8_row1</vt:lpstr>
      <vt:lpstr>sheet_tab8_row2</vt:lpstr>
      <vt:lpstr>sheet_tab8_row3</vt:lpstr>
      <vt:lpstr>sim_OnResetGoTo</vt:lpstr>
      <vt:lpstr>SimpleCSVCalibrateR1Data</vt:lpstr>
      <vt:lpstr>SimpleCSVLookup</vt:lpstr>
      <vt:lpstr>SimpleCSVNumofAdmins</vt:lpstr>
      <vt:lpstr>SimpleCSVNumofTeams</vt:lpstr>
      <vt:lpstr>SimpleCSVR1BrandIntegration</vt:lpstr>
      <vt:lpstr>SimpleCSVR1BuildOutSiteInfrastructure</vt:lpstr>
      <vt:lpstr>SimpleCSVR1CSGPostSales</vt:lpstr>
      <vt:lpstr>SimpleCSVR1ExternalSalesTeam</vt:lpstr>
      <vt:lpstr>SimpleCSVR1IntegrationLevel</vt:lpstr>
      <vt:lpstr>SimpleCSVR1ITTimeline</vt:lpstr>
      <vt:lpstr>SimpleCSVR1KeyTalentPercentage</vt:lpstr>
      <vt:lpstr>SimpleCSVR1LeadPass</vt:lpstr>
      <vt:lpstr>SimpleCSVR1LookupNumber</vt:lpstr>
      <vt:lpstr>SimpleCSVR1NonKeyTalentPercentage</vt:lpstr>
      <vt:lpstr>SimpleCSVR1ORg62MigrationTimeline</vt:lpstr>
      <vt:lpstr>SimpleCSVR1P0RiskMitigation</vt:lpstr>
      <vt:lpstr>SimpleCSVR1P1RiskMitigation</vt:lpstr>
      <vt:lpstr>SimpleCSVR1P2RiskMitigation</vt:lpstr>
      <vt:lpstr>SimpleCSVR1PeopleTimeline</vt:lpstr>
      <vt:lpstr>SimpleCSVR1ProductRestrictions</vt:lpstr>
      <vt:lpstr>SimpleCSVR1ProductTimeline</vt:lpstr>
      <vt:lpstr>SimpleCSVR1RealEstateStrategy</vt:lpstr>
      <vt:lpstr>SimpleCSVR1RiskTimeline</vt:lpstr>
      <vt:lpstr>SimpleCSVR1StackFeatureFocus</vt:lpstr>
      <vt:lpstr>SimpleCSVR1Stackvs.FeatureFocus</vt:lpstr>
      <vt:lpstr>SimpleCSVR1TeamName</vt:lpstr>
      <vt:lpstr>SimpleCSVR1ValuePercentageCSAT</vt:lpstr>
      <vt:lpstr>SimpleCSVR1ValuePercentageESAT</vt:lpstr>
      <vt:lpstr>SimpleCSVR1ValuePercentageOpMargin</vt:lpstr>
      <vt:lpstr>SimpleCSVR1ValuePercentageRevGrowth</vt:lpstr>
      <vt:lpstr>SimpleCSVR1ValuePercentageTrust</vt:lpstr>
      <vt:lpstr>SimpleCSVR1ValueRationaleCSAT</vt:lpstr>
      <vt:lpstr>SimpleCSVR1ValueRationaleESAT</vt:lpstr>
      <vt:lpstr>SimpleCSVR1ValueRationaleOpMargin</vt:lpstr>
      <vt:lpstr>SimpleCSVR1ValueRationaleRevGrowth</vt:lpstr>
      <vt:lpstr>SimpleCSVR1ValueRationaleTrust</vt:lpstr>
      <vt:lpstr>SimpleCSVR1VisionStatement</vt:lpstr>
      <vt:lpstr>tab1_row1_visible</vt:lpstr>
      <vt:lpstr>tab1_row2_visible</vt:lpstr>
      <vt:lpstr>tab1_row3_visible</vt:lpstr>
      <vt:lpstr>tab1_rows</vt:lpstr>
      <vt:lpstr>tab1_text</vt:lpstr>
      <vt:lpstr>tab1_visible</vt:lpstr>
      <vt:lpstr>tab2_row1_visible</vt:lpstr>
      <vt:lpstr>tab2_row2_visible</vt:lpstr>
      <vt:lpstr>tab2_row3_visible</vt:lpstr>
      <vt:lpstr>tab2_rows</vt:lpstr>
      <vt:lpstr>tab2_text</vt:lpstr>
      <vt:lpstr>tab2_visible</vt:lpstr>
      <vt:lpstr>tab3_row1_visible</vt:lpstr>
      <vt:lpstr>tab3_row2_visible</vt:lpstr>
      <vt:lpstr>tab3_row3_visible</vt:lpstr>
      <vt:lpstr>tab3_rows</vt:lpstr>
      <vt:lpstr>tab3_text</vt:lpstr>
      <vt:lpstr>tab3_visible</vt:lpstr>
      <vt:lpstr>tab4_row1_visible</vt:lpstr>
      <vt:lpstr>tab4_row2_visible</vt:lpstr>
      <vt:lpstr>tab4_row3_visible</vt:lpstr>
      <vt:lpstr>tab4_rows</vt:lpstr>
      <vt:lpstr>tab4_text</vt:lpstr>
      <vt:lpstr>tab4_visible</vt:lpstr>
      <vt:lpstr>tab4buttons_visible</vt:lpstr>
      <vt:lpstr>tab5_row1_visible</vt:lpstr>
      <vt:lpstr>tab5_row2_visible</vt:lpstr>
      <vt:lpstr>tab5_row3_visible</vt:lpstr>
      <vt:lpstr>tab5_rows</vt:lpstr>
      <vt:lpstr>tab5_text</vt:lpstr>
      <vt:lpstr>tab5_visible</vt:lpstr>
      <vt:lpstr>tab5buttons_visible</vt:lpstr>
      <vt:lpstr>tab6_row1_visible</vt:lpstr>
      <vt:lpstr>tab6_row2_visible</vt:lpstr>
      <vt:lpstr>tab6_row3_visible</vt:lpstr>
      <vt:lpstr>tab6_rows</vt:lpstr>
      <vt:lpstr>tab6_text</vt:lpstr>
      <vt:lpstr>tab6_visible</vt:lpstr>
      <vt:lpstr>tab6buttons_visible</vt:lpstr>
      <vt:lpstr>tab7_row1_visible</vt:lpstr>
      <vt:lpstr>tab7_row2_visible</vt:lpstr>
      <vt:lpstr>tab7_row3_visible</vt:lpstr>
      <vt:lpstr>tab7_rows</vt:lpstr>
      <vt:lpstr>tab7_text</vt:lpstr>
      <vt:lpstr>tab7_visible</vt:lpstr>
      <vt:lpstr>tab7buttons_visible</vt:lpstr>
      <vt:lpstr>tab8_row1_visible</vt:lpstr>
      <vt:lpstr>tab8_row2_visible</vt:lpstr>
      <vt:lpstr>tab8_row3_visible</vt:lpstr>
      <vt:lpstr>tab8_rows</vt:lpstr>
      <vt:lpstr>tab8_text</vt:lpstr>
      <vt:lpstr>tab8_visible</vt:lpstr>
      <vt:lpstr>tab8buttons_visible</vt:lpstr>
      <vt:lpstr>tabCount</vt:lpstr>
      <vt:lpstr>tlExternalSalesTitle</vt:lpstr>
      <vt:lpstr>tlInputBudgetValidationY1</vt:lpstr>
      <vt:lpstr>tlInputBudgetValidationY2</vt:lpstr>
      <vt:lpstr>tlInputGTMBrandIntegration</vt:lpstr>
      <vt:lpstr>tlInputGTMCSGPostSales</vt:lpstr>
      <vt:lpstr>tlInputGTMExternalSales</vt:lpstr>
      <vt:lpstr>tlInputGTMLeadPass</vt:lpstr>
      <vt:lpstr>tlInputGTMOrg62Timeline</vt:lpstr>
      <vt:lpstr>tlInputGTMPackagingIntegration</vt:lpstr>
      <vt:lpstr>tlInputITIntegrationLevel</vt:lpstr>
      <vt:lpstr>tlInputITOfficePlan</vt:lpstr>
      <vt:lpstr>tlInputITTimeline</vt:lpstr>
      <vt:lpstr>tlInputPeopleHarmonizationLevel</vt:lpstr>
      <vt:lpstr>tlInputPeopleNonKeyHarmonizationLevel</vt:lpstr>
      <vt:lpstr>tlInputPeopleTimeline</vt:lpstr>
      <vt:lpstr>tlInputProductStackFocus</vt:lpstr>
      <vt:lpstr>tlInputProductTimeline</vt:lpstr>
      <vt:lpstr>tlInputRound</vt:lpstr>
      <vt:lpstr>tlInputScenario1</vt:lpstr>
      <vt:lpstr>tlInputScenario2</vt:lpstr>
      <vt:lpstr>tlInputScenario3</vt:lpstr>
      <vt:lpstr>tlInputScenario4</vt:lpstr>
      <vt:lpstr>tlInputScenario5</vt:lpstr>
      <vt:lpstr>tlInputScenario6</vt:lpstr>
      <vt:lpstr>tlInputScenario7</vt:lpstr>
      <vt:lpstr>tlInputScenario8</vt:lpstr>
      <vt:lpstr>tlInputSecurityBuildSiteInfrastructure</vt:lpstr>
      <vt:lpstr>tlInputSecurityP0RiskMitigation</vt:lpstr>
      <vt:lpstr>tlInputSecurityP1RiskMitigation</vt:lpstr>
      <vt:lpstr>tlInputSecurityP2RiskMitigation</vt:lpstr>
      <vt:lpstr>tlInputSecurityP3RiskMitigation</vt:lpstr>
      <vt:lpstr>tlInputSecurityProductRestrictions</vt:lpstr>
      <vt:lpstr>tlInputSecurityTimeline</vt:lpstr>
      <vt:lpstr>tlInputTeamName</vt:lpstr>
      <vt:lpstr>tlInputTeamNumber</vt:lpstr>
      <vt:lpstr>tlInputTextButton1</vt:lpstr>
      <vt:lpstr>tlInputTextButton10</vt:lpstr>
      <vt:lpstr>tlInputTextButton11</vt:lpstr>
      <vt:lpstr>tlInputTextButton12</vt:lpstr>
      <vt:lpstr>tlInputTextButton13</vt:lpstr>
      <vt:lpstr>tlInputTextButton14</vt:lpstr>
      <vt:lpstr>tlInputTextButton15</vt:lpstr>
      <vt:lpstr>tlInputTextButton16</vt:lpstr>
      <vt:lpstr>tlInputTextButton2</vt:lpstr>
      <vt:lpstr>tlInputTextButton3</vt:lpstr>
      <vt:lpstr>tlInputTextButton4</vt:lpstr>
      <vt:lpstr>tlInputTextButton5</vt:lpstr>
      <vt:lpstr>tlInputTextButton6</vt:lpstr>
      <vt:lpstr>tlInputTextButton7</vt:lpstr>
      <vt:lpstr>tlInputTextButton8</vt:lpstr>
      <vt:lpstr>tlInputTextButton9</vt:lpstr>
      <vt:lpstr>tlInputTimelineBudget</vt:lpstr>
      <vt:lpstr>tlInputTimeOptions</vt:lpstr>
      <vt:lpstr>tlInputTimeValues</vt:lpstr>
      <vt:lpstr>tlInputV2MOMRisk1</vt:lpstr>
      <vt:lpstr>tlInputV2MOMRisk2</vt:lpstr>
      <vt:lpstr>tlInputV2MOMRisk3</vt:lpstr>
      <vt:lpstr>TLInputV2MOMValue1</vt:lpstr>
      <vt:lpstr>TLInputV2MOMValue1Desc</vt:lpstr>
      <vt:lpstr>tlInputV2MOMValue1Rank</vt:lpstr>
      <vt:lpstr>TLInputV2MOMValue2</vt:lpstr>
      <vt:lpstr>TLInputV2MOMValue2Desc</vt:lpstr>
      <vt:lpstr>tlInputV2MOMValue2Rank</vt:lpstr>
      <vt:lpstr>TLInputV2MOMValue3</vt:lpstr>
      <vt:lpstr>TLInputV2MOMValue3Desc</vt:lpstr>
      <vt:lpstr>tlInputV2MOMValue3Rank</vt:lpstr>
      <vt:lpstr>TLInputV2MOMValue4</vt:lpstr>
      <vt:lpstr>TLInputV2MOMValue4Desc</vt:lpstr>
      <vt:lpstr>tlInputV2MOMValue4Rank</vt:lpstr>
      <vt:lpstr>TLInputV2MOMValue5</vt:lpstr>
      <vt:lpstr>TLInputV2MOMValue5Desc</vt:lpstr>
      <vt:lpstr>tlInputV2MOMValue5Rank</vt:lpstr>
      <vt:lpstr>TlInputV2MOMVision</vt:lpstr>
      <vt:lpstr>tlInputValuesSubmitted</vt:lpstr>
      <vt:lpstr>tlInputWobbler1</vt:lpstr>
      <vt:lpstr>tlInputWobbler10</vt:lpstr>
      <vt:lpstr>tlInputWobbler2</vt:lpstr>
      <vt:lpstr>tlInputWobbler3</vt:lpstr>
      <vt:lpstr>tlInputWobbler4</vt:lpstr>
      <vt:lpstr>tlInputWobbler5</vt:lpstr>
      <vt:lpstr>tlInputWobbler6</vt:lpstr>
      <vt:lpstr>tlInputWobbler7</vt:lpstr>
      <vt:lpstr>tlInputWobbler8</vt:lpstr>
      <vt:lpstr>tlInputWobbler9</vt:lpstr>
      <vt:lpstr>tlIOutputFullBrandIntExp</vt:lpstr>
      <vt:lpstr>tlOuputSecurityFullCostTitle</vt:lpstr>
      <vt:lpstr>tlOuputSecurityP0Title</vt:lpstr>
      <vt:lpstr>tlOuputSecurityP1Title</vt:lpstr>
      <vt:lpstr>tlOuputSecurityP2Title</vt:lpstr>
      <vt:lpstr>tlOuputSecurityTitle</vt:lpstr>
      <vt:lpstr>tlOutput3Risklbl</vt:lpstr>
      <vt:lpstr>tlOutputACVScen1</vt:lpstr>
      <vt:lpstr>tlOutputACVScen2</vt:lpstr>
      <vt:lpstr>tlOutputACVScen3</vt:lpstr>
      <vt:lpstr>tlOutputACVScen4</vt:lpstr>
      <vt:lpstr>tlOutputACVScen5</vt:lpstr>
      <vt:lpstr>tlOutputACVScen6</vt:lpstr>
      <vt:lpstr>tlOutputACVScen7</vt:lpstr>
      <vt:lpstr>tlOutputACVScen8</vt:lpstr>
      <vt:lpstr>tlOutputBrandIntTitle</vt:lpstr>
      <vt:lpstr>tlOutputBudgetLeft</vt:lpstr>
      <vt:lpstr>tlOutputBudgetScen1</vt:lpstr>
      <vt:lpstr>tlOutputBudgetScen2</vt:lpstr>
      <vt:lpstr>tlOutputBudgetScen3</vt:lpstr>
      <vt:lpstr>tlOutputBudgetScen4</vt:lpstr>
      <vt:lpstr>tlOutputBudgetScen5</vt:lpstr>
      <vt:lpstr>tlOutputBudgetScen6</vt:lpstr>
      <vt:lpstr>tlOutputBudgetScen7</vt:lpstr>
      <vt:lpstr>tlOutputBudgetScen8</vt:lpstr>
      <vt:lpstr>tlOutputBudgetValidationY1</vt:lpstr>
      <vt:lpstr>tlOutputBudgetValidationY2</vt:lpstr>
      <vt:lpstr>tlOutputCostBO</vt:lpstr>
      <vt:lpstr>tlOutputCostEvents</vt:lpstr>
      <vt:lpstr>tlOutputCostGTM</vt:lpstr>
      <vt:lpstr>tlOutputCostPeople</vt:lpstr>
      <vt:lpstr>tlOutputCostProduct</vt:lpstr>
      <vt:lpstr>tlOutputCostTrust</vt:lpstr>
      <vt:lpstr>tlOutputCSATScen1</vt:lpstr>
      <vt:lpstr>tlOutputCSATScen2</vt:lpstr>
      <vt:lpstr>tlOutputCSATScen3</vt:lpstr>
      <vt:lpstr>tlOutputCSATScen4</vt:lpstr>
      <vt:lpstr>tlOutputCSATScen5</vt:lpstr>
      <vt:lpstr>tlOutputCSATScen6</vt:lpstr>
      <vt:lpstr>tlOutputCSATScen7</vt:lpstr>
      <vt:lpstr>tlOutputCSATScen8</vt:lpstr>
      <vt:lpstr>tlOutputCSGTitle</vt:lpstr>
      <vt:lpstr>tlOutputDash1Title1</vt:lpstr>
      <vt:lpstr>tlOutputDash1Title2</vt:lpstr>
      <vt:lpstr>tlOutputDash1Title3</vt:lpstr>
      <vt:lpstr>tlOutputDash2Title1</vt:lpstr>
      <vt:lpstr>tlOutputDash2Title2</vt:lpstr>
      <vt:lpstr>tlOutputDash2Title3</vt:lpstr>
      <vt:lpstr>tlOutputDash3Title1</vt:lpstr>
      <vt:lpstr>tlOutputDash3Title2</vt:lpstr>
      <vt:lpstr>tlOutputDash3Title3</vt:lpstr>
      <vt:lpstr>tlOutputDashCSAT</vt:lpstr>
      <vt:lpstr>tlOutputDashDisrupt</vt:lpstr>
      <vt:lpstr>tlOutputDashESAT</vt:lpstr>
      <vt:lpstr>tlOutputDashGrowth</vt:lpstr>
      <vt:lpstr>tlOutputDashOpMargin</vt:lpstr>
      <vt:lpstr>tlOutputDashRev</vt:lpstr>
      <vt:lpstr>tlOutputDashTrust</vt:lpstr>
      <vt:lpstr>tlOutputDashY1Budget</vt:lpstr>
      <vt:lpstr>tlOutputDashY2Budget</vt:lpstr>
      <vt:lpstr>tlOutputDescr1</vt:lpstr>
      <vt:lpstr>tlOutputDescr2</vt:lpstr>
      <vt:lpstr>tlOutputDescr3</vt:lpstr>
      <vt:lpstr>tlOutputDescr4</vt:lpstr>
      <vt:lpstr>tlOutputDescr5</vt:lpstr>
      <vt:lpstr>tlOutputDescr6</vt:lpstr>
      <vt:lpstr>tlOutputDescr7</vt:lpstr>
      <vt:lpstr>tlOutputDescr8</vt:lpstr>
      <vt:lpstr>tlOutputDisruptionScen1</vt:lpstr>
      <vt:lpstr>tlOutputDisruptionScen2</vt:lpstr>
      <vt:lpstr>tlOutputDisruptionScen3</vt:lpstr>
      <vt:lpstr>tlOutputDisruptionScen4</vt:lpstr>
      <vt:lpstr>tlOutputDisruptionScen5</vt:lpstr>
      <vt:lpstr>tlOutputDisruptionScen6</vt:lpstr>
      <vt:lpstr>tlOutputDisruptionScen7</vt:lpstr>
      <vt:lpstr>tlOutputDisruptionScen8</vt:lpstr>
      <vt:lpstr>tlOutputEngagement</vt:lpstr>
      <vt:lpstr>tlOutputESATScen1</vt:lpstr>
      <vt:lpstr>tlOutputESATScen2</vt:lpstr>
      <vt:lpstr>tlOutputESATScen3</vt:lpstr>
      <vt:lpstr>tlOutputESATScen4</vt:lpstr>
      <vt:lpstr>tlOutputESATScen5</vt:lpstr>
      <vt:lpstr>tlOutputESATScen6</vt:lpstr>
      <vt:lpstr>tlOutputESATScen7</vt:lpstr>
      <vt:lpstr>tlOutputESATScen8</vt:lpstr>
      <vt:lpstr>tlOutputFeatureEnhanceTitle</vt:lpstr>
      <vt:lpstr>tlOutputFormatDash1Part1</vt:lpstr>
      <vt:lpstr>tlOutputFormatDash1Part2</vt:lpstr>
      <vt:lpstr>tlOutputFormatDash1Part3</vt:lpstr>
      <vt:lpstr>tlOutputFormatDash2Part1</vt:lpstr>
      <vt:lpstr>tlOutputFormatDash2Part2</vt:lpstr>
      <vt:lpstr>tlOutputFormatDash2Part3</vt:lpstr>
      <vt:lpstr>tlOutputFormatDash3Part1</vt:lpstr>
      <vt:lpstr>tlOutputFormatDash3Part2</vt:lpstr>
      <vt:lpstr>tlOutputFormatDash3Part3</vt:lpstr>
      <vt:lpstr>tlOutputFullCSGExp</vt:lpstr>
      <vt:lpstr>tlOutputFullExternalSalesExp</vt:lpstr>
      <vt:lpstr>tlOutputFullITExp</vt:lpstr>
      <vt:lpstr>tlOutputFullITExpTitle</vt:lpstr>
      <vt:lpstr>tlOutputFullLeadPassExp</vt:lpstr>
      <vt:lpstr>tlOutputFullOrg62Exp</vt:lpstr>
      <vt:lpstr>tlOutputFullStackExp</vt:lpstr>
      <vt:lpstr>tlOutputGTMIntPlanning</vt:lpstr>
      <vt:lpstr>tlOutputGTMLtCTimeTitle</vt:lpstr>
      <vt:lpstr>tlOutputGTMQ1ACV</vt:lpstr>
      <vt:lpstr>tlOutputGTMQ1ConsOpMargin</vt:lpstr>
      <vt:lpstr>tlOutputGTMQ1GrossMargin</vt:lpstr>
      <vt:lpstr>tlOutputGTMQ1GrossProfit</vt:lpstr>
      <vt:lpstr>tlOutputGTMQ1Harm</vt:lpstr>
      <vt:lpstr>tlOutputGTMQ1IntCost</vt:lpstr>
      <vt:lpstr>tlOutputGTMQ1IntCosts</vt:lpstr>
      <vt:lpstr>tlOutputGTMQ1OpEx</vt:lpstr>
      <vt:lpstr>tlOutputGTMQ1OpMargin</vt:lpstr>
      <vt:lpstr>tlOutputGTMQ1OpProfit</vt:lpstr>
      <vt:lpstr>tlOutputGTMQ1OpProfitCons</vt:lpstr>
      <vt:lpstr>tlOutputGTMQ1Revenue</vt:lpstr>
      <vt:lpstr>tlOutputGTMQ1Title</vt:lpstr>
      <vt:lpstr>tlOutputGTMQ2ACV</vt:lpstr>
      <vt:lpstr>tlOutputGTMQ2ConsOpMargin</vt:lpstr>
      <vt:lpstr>tlOutputGTMQ2GrossMargin</vt:lpstr>
      <vt:lpstr>tlOutputGTMQ2GrossProfit</vt:lpstr>
      <vt:lpstr>tlOutputGTMQ2Harm</vt:lpstr>
      <vt:lpstr>tlOutputGTMQ2IntCost</vt:lpstr>
      <vt:lpstr>tlOutputGTMQ2IntCosts</vt:lpstr>
      <vt:lpstr>tlOutputGTMQ2OpEx</vt:lpstr>
      <vt:lpstr>tlOutputGTMQ2OpMargin</vt:lpstr>
      <vt:lpstr>tlOutputGTMQ2OpProfit</vt:lpstr>
      <vt:lpstr>tlOutputGTMQ2OpProfitCons</vt:lpstr>
      <vt:lpstr>tlOutputGTMQ2Revenue</vt:lpstr>
      <vt:lpstr>tlOutputGTMQ2Title</vt:lpstr>
      <vt:lpstr>tlOutputGTMQ3ACV</vt:lpstr>
      <vt:lpstr>tlOutputGTMQ3ConsOpMargin</vt:lpstr>
      <vt:lpstr>tlOutputGTMQ3GrossMargin</vt:lpstr>
      <vt:lpstr>tlOutputGTMQ3GrossProfit</vt:lpstr>
      <vt:lpstr>tlOutputGTMQ3Harm</vt:lpstr>
      <vt:lpstr>tlOutputGTMQ3IntCost</vt:lpstr>
      <vt:lpstr>tlOutputGTMQ3IntCosts</vt:lpstr>
      <vt:lpstr>tlOutputGTMQ3OpEx</vt:lpstr>
      <vt:lpstr>tlOutputGTMQ3OpMargin</vt:lpstr>
      <vt:lpstr>tlOutputGTMQ3OpProfit</vt:lpstr>
      <vt:lpstr>tlOutputGTMQ3OpProfitCons</vt:lpstr>
      <vt:lpstr>tlOutputGTMQ3Revenue</vt:lpstr>
      <vt:lpstr>tlOutputGTMQ3Title</vt:lpstr>
      <vt:lpstr>tlOutputGTMQ4ACV</vt:lpstr>
      <vt:lpstr>tlOutputGTMQ4ConsOpMargin</vt:lpstr>
      <vt:lpstr>tlOutputGTMQ4GrossMargin</vt:lpstr>
      <vt:lpstr>tlOutputGTMQ4GrossProfit</vt:lpstr>
      <vt:lpstr>tlOutputGTMQ4Harm</vt:lpstr>
      <vt:lpstr>tlOutputGTMQ4IntCost</vt:lpstr>
      <vt:lpstr>tlOutputGTMQ4IntCosts</vt:lpstr>
      <vt:lpstr>tlOutputGTMQ4OpEx</vt:lpstr>
      <vt:lpstr>tlOutputGTMQ4OpMargin</vt:lpstr>
      <vt:lpstr>tlOutputGTMQ4OpProfit</vt:lpstr>
      <vt:lpstr>tlOutputGTMQ4OpProfitCons</vt:lpstr>
      <vt:lpstr>tlOutputGTMQ4Revenue</vt:lpstr>
      <vt:lpstr>tlOutputGTMQ4Title</vt:lpstr>
      <vt:lpstr>tlOutputGTMTitleACV</vt:lpstr>
      <vt:lpstr>tlOutputGTMTitleConsOpMargin</vt:lpstr>
      <vt:lpstr>tlOutputGTMTitleFinancials</vt:lpstr>
      <vt:lpstr>tlOutputGTMTitleGrossMargin</vt:lpstr>
      <vt:lpstr>tlOutputGTMTitleGrossProfit</vt:lpstr>
      <vt:lpstr>tlOutputGTMTitleHarm</vt:lpstr>
      <vt:lpstr>tlOutputGTMTitleIntCosts</vt:lpstr>
      <vt:lpstr>tlOutputGTMTitleIntCostTitle</vt:lpstr>
      <vt:lpstr>tlOutputGTMTitleIntOpProfit</vt:lpstr>
      <vt:lpstr>tlOutputGTMTitleOpEx</vt:lpstr>
      <vt:lpstr>tlOutputGTMTitleOpMargin</vt:lpstr>
      <vt:lpstr>tlOutputGTMTitleOpProfit</vt:lpstr>
      <vt:lpstr>tlOutputGTMTitleRevenue</vt:lpstr>
      <vt:lpstr>tlOutputGTMTitleTotalIntCosts</vt:lpstr>
      <vt:lpstr>tlOutputGTMY0ACV</vt:lpstr>
      <vt:lpstr>tlOutputGTMY0ConsOpMargin</vt:lpstr>
      <vt:lpstr>tlOutputGTMY0GrossMargin</vt:lpstr>
      <vt:lpstr>tlOutputGTMY0GrossProfit</vt:lpstr>
      <vt:lpstr>tlOutputGTMY0Harm</vt:lpstr>
      <vt:lpstr>tlOutputGTMY0IntCost</vt:lpstr>
      <vt:lpstr>tlOutputGTMY0IntCosts</vt:lpstr>
      <vt:lpstr>tlOutputGTMY0OpEx</vt:lpstr>
      <vt:lpstr>tlOutputGTMY0OpMargin</vt:lpstr>
      <vt:lpstr>tlOutputGTMY0OpProfit</vt:lpstr>
      <vt:lpstr>tlOutputGTMY0OpProfitCons</vt:lpstr>
      <vt:lpstr>tlOutputGTMY0Revenue</vt:lpstr>
      <vt:lpstr>tlOutputGTMY0Title</vt:lpstr>
      <vt:lpstr>tlOutputGTMY1ACV</vt:lpstr>
      <vt:lpstr>tlOutputGTMY1ConsOpMargin</vt:lpstr>
      <vt:lpstr>tlOutputGTMY1GrossMargin</vt:lpstr>
      <vt:lpstr>tlOutputGTMY1GrossProfit</vt:lpstr>
      <vt:lpstr>tlOutputGTMY1Harm</vt:lpstr>
      <vt:lpstr>tlOutputGTMY1IntCost</vt:lpstr>
      <vt:lpstr>tlOutputGTMY1IntCosts</vt:lpstr>
      <vt:lpstr>tlOutputGTMY1OpEx</vt:lpstr>
      <vt:lpstr>tlOutputGTMY1OpMargin</vt:lpstr>
      <vt:lpstr>tlOutputGTMY1OpProfit</vt:lpstr>
      <vt:lpstr>tlOutputGTMY1OpProfitCons</vt:lpstr>
      <vt:lpstr>tlOutputGTMY1Revenue</vt:lpstr>
      <vt:lpstr>tlOutputGTMY1Title</vt:lpstr>
      <vt:lpstr>tlOutputGTMY2ACV</vt:lpstr>
      <vt:lpstr>tlOutputGTMY2ConsOpMargin</vt:lpstr>
      <vt:lpstr>tlOutputGTMY2GrossMargin</vt:lpstr>
      <vt:lpstr>tlOutputGTMY2GrossProfit</vt:lpstr>
      <vt:lpstr>tlOutputGTMY2Harm</vt:lpstr>
      <vt:lpstr>tlOutputGTMY2IntCost</vt:lpstr>
      <vt:lpstr>tlOutputGTMY2IntCosts</vt:lpstr>
      <vt:lpstr>tlOutputGTMY2OpEx</vt:lpstr>
      <vt:lpstr>tlOutputGTMY2OpMargin</vt:lpstr>
      <vt:lpstr>tlOutputGTMY2OpProfit</vt:lpstr>
      <vt:lpstr>tlOutputGTMY2OpProfitCons</vt:lpstr>
      <vt:lpstr>tlOutputGTMY2Revenue</vt:lpstr>
      <vt:lpstr>tlOutputGTMY2Title</vt:lpstr>
      <vt:lpstr>tlOutputGTMY5ACV</vt:lpstr>
      <vt:lpstr>tlOutputGTMY5ConsOpMargin</vt:lpstr>
      <vt:lpstr>tlOutputGTMY5GrossMargin</vt:lpstr>
      <vt:lpstr>tlOutputGTMY5GrossProfit</vt:lpstr>
      <vt:lpstr>tlOutputGTMY5Harm</vt:lpstr>
      <vt:lpstr>tlOutputGTMY5IntCost</vt:lpstr>
      <vt:lpstr>tlOutputGTMY5IntCosts</vt:lpstr>
      <vt:lpstr>tlOutputGTMY5OpEx</vt:lpstr>
      <vt:lpstr>tlOutputGTMY5OpMargin</vt:lpstr>
      <vt:lpstr>tlOutputGTMY5OpProfit</vt:lpstr>
      <vt:lpstr>tlOutputGTMY5OpProfitCons</vt:lpstr>
      <vt:lpstr>tlOutputGTMY5Revenue</vt:lpstr>
      <vt:lpstr>tlOutputGTMY5Title</vt:lpstr>
      <vt:lpstr>tlOutputHarmLevelTitle</vt:lpstr>
      <vt:lpstr>tlOutputImmediateSecurityCost</vt:lpstr>
      <vt:lpstr>tlOutputIntLevel1</vt:lpstr>
      <vt:lpstr>tlOutputIntLevel2</vt:lpstr>
      <vt:lpstr>tlOutputIntLevel3</vt:lpstr>
      <vt:lpstr>tlOutputIntLevel4</vt:lpstr>
      <vt:lpstr>tlOutputITBackOfficeTimelineTitle</vt:lpstr>
      <vt:lpstr>tlOutputITBackOfficeTitle</vt:lpstr>
      <vt:lpstr>tlOutputITEmpIntTitle</vt:lpstr>
      <vt:lpstr>tlOutputITIntPlanning</vt:lpstr>
      <vt:lpstr>tlOutputITIntSpecificsTitle</vt:lpstr>
      <vt:lpstr>tlOutputITQ1ACV</vt:lpstr>
      <vt:lpstr>tlOutputITQ1ConsOpMargin</vt:lpstr>
      <vt:lpstr>tlOutputITQ1GrossMargin</vt:lpstr>
      <vt:lpstr>tlOutputITQ1GrossProfit</vt:lpstr>
      <vt:lpstr>tlOutputITQ1Harm</vt:lpstr>
      <vt:lpstr>tlOutputITQ1IntCost</vt:lpstr>
      <vt:lpstr>tlOutputITQ1IntCosts</vt:lpstr>
      <vt:lpstr>tlOutputITQ1OpEx</vt:lpstr>
      <vt:lpstr>tlOutputITQ1OpMargin</vt:lpstr>
      <vt:lpstr>tlOutputITQ1OpProfit</vt:lpstr>
      <vt:lpstr>tlOutputITQ1OpProfitCons</vt:lpstr>
      <vt:lpstr>tlOutputITQ1Revenue</vt:lpstr>
      <vt:lpstr>tlOutputITQ1Title</vt:lpstr>
      <vt:lpstr>tlOutputITQ2ACV</vt:lpstr>
      <vt:lpstr>tlOutputITQ2ConsOpMargin</vt:lpstr>
      <vt:lpstr>tlOutputITQ2GrossMargin</vt:lpstr>
      <vt:lpstr>tlOutputITQ2GrossProfit</vt:lpstr>
      <vt:lpstr>tlOutputITQ2Harm</vt:lpstr>
      <vt:lpstr>tlOutputITQ2IntCost</vt:lpstr>
      <vt:lpstr>tlOutputITQ2IntCosts</vt:lpstr>
      <vt:lpstr>tlOutputITQ2OpEx</vt:lpstr>
      <vt:lpstr>tlOutputITQ2OpMargin</vt:lpstr>
      <vt:lpstr>tlOutputITQ2OpProfit</vt:lpstr>
      <vt:lpstr>tlOutputITQ2OpProfitCons</vt:lpstr>
      <vt:lpstr>tlOutputITQ2Revenue</vt:lpstr>
      <vt:lpstr>tlOutputITQ2Title</vt:lpstr>
      <vt:lpstr>tlOutputITQ3ACV</vt:lpstr>
      <vt:lpstr>tlOutputITQ3ConsOpMargin</vt:lpstr>
      <vt:lpstr>tlOutputITQ3GrossMargin</vt:lpstr>
      <vt:lpstr>tlOutputITQ3GrossProfit</vt:lpstr>
      <vt:lpstr>tlOutputITQ3Harm</vt:lpstr>
      <vt:lpstr>tlOutputITQ3IntCost</vt:lpstr>
      <vt:lpstr>tlOutputITQ3IntCosts</vt:lpstr>
      <vt:lpstr>tlOutputITQ3OpEx</vt:lpstr>
      <vt:lpstr>tlOutputITQ3OpMargin</vt:lpstr>
      <vt:lpstr>tlOutputITQ3OpProfit</vt:lpstr>
      <vt:lpstr>tlOutputITQ3OpProfitCons</vt:lpstr>
      <vt:lpstr>tlOutputITQ3Revenue</vt:lpstr>
      <vt:lpstr>tlOutputITQ3Title</vt:lpstr>
      <vt:lpstr>tlOutputITQ4ACV</vt:lpstr>
      <vt:lpstr>tlOutputITQ4ConsOpMargin</vt:lpstr>
      <vt:lpstr>tlOutputITQ4GrossMargin</vt:lpstr>
      <vt:lpstr>tlOutputITQ4GrossProfit</vt:lpstr>
      <vt:lpstr>tlOutputITQ4Harm</vt:lpstr>
      <vt:lpstr>tlOutputITQ4IntCost</vt:lpstr>
      <vt:lpstr>tlOutputITQ4IntCosts</vt:lpstr>
      <vt:lpstr>tlOutputITQ4OpEx</vt:lpstr>
      <vt:lpstr>tlOutputITQ4OpMargin</vt:lpstr>
      <vt:lpstr>tlOutputITQ4OpProfit</vt:lpstr>
      <vt:lpstr>tlOutputITQ4OpProfitCons</vt:lpstr>
      <vt:lpstr>tlOutputITQ4Revenue</vt:lpstr>
      <vt:lpstr>tlOutputITQ4Title</vt:lpstr>
      <vt:lpstr>tlOutputITTitleACV</vt:lpstr>
      <vt:lpstr>tlOutputITTitleConsOpMargin</vt:lpstr>
      <vt:lpstr>tlOutputITTitleFinancials</vt:lpstr>
      <vt:lpstr>tlOutputITTitleGrossMargin</vt:lpstr>
      <vt:lpstr>tlOutputITTitleGrossProfit</vt:lpstr>
      <vt:lpstr>tlOutputITTitleHarm</vt:lpstr>
      <vt:lpstr>tlOutputITTitleIntCosts</vt:lpstr>
      <vt:lpstr>tlOutputITTitleIntCostTitle</vt:lpstr>
      <vt:lpstr>tlOutputITTitleIntOpProfit</vt:lpstr>
      <vt:lpstr>tlOutputITTitleOpEx</vt:lpstr>
      <vt:lpstr>tlOutputITTitleOpMargin</vt:lpstr>
      <vt:lpstr>tlOutputITTitleOpProfit</vt:lpstr>
      <vt:lpstr>tlOutputITTitleRevenue</vt:lpstr>
      <vt:lpstr>tlOutputITTitleTotalIntCosts</vt:lpstr>
      <vt:lpstr>tlOutputITY0ACV</vt:lpstr>
      <vt:lpstr>tlOutputITY0ConsOpMargin</vt:lpstr>
      <vt:lpstr>tlOutputITY0GrossMargin</vt:lpstr>
      <vt:lpstr>tlOutputITY0GrossProfit</vt:lpstr>
      <vt:lpstr>tlOutputITY0Harm</vt:lpstr>
      <vt:lpstr>tlOutputITY0IntCost</vt:lpstr>
      <vt:lpstr>tlOutputITY0IntCosts</vt:lpstr>
      <vt:lpstr>tlOutputITY0OpEx</vt:lpstr>
      <vt:lpstr>tlOutputITY0OpMargin</vt:lpstr>
      <vt:lpstr>tlOutputITY0OpProfit</vt:lpstr>
      <vt:lpstr>tlOutputITY0OpProfitCons</vt:lpstr>
      <vt:lpstr>tlOutputITY0Revenue</vt:lpstr>
      <vt:lpstr>tlOutputITY0Title</vt:lpstr>
      <vt:lpstr>tlOutputITY1ACV</vt:lpstr>
      <vt:lpstr>tlOutputITY1ConsOpMargin</vt:lpstr>
      <vt:lpstr>tlOutputITY1GrossMargin</vt:lpstr>
      <vt:lpstr>tlOutputITY1GrossProfit</vt:lpstr>
      <vt:lpstr>tlOutputITY1Harm</vt:lpstr>
      <vt:lpstr>tlOutputITY1IntCost</vt:lpstr>
      <vt:lpstr>tlOutputITY1IntCosts</vt:lpstr>
      <vt:lpstr>tlOutputITY1OpEx</vt:lpstr>
      <vt:lpstr>tlOutputITY1OpMargin</vt:lpstr>
      <vt:lpstr>tlOutputITY1OpProfit</vt:lpstr>
      <vt:lpstr>tlOutputITY1OpProfitCons</vt:lpstr>
      <vt:lpstr>tlOutputITY1Revenue</vt:lpstr>
      <vt:lpstr>tlOutputITY1Title</vt:lpstr>
      <vt:lpstr>tlOutputITY2ACV</vt:lpstr>
      <vt:lpstr>tlOutputITY2ConsOpMargin</vt:lpstr>
      <vt:lpstr>tlOutputITY2GrossMargin</vt:lpstr>
      <vt:lpstr>tlOutputITY2GrossProfit</vt:lpstr>
      <vt:lpstr>tlOutputITY2Harm</vt:lpstr>
      <vt:lpstr>tlOutputITY2IntCost</vt:lpstr>
      <vt:lpstr>tlOutputITY2IntCosts</vt:lpstr>
      <vt:lpstr>tlOutputITY2OpEx</vt:lpstr>
      <vt:lpstr>tlOutputITY2OpMargin</vt:lpstr>
      <vt:lpstr>tlOutputITY2OpProfit</vt:lpstr>
      <vt:lpstr>tlOutputITY2OpProfitCons</vt:lpstr>
      <vt:lpstr>tlOutputITY2Revenue</vt:lpstr>
      <vt:lpstr>tlOutputITY2Title</vt:lpstr>
      <vt:lpstr>tlOutputITY5ACV</vt:lpstr>
      <vt:lpstr>tlOutputITY5ConsOpMargin</vt:lpstr>
      <vt:lpstr>tlOutputITY5GrossMargin</vt:lpstr>
      <vt:lpstr>tlOutputITY5GrossProfit</vt:lpstr>
      <vt:lpstr>tlOutputITY5Harm</vt:lpstr>
      <vt:lpstr>tlOutputITY5IntCost</vt:lpstr>
      <vt:lpstr>tlOutputITY5IntCosts</vt:lpstr>
      <vt:lpstr>tlOutputITY5OpEx</vt:lpstr>
      <vt:lpstr>tlOutputITY5OpMargin</vt:lpstr>
      <vt:lpstr>tlOutputITY5OpProfit</vt:lpstr>
      <vt:lpstr>tlOutputITY5OpProfitCons</vt:lpstr>
      <vt:lpstr>tlOutputITY5Revenue</vt:lpstr>
      <vt:lpstr>tlOutputITY5Title</vt:lpstr>
      <vt:lpstr>tlOutputKeyHarmExp</vt:lpstr>
      <vt:lpstr>tlOutputLeadPassTitle</vt:lpstr>
      <vt:lpstr>tlOutputNonKeyHarmExp</vt:lpstr>
      <vt:lpstr>tlOutputNonKeyHarmLevelTitle</vt:lpstr>
      <vt:lpstr>tlOutputOpeningRev</vt:lpstr>
      <vt:lpstr>tlOutputPeopleCostlbl</vt:lpstr>
      <vt:lpstr>tlOutputPeopleDash1</vt:lpstr>
      <vt:lpstr>tlOutputPeopleDash2</vt:lpstr>
      <vt:lpstr>tlOutputPeopleDash3</vt:lpstr>
      <vt:lpstr>tlOutputPeopleHarmonizationLevelTitle</vt:lpstr>
      <vt:lpstr>tlOutputPeopleIntPlanning</vt:lpstr>
      <vt:lpstr>tlOutputPeopleQ1ACV</vt:lpstr>
      <vt:lpstr>tlOutputPeopleQ1ConsOpMargin</vt:lpstr>
      <vt:lpstr>tlOutputPeopleQ1GrossMargin</vt:lpstr>
      <vt:lpstr>tlOutputPeopleQ1GrossProfit</vt:lpstr>
      <vt:lpstr>tlOutputPeopleQ1Harm</vt:lpstr>
      <vt:lpstr>tlOutputPeopleQ1IntCost</vt:lpstr>
      <vt:lpstr>tlOutputPeopleQ1IntCosts</vt:lpstr>
      <vt:lpstr>tlOutputPeopleQ1OpEx</vt:lpstr>
      <vt:lpstr>tlOutputPeopleQ1OpMargin</vt:lpstr>
      <vt:lpstr>tlOutputPeopleQ1OpProfit</vt:lpstr>
      <vt:lpstr>tlOutputPeopleQ1OpProfitCons</vt:lpstr>
      <vt:lpstr>tlOutputPeopleQ1Revenue</vt:lpstr>
      <vt:lpstr>tlOutputPeopleQ1Title</vt:lpstr>
      <vt:lpstr>tlOutputPeopleQ2ACV</vt:lpstr>
      <vt:lpstr>tlOutputPeopleQ2ConsOpMargin</vt:lpstr>
      <vt:lpstr>tlOutputPeopleQ2GrossMargin</vt:lpstr>
      <vt:lpstr>tlOutputPeopleQ2GrossProfit</vt:lpstr>
      <vt:lpstr>tlOutputPeopleQ2Harm</vt:lpstr>
      <vt:lpstr>tlOutputPeopleQ2IntCost</vt:lpstr>
      <vt:lpstr>tlOutputPeopleQ2IntCosts</vt:lpstr>
      <vt:lpstr>tlOutputPeopleQ2OpEx</vt:lpstr>
      <vt:lpstr>tlOutputPeopleQ2OpMargin</vt:lpstr>
      <vt:lpstr>tlOutputPeopleQ2OpProfit</vt:lpstr>
      <vt:lpstr>tlOutputPeopleQ2OpProfitCons</vt:lpstr>
      <vt:lpstr>tlOutputPeopleQ2Revenue</vt:lpstr>
      <vt:lpstr>tlOutputPeopleQ2Title</vt:lpstr>
      <vt:lpstr>tlOutputPeopleQ3ACV</vt:lpstr>
      <vt:lpstr>tlOutputPeopleQ3ConsOpMargin</vt:lpstr>
      <vt:lpstr>tlOutputPeopleQ3GrossMargin</vt:lpstr>
      <vt:lpstr>tlOutputPeopleQ3GrossProfit</vt:lpstr>
      <vt:lpstr>tlOutputPeopleQ3Harm</vt:lpstr>
      <vt:lpstr>tlOutputPeopleQ3IntCost</vt:lpstr>
      <vt:lpstr>tlOutputPeopleQ3IntCosts</vt:lpstr>
      <vt:lpstr>tlOutputPeopleQ3OpEx</vt:lpstr>
      <vt:lpstr>tlOutputPeopleQ3OpMargin</vt:lpstr>
      <vt:lpstr>tlOutputPeopleQ3OpProfit</vt:lpstr>
      <vt:lpstr>tlOutputPeopleQ3OpProfitCons</vt:lpstr>
      <vt:lpstr>tlOutputPeopleQ3Revenue</vt:lpstr>
      <vt:lpstr>tlOutputPeopleQ3Title</vt:lpstr>
      <vt:lpstr>tlOutputPeopleQ4ACV</vt:lpstr>
      <vt:lpstr>tlOutputPeopleQ4ConsOpMargin</vt:lpstr>
      <vt:lpstr>tlOutputPeopleQ4GrossMargin</vt:lpstr>
      <vt:lpstr>tlOutputPeopleQ4GrossProfit</vt:lpstr>
      <vt:lpstr>tlOutputPeopleQ4Harm</vt:lpstr>
      <vt:lpstr>tlOutputPeopleQ4IntCost</vt:lpstr>
      <vt:lpstr>tlOutputPeopleQ4IntCosts</vt:lpstr>
      <vt:lpstr>tlOutputPeopleQ4OpEx</vt:lpstr>
      <vt:lpstr>tlOutputPeopleQ4OpMargin</vt:lpstr>
      <vt:lpstr>tlOutputPeopleQ4OpProfit</vt:lpstr>
      <vt:lpstr>tlOutputPeopleQ4OpProfitCons</vt:lpstr>
      <vt:lpstr>tlOutputPeopleQ4Revenue</vt:lpstr>
      <vt:lpstr>tlOutputPeopleQ4Title</vt:lpstr>
      <vt:lpstr>tlOutputPeopleTimelineTitle</vt:lpstr>
      <vt:lpstr>tlOutputPeopleTitleACV</vt:lpstr>
      <vt:lpstr>tlOutputPeopleTitleConsOpMargin</vt:lpstr>
      <vt:lpstr>tlOutputPeopleTitleFinancials</vt:lpstr>
      <vt:lpstr>tlOutputPeopleTitleGrossMargin</vt:lpstr>
      <vt:lpstr>tlOutputPeopleTitleGrossProfit</vt:lpstr>
      <vt:lpstr>tlOutputPeopleTitleHarm</vt:lpstr>
      <vt:lpstr>tlOutputPeopleTitleIntCosts</vt:lpstr>
      <vt:lpstr>tlOutputPeopleTitleIntCostTitle</vt:lpstr>
      <vt:lpstr>tlOutputPeopleTitleIntOpProfit</vt:lpstr>
      <vt:lpstr>tlOutputPeopleTitleOpEx</vt:lpstr>
      <vt:lpstr>tlOutputPeopleTitleOpMargin</vt:lpstr>
      <vt:lpstr>tlOutputPeopleTitleOpProfit</vt:lpstr>
      <vt:lpstr>tlOutputPeopleTitleRevenue</vt:lpstr>
      <vt:lpstr>tlOutputPeopleTitleTotalIntCosts</vt:lpstr>
      <vt:lpstr>tlOutputPeopleY0ACV</vt:lpstr>
      <vt:lpstr>tlOutputPeopleY0ConsOpMargin</vt:lpstr>
      <vt:lpstr>tlOutputPeopleY0GrossMargin</vt:lpstr>
      <vt:lpstr>tlOutputPeopleY0GrossProfit</vt:lpstr>
      <vt:lpstr>tlOutputPeopleY0Harm</vt:lpstr>
      <vt:lpstr>tlOutputPeopleY0IntCost</vt:lpstr>
      <vt:lpstr>tlOutputPeopleY0IntCosts</vt:lpstr>
      <vt:lpstr>tlOutputPeopleY0OpEx</vt:lpstr>
      <vt:lpstr>tlOutputPeopleY0OpMargin</vt:lpstr>
      <vt:lpstr>tlOutputPeopleY0OpProfit</vt:lpstr>
      <vt:lpstr>tlOutputPeopleY0OpProfitCons</vt:lpstr>
      <vt:lpstr>tlOutputPeopleY0Revenue</vt:lpstr>
      <vt:lpstr>tlOutputPeopleY0Title</vt:lpstr>
      <vt:lpstr>tlOutputPeopleY1ACV</vt:lpstr>
      <vt:lpstr>tlOutputPeopleY1ConsOpMargin</vt:lpstr>
      <vt:lpstr>tlOutputPeopleY1GrossMargin</vt:lpstr>
      <vt:lpstr>tlOutputPeopleY1GrossProfit</vt:lpstr>
      <vt:lpstr>tlOutputPeopleY1Harm</vt:lpstr>
      <vt:lpstr>tlOutputPeopleY1IntCost</vt:lpstr>
      <vt:lpstr>tlOutputPeopleY1IntCosts</vt:lpstr>
      <vt:lpstr>tlOutputPeopleY1OpEx</vt:lpstr>
      <vt:lpstr>tlOutputPeopleY1OpMargin</vt:lpstr>
      <vt:lpstr>tlOutputPeopleY1OpProfit</vt:lpstr>
      <vt:lpstr>tlOutputPeopleY1OpProfitCons</vt:lpstr>
      <vt:lpstr>tlOutputPeopleY1Revenue</vt:lpstr>
      <vt:lpstr>tlOutputPeopleY1Title</vt:lpstr>
      <vt:lpstr>tlOutputPeopleY2ACV</vt:lpstr>
      <vt:lpstr>tlOutputPeopleY2ConsOpMargin</vt:lpstr>
      <vt:lpstr>tlOutputPeopleY2GrossMargin</vt:lpstr>
      <vt:lpstr>tlOutputPeopleY2GrossProfit</vt:lpstr>
      <vt:lpstr>tlOutputPeopleY2Harm</vt:lpstr>
      <vt:lpstr>tlOutputPeopleY2IntCost</vt:lpstr>
      <vt:lpstr>tlOutputPeopleY2IntCosts</vt:lpstr>
      <vt:lpstr>tlOutputPeopleY2OpEx</vt:lpstr>
      <vt:lpstr>tlOutputPeopleY2OpMargin</vt:lpstr>
      <vt:lpstr>tlOutputPeopleY2OpProfit</vt:lpstr>
      <vt:lpstr>tlOutputPeopleY2OpProfitCons</vt:lpstr>
      <vt:lpstr>tlOutputPeopleY2Revenue</vt:lpstr>
      <vt:lpstr>tlOutputPeopleY2Title</vt:lpstr>
      <vt:lpstr>tlOutputPeopleY5ACV</vt:lpstr>
      <vt:lpstr>tlOutputPeopleY5ConsOpMargin</vt:lpstr>
      <vt:lpstr>tlOutputPeopleY5GrossMargin</vt:lpstr>
      <vt:lpstr>tlOutputPeopleY5GrossProfit</vt:lpstr>
      <vt:lpstr>tlOutputPeopleY5Harm</vt:lpstr>
      <vt:lpstr>tlOutputPeopleY5IntCost</vt:lpstr>
      <vt:lpstr>tlOutputPeopleY5IntCosts</vt:lpstr>
      <vt:lpstr>tlOutputPeopleY5OpEx</vt:lpstr>
      <vt:lpstr>tlOutputPeopleY5OpMargin</vt:lpstr>
      <vt:lpstr>tlOutputPeopleY5OpProfit</vt:lpstr>
      <vt:lpstr>tlOutputPeopleY5OpProfitCons</vt:lpstr>
      <vt:lpstr>tlOutputPeopleY5Revenue</vt:lpstr>
      <vt:lpstr>tlOutputPeopleY5Title</vt:lpstr>
      <vt:lpstr>tlOutputProdFocusTitle</vt:lpstr>
      <vt:lpstr>tlOutputProdIntTitle</vt:lpstr>
      <vt:lpstr>tlOutputProductIntPlanning</vt:lpstr>
      <vt:lpstr>tlOutputProductQ1ACV</vt:lpstr>
      <vt:lpstr>tlOutputProductQ1ConsOpMargin</vt:lpstr>
      <vt:lpstr>tlOutputProductQ1GrossMargin</vt:lpstr>
      <vt:lpstr>tlOutputProductQ1GrossProfit</vt:lpstr>
      <vt:lpstr>tlOutputProductQ1Harm</vt:lpstr>
      <vt:lpstr>tlOutputProductQ1IntCost</vt:lpstr>
      <vt:lpstr>tlOutputProductQ1IntCosts</vt:lpstr>
      <vt:lpstr>tlOutputProductQ1OpEx</vt:lpstr>
      <vt:lpstr>tlOutputProductQ1OpMargin</vt:lpstr>
      <vt:lpstr>tlOutputProductQ1OpProfit</vt:lpstr>
      <vt:lpstr>tlOutputProductQ1OpProfitCons</vt:lpstr>
      <vt:lpstr>tlOutputProductQ1Revenue</vt:lpstr>
      <vt:lpstr>tlOutputProductQ1Title</vt:lpstr>
      <vt:lpstr>tlOutputProductQ2ACV</vt:lpstr>
      <vt:lpstr>tlOutputProductQ2ConsOpMargin</vt:lpstr>
      <vt:lpstr>tlOutputProductQ2GrossMargin</vt:lpstr>
      <vt:lpstr>tlOutputProductQ2GrossProfit</vt:lpstr>
      <vt:lpstr>tlOutputProductQ2Harm</vt:lpstr>
      <vt:lpstr>tlOutputProductQ2IntCost</vt:lpstr>
      <vt:lpstr>tlOutputProductQ2IntCosts</vt:lpstr>
      <vt:lpstr>tlOutputProductQ2OpEx</vt:lpstr>
      <vt:lpstr>tlOutputProductQ2OpMargin</vt:lpstr>
      <vt:lpstr>tlOutputProductQ2OpProfit</vt:lpstr>
      <vt:lpstr>tlOutputProductQ2OpProfitCons</vt:lpstr>
      <vt:lpstr>tlOutputProductQ2Revenue</vt:lpstr>
      <vt:lpstr>tlOutputProductQ2Title</vt:lpstr>
      <vt:lpstr>tlOutputProductQ3ACV</vt:lpstr>
      <vt:lpstr>tlOutputProductQ3ConsOpMargin</vt:lpstr>
      <vt:lpstr>tlOutputProductQ3GrossMargin</vt:lpstr>
      <vt:lpstr>tlOutputProductQ3GrossProfit</vt:lpstr>
      <vt:lpstr>tlOutputProductQ3Harm</vt:lpstr>
      <vt:lpstr>tlOutputProductQ3IntCost</vt:lpstr>
      <vt:lpstr>tlOutputProductQ3IntCosts</vt:lpstr>
      <vt:lpstr>tlOutputProductQ3OpEx</vt:lpstr>
      <vt:lpstr>tlOutputProductQ3OpMargin</vt:lpstr>
      <vt:lpstr>tlOutputProductQ3OpProfit</vt:lpstr>
      <vt:lpstr>tlOutputProductQ3OpProfitCons</vt:lpstr>
      <vt:lpstr>tlOutputProductQ3Revenue</vt:lpstr>
      <vt:lpstr>tlOutputProductQ3Title</vt:lpstr>
      <vt:lpstr>tlOutputProductQ4ACV</vt:lpstr>
      <vt:lpstr>tlOutputProductQ4ConsOpMargin</vt:lpstr>
      <vt:lpstr>tlOutputProductQ4GrossMargin</vt:lpstr>
      <vt:lpstr>tlOutputProductQ4GrossProfit</vt:lpstr>
      <vt:lpstr>tlOutputProductQ4Harm</vt:lpstr>
      <vt:lpstr>tlOutputProductQ4IntCost</vt:lpstr>
      <vt:lpstr>tlOutputProductQ4IntCosts</vt:lpstr>
      <vt:lpstr>tlOutputProductQ4OpEx</vt:lpstr>
      <vt:lpstr>tlOutputProductQ4OpMargin</vt:lpstr>
      <vt:lpstr>tlOutputProductQ4OpProfit</vt:lpstr>
      <vt:lpstr>tlOutputProductQ4OpProfitCons</vt:lpstr>
      <vt:lpstr>tlOutputProductQ4Revenue</vt:lpstr>
      <vt:lpstr>tlOutputProductQ4Title</vt:lpstr>
      <vt:lpstr>tlOutputProductRestricitionTitle</vt:lpstr>
      <vt:lpstr>tlOutputProductTitleACV</vt:lpstr>
      <vt:lpstr>tlOutputProductTitleConsOpMargin</vt:lpstr>
      <vt:lpstr>tlOutputProductTitleFinancials</vt:lpstr>
      <vt:lpstr>tlOutputProductTitleGrossMargin</vt:lpstr>
      <vt:lpstr>tlOutputProductTitleGrossProfit</vt:lpstr>
      <vt:lpstr>tlOutputProductTitleHarm</vt:lpstr>
      <vt:lpstr>tlOutputProductTitleIntCosts</vt:lpstr>
      <vt:lpstr>tlOutputProductTitleIntCostTitle</vt:lpstr>
      <vt:lpstr>tlOutputProductTitleIntOpProfit</vt:lpstr>
      <vt:lpstr>tlOutputProductTitleOpEx</vt:lpstr>
      <vt:lpstr>tlOutputProductTitleOpMargin</vt:lpstr>
      <vt:lpstr>tlOutputProductTitleOpProfit</vt:lpstr>
      <vt:lpstr>tlOutputProductTitleRevenue</vt:lpstr>
      <vt:lpstr>tlOutputProductTitleTotalIntCosts</vt:lpstr>
      <vt:lpstr>tlOutputProductY0ACV</vt:lpstr>
      <vt:lpstr>tlOutputProductY0ConsOpMargin</vt:lpstr>
      <vt:lpstr>tlOutputProductY0GrossMargin</vt:lpstr>
      <vt:lpstr>tlOutputProductY0GrossProfit</vt:lpstr>
      <vt:lpstr>tlOutputProductY0Harm</vt:lpstr>
      <vt:lpstr>tlOutputProductY0IntCost</vt:lpstr>
      <vt:lpstr>tlOutputProductY0IntCosts</vt:lpstr>
      <vt:lpstr>tlOutputProductY0OpEx</vt:lpstr>
      <vt:lpstr>tlOutputProductY0OpMargin</vt:lpstr>
      <vt:lpstr>tlOutputProductY0OpProfit</vt:lpstr>
      <vt:lpstr>tlOutputProductY0OpProfitCons</vt:lpstr>
      <vt:lpstr>tlOutputProductY0Revenue</vt:lpstr>
      <vt:lpstr>tlOutputProductY0Title</vt:lpstr>
      <vt:lpstr>tlOutputProductY1ACV</vt:lpstr>
      <vt:lpstr>tlOutputProductY1ConsOpMargin</vt:lpstr>
      <vt:lpstr>tlOutputProductY1GrossMargin</vt:lpstr>
      <vt:lpstr>tlOutputProductY1GrossProfit</vt:lpstr>
      <vt:lpstr>tlOutputProductY1Harm</vt:lpstr>
      <vt:lpstr>tlOutputProductY1IntCost</vt:lpstr>
      <vt:lpstr>tlOutputProductY1IntCosts</vt:lpstr>
      <vt:lpstr>tlOutputProductY1OpEx</vt:lpstr>
      <vt:lpstr>tlOutputProductY1OpMargin</vt:lpstr>
      <vt:lpstr>tlOutputProductY1OpProfit</vt:lpstr>
      <vt:lpstr>tlOutputProductY1OpProfitCons</vt:lpstr>
      <vt:lpstr>tlOutputProductY1Revenue</vt:lpstr>
      <vt:lpstr>tlOutputProductY1Title</vt:lpstr>
      <vt:lpstr>tlOutputProductY2ACV</vt:lpstr>
      <vt:lpstr>tlOutputProductY2ConsOpMargin</vt:lpstr>
      <vt:lpstr>tlOutputProductY2GrossMargin</vt:lpstr>
      <vt:lpstr>tlOutputProductY2GrossProfit</vt:lpstr>
      <vt:lpstr>tlOutputProductY2Harm</vt:lpstr>
      <vt:lpstr>tlOutputProductY2IntCost</vt:lpstr>
      <vt:lpstr>tlOutputProductY2IntCosts</vt:lpstr>
      <vt:lpstr>tlOutputProductY2OpEx</vt:lpstr>
      <vt:lpstr>tlOutputProductY2OpMargin</vt:lpstr>
      <vt:lpstr>tlOutputProductY2OpProfit</vt:lpstr>
      <vt:lpstr>tlOutputProductY2OpProfitCons</vt:lpstr>
      <vt:lpstr>tlOutputProductY2Revenue</vt:lpstr>
      <vt:lpstr>tlOutputProductY2Title</vt:lpstr>
      <vt:lpstr>tlOutputProductY5ACV</vt:lpstr>
      <vt:lpstr>tlOutputProductY5ConsOpMargin</vt:lpstr>
      <vt:lpstr>tlOutputProductY5GrossMargin</vt:lpstr>
      <vt:lpstr>tlOutputProductY5GrossProfit</vt:lpstr>
      <vt:lpstr>tlOutputProductY5Harm</vt:lpstr>
      <vt:lpstr>tlOutputProductY5IntCost</vt:lpstr>
      <vt:lpstr>tlOutputProductY5IntCosts</vt:lpstr>
      <vt:lpstr>tlOutputProductY5OpEx</vt:lpstr>
      <vt:lpstr>tlOutputProductY5OpMargin</vt:lpstr>
      <vt:lpstr>tlOutputProductY5OpProfit</vt:lpstr>
      <vt:lpstr>tlOutputProductY5OpProfitCons</vt:lpstr>
      <vt:lpstr>tlOutputProductY5Revenue</vt:lpstr>
      <vt:lpstr>tlOutputProductY5Title</vt:lpstr>
      <vt:lpstr>tlOutputRanklbl</vt:lpstr>
      <vt:lpstr>tlOutputRationalelbl</vt:lpstr>
      <vt:lpstr>tlOutputRealEstateCost</vt:lpstr>
      <vt:lpstr>tlOutputRealEstateTitle</vt:lpstr>
      <vt:lpstr>tlOutputResourceBO</vt:lpstr>
      <vt:lpstr>tlOutputResourceBudgetLeft</vt:lpstr>
      <vt:lpstr>tlOutputResourceGTM</vt:lpstr>
      <vt:lpstr>tlOutputResourcePeople</vt:lpstr>
      <vt:lpstr>tlOutputResourceProduct</vt:lpstr>
      <vt:lpstr>tlOutputResourceTrust</vt:lpstr>
      <vt:lpstr>tlOutputRisklbl</vt:lpstr>
      <vt:lpstr>tlOutputRiskTitle</vt:lpstr>
      <vt:lpstr>tlOutputRound</vt:lpstr>
      <vt:lpstr>tlOutputRound1Title</vt:lpstr>
      <vt:lpstr>tlOutputSecurityP0Cost</vt:lpstr>
      <vt:lpstr>tlOutputSecurityP1Cost</vt:lpstr>
      <vt:lpstr>tlOutputSecurityP2Cost</vt:lpstr>
      <vt:lpstr>tlOutputSecurityQuarterlbl</vt:lpstr>
      <vt:lpstr>tlOutputSecurityTimelineTitle</vt:lpstr>
      <vt:lpstr>tlOutputSiteInfrastructureBuildOutCost</vt:lpstr>
      <vt:lpstr>tlOutputSiteInfrastructureBuildOuttitle</vt:lpstr>
      <vt:lpstr>tlOutputStackInttitle</vt:lpstr>
      <vt:lpstr>tlOutputStartingEngagement</vt:lpstr>
      <vt:lpstr>tlOutputStratAlignPercValidation</vt:lpstr>
      <vt:lpstr>tlOutputTeamNumber</vt:lpstr>
      <vt:lpstr>tlOutputTimelineBrand</vt:lpstr>
      <vt:lpstr>tlOutputTimelineCSG</vt:lpstr>
      <vt:lpstr>tlOutputTimelineExternal</vt:lpstr>
      <vt:lpstr>tlOutputTimelineFullIntTitle</vt:lpstr>
      <vt:lpstr>tlOutputTimelineGraphBrand</vt:lpstr>
      <vt:lpstr>tlOutputTimelineGraphCSG</vt:lpstr>
      <vt:lpstr>tlOutputTimelineGraphExternalSales</vt:lpstr>
      <vt:lpstr>tlOutputTimelineGraphGTM</vt:lpstr>
      <vt:lpstr>tlOutputTimelineGraphIT</vt:lpstr>
      <vt:lpstr>tlOutputTimelineGraphPeople</vt:lpstr>
      <vt:lpstr>tlOutputTimelineGraphProduct</vt:lpstr>
      <vt:lpstr>tlOutputTimelineGraphSecurity</vt:lpstr>
      <vt:lpstr>tlOutputTimelineGTM</vt:lpstr>
      <vt:lpstr>tlOutputTimelineHarm</vt:lpstr>
      <vt:lpstr>tlOutputTimelineIntBudgetTitle</vt:lpstr>
      <vt:lpstr>tlOutputTimelineIntPlanning</vt:lpstr>
      <vt:lpstr>tlOutputTimelineIT</vt:lpstr>
      <vt:lpstr>tlOutputTimelineProduct</vt:lpstr>
      <vt:lpstr>tlOutputTimelineQ1ACV</vt:lpstr>
      <vt:lpstr>tlOutputTimelineQ1COGs</vt:lpstr>
      <vt:lpstr>tlOutputTimelineQ1ConsOpMargin</vt:lpstr>
      <vt:lpstr>tlOutputTimelineQ1GAExp</vt:lpstr>
      <vt:lpstr>tlOutputTimelineQ1GrossMargin</vt:lpstr>
      <vt:lpstr>tlOutputTimelineQ1GrossProfit</vt:lpstr>
      <vt:lpstr>tlOutputTimelineQ1Harm</vt:lpstr>
      <vt:lpstr>tlOutputTimelineQ1IntCost</vt:lpstr>
      <vt:lpstr>tlOutputTimelineQ1IntCosts</vt:lpstr>
      <vt:lpstr>tlOutputTimelineQ1MSExp</vt:lpstr>
      <vt:lpstr>tlOutputTimelineQ1OpEx</vt:lpstr>
      <vt:lpstr>tlOutputTimelineQ1OpMargin</vt:lpstr>
      <vt:lpstr>tlOutputTimelineQ1OpProfit</vt:lpstr>
      <vt:lpstr>tlOutputTimelineQ1OpProfitCons</vt:lpstr>
      <vt:lpstr>tlOutputTimelineQ1RDExp</vt:lpstr>
      <vt:lpstr>tlOutputTimelineQ1Revenue</vt:lpstr>
      <vt:lpstr>tlOutputTimelineQ1Title</vt:lpstr>
      <vt:lpstr>tlOutputTimelineQ2ACV</vt:lpstr>
      <vt:lpstr>tlOutputTimelineQ2COGs</vt:lpstr>
      <vt:lpstr>tlOutputTimelineQ2ConsOpMargin</vt:lpstr>
      <vt:lpstr>tlOutputTimelineQ2GAExp</vt:lpstr>
      <vt:lpstr>tlOutputTimelineQ2GrossMargin</vt:lpstr>
      <vt:lpstr>tlOutputTimelineQ2GrossProfit</vt:lpstr>
      <vt:lpstr>tlOutputTimelineQ2Harm</vt:lpstr>
      <vt:lpstr>tlOutputTimelineQ2IntCost</vt:lpstr>
      <vt:lpstr>tlOutputTimelineQ2IntCosts</vt:lpstr>
      <vt:lpstr>tlOutputTimelineQ2MSExp</vt:lpstr>
      <vt:lpstr>tlOutputTimelineQ2OpEx</vt:lpstr>
      <vt:lpstr>tlOutputTimelineQ2OpMargin</vt:lpstr>
      <vt:lpstr>tlOutputTimelineQ2OpProfit</vt:lpstr>
      <vt:lpstr>tlOutputTimelineQ2OpProfitCons</vt:lpstr>
      <vt:lpstr>tlOutputTimelineQ2RDExp</vt:lpstr>
      <vt:lpstr>tlOutputTimelineQ2Revenue</vt:lpstr>
      <vt:lpstr>tlOutputTimelineQ2Title</vt:lpstr>
      <vt:lpstr>tlOutputTimelineQ3ACV</vt:lpstr>
      <vt:lpstr>tlOutputTimelineQ3COGs</vt:lpstr>
      <vt:lpstr>tlOutputTimelineQ3ConsOpMargin</vt:lpstr>
      <vt:lpstr>tlOutputTimelineQ3GAExp</vt:lpstr>
      <vt:lpstr>tlOutputTimelineQ3GrossMargin</vt:lpstr>
      <vt:lpstr>tlOutputTimelineQ3GrossProfit</vt:lpstr>
      <vt:lpstr>tlOutputTimelineQ3Harm</vt:lpstr>
      <vt:lpstr>tlOutputTimelineQ3IntCost</vt:lpstr>
      <vt:lpstr>tlOutputTimelineQ3IntCosts</vt:lpstr>
      <vt:lpstr>tlOutputTimelineQ3MSExp</vt:lpstr>
      <vt:lpstr>tlOutputTimelineQ3OpEx</vt:lpstr>
      <vt:lpstr>tlOutputTimelineQ3OpMargin</vt:lpstr>
      <vt:lpstr>tlOutputTimelineQ3OpProfit</vt:lpstr>
      <vt:lpstr>tlOutputTimelineQ3OpProfitCons</vt:lpstr>
      <vt:lpstr>tlOutputTimelineQ3RDExp</vt:lpstr>
      <vt:lpstr>tlOutputTimelineQ3Revenue</vt:lpstr>
      <vt:lpstr>tlOutputTimelineQ3Title</vt:lpstr>
      <vt:lpstr>tlOutputTimelineQ4ACV</vt:lpstr>
      <vt:lpstr>tlOutputTimelineQ4COGs</vt:lpstr>
      <vt:lpstr>tlOutputTimelineQ4ConsOpMargin</vt:lpstr>
      <vt:lpstr>tlOutputTimelineQ4GAExp</vt:lpstr>
      <vt:lpstr>tlOutputTimelineQ4GrossMargin</vt:lpstr>
      <vt:lpstr>tlOutputTimelineQ4GrossProfit</vt:lpstr>
      <vt:lpstr>tlOutputTimelineQ4Harm</vt:lpstr>
      <vt:lpstr>tlOutputTimelineQ4IntCost</vt:lpstr>
      <vt:lpstr>tlOutputTimelineQ4IntCosts</vt:lpstr>
      <vt:lpstr>tlOutputTimelineQ4MSExp</vt:lpstr>
      <vt:lpstr>tlOutputTimelineQ4OpEx</vt:lpstr>
      <vt:lpstr>tlOutputTimelineQ4OpMargin</vt:lpstr>
      <vt:lpstr>tlOutputTimelineQ4OpProfit</vt:lpstr>
      <vt:lpstr>tlOutputTimelineQ4OpProfitCons</vt:lpstr>
      <vt:lpstr>tlOutputTimelineQ4RDExp</vt:lpstr>
      <vt:lpstr>tlOutputTimelineQ4Revenue</vt:lpstr>
      <vt:lpstr>tlOutputTimelineQ4Title</vt:lpstr>
      <vt:lpstr>tlOutputTimelineTitleACV</vt:lpstr>
      <vt:lpstr>tlOutputTimelineTitleConsOpMargin</vt:lpstr>
      <vt:lpstr>tlOutputTimelineTitleFinancials</vt:lpstr>
      <vt:lpstr>tlOutputTimelineTitleGrossMargin</vt:lpstr>
      <vt:lpstr>tlOutputTimelineTitleGrossProfit</vt:lpstr>
      <vt:lpstr>tlOutputTimelineTitleHarm</vt:lpstr>
      <vt:lpstr>tlOutputTimelineTitleIntCosts</vt:lpstr>
      <vt:lpstr>tlOutputTimelineTitleIntCostTitle</vt:lpstr>
      <vt:lpstr>tlOutputTimelineTitleIntOpProfit</vt:lpstr>
      <vt:lpstr>tlOutputTimelineTitleOpEx</vt:lpstr>
      <vt:lpstr>tlOutputTimelineTitleOpMargin</vt:lpstr>
      <vt:lpstr>tlOutputTimelineTitleOpProfit</vt:lpstr>
      <vt:lpstr>tlOutputTimelineTitleRevenue</vt:lpstr>
      <vt:lpstr>tlOutputTimelineTitleTotalIntCosts</vt:lpstr>
      <vt:lpstr>tlOutputTimelineTrust</vt:lpstr>
      <vt:lpstr>tlOutputTimelineY0ACV</vt:lpstr>
      <vt:lpstr>tlOutputTimelineY0COGs</vt:lpstr>
      <vt:lpstr>tlOutputTimelineY0ConsOpMargin</vt:lpstr>
      <vt:lpstr>tlOutputTimelineY0GAExp</vt:lpstr>
      <vt:lpstr>tlOutputTimelineY0GrossMargin</vt:lpstr>
      <vt:lpstr>tlOutputTimelineY0GrossProfit</vt:lpstr>
      <vt:lpstr>tlOutputTimelineY0Harm</vt:lpstr>
      <vt:lpstr>tlOutputTimelineY0IntCost</vt:lpstr>
      <vt:lpstr>tlOutputTimelineY0IntCosts</vt:lpstr>
      <vt:lpstr>tlOutputTimelineY0MSExp</vt:lpstr>
      <vt:lpstr>tlOutputTimelineY0OpEx</vt:lpstr>
      <vt:lpstr>tlOutputTimelineY0OpMargin</vt:lpstr>
      <vt:lpstr>tlOutputTimelineY0OpProfit</vt:lpstr>
      <vt:lpstr>tlOutputTimelineY0OpProfitCons</vt:lpstr>
      <vt:lpstr>tlOutputTimelineY0RDExp</vt:lpstr>
      <vt:lpstr>tlOutputTimelineY0Revenue</vt:lpstr>
      <vt:lpstr>tlOutputTimelineY0Title</vt:lpstr>
      <vt:lpstr>tlOutputTimelineY1ACV</vt:lpstr>
      <vt:lpstr>tlOutputTimelineY1COGs</vt:lpstr>
      <vt:lpstr>tlOutputTimelineY1ConsOpMargin</vt:lpstr>
      <vt:lpstr>tlOutputTimelineY1GAExp</vt:lpstr>
      <vt:lpstr>tlOutputTimelineY1GrossMargin</vt:lpstr>
      <vt:lpstr>tlOutputTimelineY1GrossProfit</vt:lpstr>
      <vt:lpstr>tlOutputTimelineY1Harm</vt:lpstr>
      <vt:lpstr>tlOutputTimelineY1IntCost</vt:lpstr>
      <vt:lpstr>tlOutputTimelineY1IntCosts</vt:lpstr>
      <vt:lpstr>tlOutputTimelineY1MSExp</vt:lpstr>
      <vt:lpstr>tlOutputTimelineY1OpEx</vt:lpstr>
      <vt:lpstr>tlOutputTimelineY1OpMargin</vt:lpstr>
      <vt:lpstr>tlOutputTimelineY1OpProfit</vt:lpstr>
      <vt:lpstr>tlOutputTimelineY1OpProfitCons</vt:lpstr>
      <vt:lpstr>tlOutputTimelineY1RDExp</vt:lpstr>
      <vt:lpstr>tlOutputTimelineY1Revenue</vt:lpstr>
      <vt:lpstr>tlOutputTimelineY1Title</vt:lpstr>
      <vt:lpstr>tlOutputTimelineY2ACV</vt:lpstr>
      <vt:lpstr>tlOutputTimelineY2COGs</vt:lpstr>
      <vt:lpstr>tlOutputTimelineY2ConsOpMargin</vt:lpstr>
      <vt:lpstr>tlOutputTimelineY2GAExp</vt:lpstr>
      <vt:lpstr>tlOutputTimelineY2GrossMargin</vt:lpstr>
      <vt:lpstr>tlOutputTimelineY2GrossProfit</vt:lpstr>
      <vt:lpstr>tlOutputTimelineY2Harm</vt:lpstr>
      <vt:lpstr>tlOutputTimelineY2IntCost</vt:lpstr>
      <vt:lpstr>tlOutputTimelineY2IntCosts</vt:lpstr>
      <vt:lpstr>tlOutputTimelineY2MSExp</vt:lpstr>
      <vt:lpstr>tlOutputTimelineY2OpEx</vt:lpstr>
      <vt:lpstr>tlOutputTimelineY2OpMargin</vt:lpstr>
      <vt:lpstr>tlOutputTimelineY2OpProfit</vt:lpstr>
      <vt:lpstr>tlOutputTimelineY2OpProfitCons</vt:lpstr>
      <vt:lpstr>tlOutputTimelineY2RDExp</vt:lpstr>
      <vt:lpstr>tlOutputTimelineY2Revenue</vt:lpstr>
      <vt:lpstr>tlOutputTimelineY2Title</vt:lpstr>
      <vt:lpstr>tlOutputTimelineY5ACV</vt:lpstr>
      <vt:lpstr>tlOutputTimelineY5COGs</vt:lpstr>
      <vt:lpstr>tlOutputTimelineY5ConsOpMargin</vt:lpstr>
      <vt:lpstr>tlOutputTimelineY5GAExp</vt:lpstr>
      <vt:lpstr>tlOutputTimelineY5GrossMargin</vt:lpstr>
      <vt:lpstr>tlOutputTimelineY5GrossProfit</vt:lpstr>
      <vt:lpstr>tlOutputTimelineY5Harm</vt:lpstr>
      <vt:lpstr>tlOutputTimelineY5IntCost</vt:lpstr>
      <vt:lpstr>tlOutputTimelineY5IntCosts</vt:lpstr>
      <vt:lpstr>tlOutputTimelineY5MSExp</vt:lpstr>
      <vt:lpstr>tlOutputTimelineY5OpEx</vt:lpstr>
      <vt:lpstr>tlOutputTimelineY5OpMargin</vt:lpstr>
      <vt:lpstr>tlOutputTimelineY5OpProfit</vt:lpstr>
      <vt:lpstr>tlOutputTimelineY5OpProfitCons</vt:lpstr>
      <vt:lpstr>tlOutputTimelineY5RDExp</vt:lpstr>
      <vt:lpstr>tlOutputTimelineY5Revenue</vt:lpstr>
      <vt:lpstr>tlOutputTimelineY5Title</vt:lpstr>
      <vt:lpstr>tlOutputTotalBudget</vt:lpstr>
      <vt:lpstr>tlOutputTotalRanks</vt:lpstr>
      <vt:lpstr>tlOutputTrustScen1</vt:lpstr>
      <vt:lpstr>tlOutputTrustScen2</vt:lpstr>
      <vt:lpstr>tlOutputTrustScen3</vt:lpstr>
      <vt:lpstr>tlOutputTrustScen4</vt:lpstr>
      <vt:lpstr>tlOutputTrustScen5</vt:lpstr>
      <vt:lpstr>tlOutputTrustScen6</vt:lpstr>
      <vt:lpstr>tlOutputTrustScen7</vt:lpstr>
      <vt:lpstr>tlOutputTrustScen8</vt:lpstr>
      <vt:lpstr>tlOutputValue1Rank</vt:lpstr>
      <vt:lpstr>tlOutputValue2Rank</vt:lpstr>
      <vt:lpstr>tlOutputValue3Rank</vt:lpstr>
      <vt:lpstr>tlOutputValue4Rank</vt:lpstr>
      <vt:lpstr>tlOutputValue5Rank</vt:lpstr>
      <vt:lpstr>tlOutputValueEmphasislbl</vt:lpstr>
      <vt:lpstr>tlOutputValueTitle</vt:lpstr>
      <vt:lpstr>tlOutputVisionTitle</vt:lpstr>
      <vt:lpstr>tlOutputY1BO</vt:lpstr>
      <vt:lpstr>tlOutputY1Budget</vt:lpstr>
      <vt:lpstr>tlOutputY1Events</vt:lpstr>
      <vt:lpstr>tlOutputY1GTM</vt:lpstr>
      <vt:lpstr>tlOutputY1People</vt:lpstr>
      <vt:lpstr>tlOutputY1Product</vt:lpstr>
      <vt:lpstr>tlOutputY1Trust</vt:lpstr>
      <vt:lpstr>tlOutputY2BO</vt:lpstr>
      <vt:lpstr>tlOutputY2Budget</vt:lpstr>
      <vt:lpstr>tlOutputY2Events</vt:lpstr>
      <vt:lpstr>tlOutputY2GTM</vt:lpstr>
      <vt:lpstr>tlOutputY2People</vt:lpstr>
      <vt:lpstr>tlOutputY2Product</vt:lpstr>
      <vt:lpstr>tlOutputY2Trust</vt:lpstr>
      <vt:lpstr>ValuesTotalAvailable</vt:lpstr>
      <vt:lpstr>ValuesWorksheetName</vt:lpstr>
      <vt:lpstr>vbaPopupMenu1ItemNumber</vt:lpstr>
      <vt:lpstr>vbaPopupMenu1ListFaceID</vt:lpstr>
      <vt:lpstr>vbaPopupMenu1ListLevel</vt:lpstr>
      <vt:lpstr>vbaPopupMenu1ListMacro</vt:lpstr>
      <vt:lpstr>vbaPopupMenu1ListTitle</vt:lpstr>
      <vt:lpstr>vbaPopupMenu1Lvl1ItemNumber</vt:lpstr>
      <vt:lpstr>vbaPopupMenu1Lvl2ItemNumber</vt:lpstr>
      <vt:lpstr>vbaPopupMenuActive</vt:lpstr>
      <vt:lpstr>vbaPopupMenuName</vt:lpstr>
      <vt:lpstr>Wobbler_Round</vt:lpstr>
      <vt:lpstr>Wobbler_Sim0Tool1</vt:lpstr>
      <vt:lpstr>Wobbler_TeamName</vt:lpstr>
      <vt:lpstr>Wobbler_Timer</vt:lpstr>
      <vt:lpstr>xxBudgetLeftValidation</vt:lpstr>
      <vt:lpstr>xxColorLocked</vt:lpstr>
      <vt:lpstr>xxCurrentRound</vt:lpstr>
      <vt:lpstr>xxDashGrowth</vt:lpstr>
      <vt:lpstr>xxDashOpMargin</vt:lpstr>
      <vt:lpstr>xxDashRevenue</vt:lpstr>
      <vt:lpstr>xxDecisionsSubmit</vt:lpstr>
      <vt:lpstr>xxIndexTeam</vt:lpstr>
      <vt:lpstr>xxNumOfTeams</vt:lpstr>
      <vt:lpstr>xxPopupWobblerCurrent</vt:lpstr>
      <vt:lpstr>xxPopupWobblerDecMinDiff</vt:lpstr>
      <vt:lpstr>xxPopupWobblerDecRange</vt:lpstr>
      <vt:lpstr>xxPopupWobblerDescription</vt:lpstr>
      <vt:lpstr>xxPopupWobblerExplain1Next</vt:lpstr>
      <vt:lpstr>xxPopupWobblerExplain1Text</vt:lpstr>
      <vt:lpstr>xxPopupWobblerExplain2Next</vt:lpstr>
      <vt:lpstr>xxPopupWobblerExplain2Text</vt:lpstr>
      <vt:lpstr>xxPopupWobblerExplain3Next</vt:lpstr>
      <vt:lpstr>xxPopupWobblerExplain3Text</vt:lpstr>
      <vt:lpstr>xxPopupWobblerExplain4Next</vt:lpstr>
      <vt:lpstr>xxPopupWobblerExplain4Text</vt:lpstr>
      <vt:lpstr>xxPopupWobblerMax</vt:lpstr>
      <vt:lpstr>xxPopupWobblerNumber</vt:lpstr>
      <vt:lpstr>xxPopupWobblerOption1Text</vt:lpstr>
      <vt:lpstr>xxPopupWobblerOption2Text</vt:lpstr>
      <vt:lpstr>xxPopupWobblerOption3Text</vt:lpstr>
      <vt:lpstr>xxPopupWobblerOption4Text</vt:lpstr>
      <vt:lpstr>xxPopupWobblerStartY1</vt:lpstr>
      <vt:lpstr>xxPopupWobblerStartY2</vt:lpstr>
      <vt:lpstr>xxPopupWobblerStartY3</vt:lpstr>
      <vt:lpstr>xxPopupWobblerStartY4</vt:lpstr>
      <vt:lpstr>xxPopupWobblerTitle</vt:lpstr>
      <vt:lpstr>xxPopupWobblerValid</vt:lpstr>
      <vt:lpstr>xxPreName</vt:lpstr>
      <vt:lpstr>xxProductRestrictionACVHit</vt:lpstr>
      <vt:lpstr>xxProductRestrictionACVIncrease</vt:lpstr>
      <vt:lpstr>xxRound</vt:lpstr>
      <vt:lpstr>xxScenario1Run</vt:lpstr>
      <vt:lpstr>xxScenario2Run</vt:lpstr>
      <vt:lpstr>xxScenario3Run</vt:lpstr>
      <vt:lpstr>xxScenario4Run</vt:lpstr>
      <vt:lpstr>xxScenario5Run</vt:lpstr>
      <vt:lpstr>xxScenario6Run</vt:lpstr>
      <vt:lpstr>xxScenario7Run</vt:lpstr>
      <vt:lpstr>xxScenario8Run</vt:lpstr>
      <vt:lpstr>xxSim0Tool1</vt:lpstr>
      <vt:lpstr>xxStratAlignPercValidation</vt:lpstr>
      <vt:lpstr>xxToolPrefix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London IT</dc:creator>
  <cp:lastModifiedBy>Decision Summary</cp:lastModifiedBy>
  <cp:lastPrinted>2017-03-09T14:46:03Z</cp:lastPrinted>
  <dcterms:created xsi:type="dcterms:W3CDTF">2014-12-08T07:15:00Z</dcterms:created>
  <dcterms:modified xsi:type="dcterms:W3CDTF">2018-07-25T20:49:54Z</dcterms:modified>
</cp:coreProperties>
</file>